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28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omments4.xml" ContentType="application/vnd.openxmlformats-officedocument.spreadsheetml.comments+xml"/>
  <Override PartName="/xl/connections.xml" ContentType="application/vnd.openxmlformats-officedocument.spreadsheetml.connection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05" yWindow="360" windowWidth="59040" windowHeight="11655" tabRatio="997" activeTab="2"/>
  </bookViews>
  <sheets>
    <sheet name="General Ledger Download" sheetId="4" r:id="rId1"/>
    <sheet name="LURITXPF" sheetId="1" r:id="rId2"/>
    <sheet name="Pro Forma" sheetId="8" r:id="rId3"/>
    <sheet name="Restating Adjustments" sheetId="31" r:id="rId4"/>
    <sheet name="Pro Forma Adjustments" sheetId="32" r:id="rId5"/>
    <sheet name="12 Month Operating Statement" sheetId="9" r:id="rId6"/>
    <sheet name="Balance Sheet" sheetId="22" r:id="rId7"/>
    <sheet name="Allocation Matrix" sheetId="15" r:id="rId8"/>
    <sheet name="Customer Count" sheetId="21" r:id="rId9"/>
    <sheet name="BDI Customers" sheetId="7" r:id="rId10"/>
    <sheet name="Regulatory Depr Sch" sheetId="5" r:id="rId11"/>
    <sheet name="Non-Regulated Entities" sheetId="2" r:id="rId12"/>
    <sheet name="Man Hours" sheetId="10" r:id="rId13"/>
    <sheet name="Can Count" sheetId="11" r:id="rId14"/>
    <sheet name="Legal " sheetId="12" r:id="rId15"/>
    <sheet name="Prior PLP Costs" sheetId="13" r:id="rId16"/>
    <sheet name="Stockholder Insurance" sheetId="14" r:id="rId17"/>
    <sheet name="Tonnage Summary" sheetId="17" r:id="rId18"/>
    <sheet name="Lobby Expense" sheetId="18" r:id="rId19"/>
    <sheet name="L&amp;I Rate Summary" sheetId="25" r:id="rId20"/>
    <sheet name="L&amp;I Cost Increase Calc" sheetId="24" r:id="rId21"/>
    <sheet name="Medical Cost Premium Increase" sheetId="27" r:id="rId22"/>
    <sheet name="Medical Insurance " sheetId="26" r:id="rId23"/>
    <sheet name="New Hire Salary Adjustment" sheetId="28" r:id="rId24"/>
    <sheet name="Labor Pro Forma Adjustment" sheetId="19" r:id="rId25"/>
    <sheet name="Dues &amp; Subs" sheetId="20" r:id="rId26"/>
    <sheet name="Rate Case Expense" sheetId="23" r:id="rId27"/>
    <sheet name="401K Contribution" sheetId="29" r:id="rId28"/>
    <sheet name="General Insurance" sheetId="30" r:id="rId29"/>
  </sheets>
  <externalReferences>
    <externalReference r:id="rId30"/>
    <externalReference r:id="rId31"/>
    <externalReference r:id="rId32"/>
    <externalReference r:id="rId33"/>
  </externalReferences>
  <definedNames>
    <definedName name="_Regression_Int" localSheetId="1" hidden="1">1</definedName>
    <definedName name="INPUT">LURITXPF!$B$1</definedName>
    <definedName name="IS_4C">'[1]5. BDI Gen Ledger Table'!$J$2:$J$4682</definedName>
    <definedName name="IS_Lines">'[1]6. V Lookup Tables'!$B$3:$D$401</definedName>
    <definedName name="_xlnm.Print_Area" localSheetId="5">'12 Month Operating Statement'!$A$7:$O$192</definedName>
    <definedName name="_xlnm.Print_Area" localSheetId="27">'401K Contribution'!$A$1:$D$17</definedName>
    <definedName name="_xlnm.Print_Area" localSheetId="7">'Allocation Matrix'!$A$6:$U$108</definedName>
    <definedName name="_xlnm.Print_Area" localSheetId="6">'Balance Sheet'!$A$1:$H$52</definedName>
    <definedName name="_xlnm.Print_Area" localSheetId="9">'BDI Customers'!$A$13:$Q$68</definedName>
    <definedName name="_xlnm.Print_Area" localSheetId="13">'Can Count'!$A$1:$U$26</definedName>
    <definedName name="_xlnm.Print_Area" localSheetId="8">'Customer Count'!$A$4:$J$278</definedName>
    <definedName name="_xlnm.Print_Area" localSheetId="28">'General Insurance'!$A$1:$K$47</definedName>
    <definedName name="_xlnm.Print_Area" localSheetId="20">'L&amp;I Cost Increase Calc'!$A$4:$Q$187</definedName>
    <definedName name="_xlnm.Print_Area" localSheetId="24">'Labor Pro Forma Adjustment'!$A$1:$L$26</definedName>
    <definedName name="_xlnm.Print_Area" localSheetId="14">'Legal '!$A$1:$Q$24</definedName>
    <definedName name="_xlnm.Print_Area" localSheetId="18">'Lobby Expense'!$A$1:$Q$20</definedName>
    <definedName name="_xlnm.Print_Area" localSheetId="1">LURITXPF!$A$1:$I$23</definedName>
    <definedName name="_xlnm.Print_Area" localSheetId="21">'Medical Cost Premium Increase'!$A$1:$L$20</definedName>
    <definedName name="_xlnm.Print_Area" localSheetId="22">'Medical Insurance '!$A$4:$Q$185</definedName>
    <definedName name="_xlnm.Print_Area" localSheetId="23">'New Hire Salary Adjustment'!$A$1:$S$22</definedName>
    <definedName name="_xlnm.Print_Area" localSheetId="15">'Prior PLP Costs'!$A$3:$M$89</definedName>
    <definedName name="_xlnm.Print_Area" localSheetId="2">'Pro Forma'!$A$5:$K$101</definedName>
    <definedName name="_xlnm.Print_Area" localSheetId="4">'Pro Forma Adjustments'!$A$6:$P$100</definedName>
    <definedName name="_xlnm.Print_Area" localSheetId="26">'Rate Case Expense'!$A$1:$E$24</definedName>
    <definedName name="_xlnm.Print_Area" localSheetId="10">'Regulatory Depr Sch'!$A$13:$Z$323</definedName>
    <definedName name="_xlnm.Print_Area" localSheetId="3">'Restating Adjustments'!$A$6:$J$99</definedName>
    <definedName name="_xlnm.Print_Area" localSheetId="16">'Stockholder Insurance'!$A$1:$Q$17</definedName>
    <definedName name="_xlnm.Print_Area" localSheetId="17">'Tonnage Summary'!$A$1:$N$35</definedName>
    <definedName name="Print_Area_MI">LURITXPF!$B$1:$I$23</definedName>
    <definedName name="_xlnm.Print_Titles" localSheetId="5">'12 Month Operating Statement'!$1:$6</definedName>
    <definedName name="_xlnm.Print_Titles" localSheetId="7">'Allocation Matrix'!$1:$5</definedName>
    <definedName name="_xlnm.Print_Titles" localSheetId="9">'BDI Customers'!$1:$12</definedName>
    <definedName name="_xlnm.Print_Titles" localSheetId="8">'Customer Count'!$1:$3</definedName>
    <definedName name="_xlnm.Print_Titles" localSheetId="0">'General Ledger Download'!$1:$1</definedName>
    <definedName name="_xlnm.Print_Titles" localSheetId="20">'L&amp;I Cost Increase Calc'!$1:$3</definedName>
    <definedName name="_xlnm.Print_Titles" localSheetId="22">'Medical Insurance '!$1:$3</definedName>
    <definedName name="_xlnm.Print_Titles" localSheetId="15">'Prior PLP Costs'!$1:$2</definedName>
    <definedName name="_xlnm.Print_Titles" localSheetId="2">'Pro Forma'!$1:$4</definedName>
    <definedName name="_xlnm.Print_Titles" localSheetId="4">'Pro Forma Adjustments'!$1:$5</definedName>
    <definedName name="_xlnm.Print_Titles" localSheetId="10">'Regulatory Depr Sch'!$1:$12</definedName>
    <definedName name="_xlnm.Print_Titles" localSheetId="3">'Restating Adjustments'!$1:$5</definedName>
    <definedName name="ProF">'[1]5. BDI Gen Ledger Table'!$K$2:$K$4682</definedName>
    <definedName name="Query_from_BDI_PBS" localSheetId="15" hidden="1">'Prior PLP Costs'!$A$2:$M$87</definedName>
    <definedName name="trx_total">'[1]5. BDI Gen Ledger Table'!$N$2:$N$4682</definedName>
    <definedName name="YR_PD">'[1]5. BDI Gen Ledger Table'!$Q$2:$Q$4682</definedName>
  </definedNames>
  <calcPr calcId="145621"/>
  <pivotCaches>
    <pivotCache cacheId="1" r:id="rId34"/>
  </pivotCaches>
</workbook>
</file>

<file path=xl/calcChain.xml><?xml version="1.0" encoding="utf-8"?>
<calcChain xmlns="http://schemas.openxmlformats.org/spreadsheetml/2006/main">
  <c r="J269" i="21" l="1"/>
  <c r="G276" i="21"/>
  <c r="E276" i="21"/>
  <c r="K267" i="21"/>
  <c r="J267" i="21"/>
  <c r="H267" i="21"/>
  <c r="H232" i="21"/>
  <c r="G228" i="21"/>
  <c r="G222" i="21"/>
  <c r="G220" i="21"/>
  <c r="G221" i="21"/>
  <c r="G212" i="21"/>
  <c r="G202" i="21"/>
  <c r="G205" i="21"/>
  <c r="G161" i="21"/>
  <c r="G160" i="21"/>
  <c r="G159" i="21"/>
  <c r="G158" i="21"/>
  <c r="G157" i="21"/>
  <c r="G156" i="21"/>
  <c r="G138" i="21"/>
  <c r="G124" i="21"/>
  <c r="G123" i="21"/>
  <c r="G82" i="21"/>
  <c r="G81" i="21"/>
  <c r="G80" i="21"/>
  <c r="G79" i="21"/>
  <c r="G77" i="21"/>
  <c r="G76" i="21"/>
  <c r="G75" i="21"/>
  <c r="G74" i="21"/>
  <c r="G73" i="21"/>
  <c r="G72" i="21"/>
  <c r="G71" i="21"/>
  <c r="G70" i="21"/>
  <c r="G69" i="21"/>
  <c r="G68" i="21"/>
  <c r="G64" i="21"/>
  <c r="G63" i="21"/>
  <c r="G62" i="21"/>
  <c r="G61" i="21"/>
  <c r="G60" i="21"/>
  <c r="G59" i="21"/>
  <c r="G58" i="21"/>
  <c r="G57" i="21"/>
  <c r="H43" i="21"/>
  <c r="H42" i="21"/>
  <c r="H41" i="21"/>
  <c r="G31" i="21"/>
  <c r="G24" i="21"/>
  <c r="G22" i="21"/>
  <c r="G6" i="21"/>
  <c r="H6" i="21"/>
  <c r="D7" i="29"/>
  <c r="D6" i="29"/>
  <c r="L52" i="32" l="1"/>
  <c r="E43" i="30"/>
  <c r="E42" i="30"/>
  <c r="E41" i="30"/>
  <c r="E40" i="30"/>
  <c r="E39" i="30"/>
  <c r="J37" i="30"/>
  <c r="I37" i="30"/>
  <c r="H37" i="30"/>
  <c r="G37" i="30"/>
  <c r="F37" i="30"/>
  <c r="E37" i="30"/>
  <c r="D25" i="30"/>
  <c r="D26" i="30" s="1"/>
  <c r="D27" i="30" s="1"/>
  <c r="D28" i="30" s="1"/>
  <c r="D29" i="30" s="1"/>
  <c r="D30" i="30" s="1"/>
  <c r="D31" i="30" s="1"/>
  <c r="D32" i="30" s="1"/>
  <c r="D33" i="30" s="1"/>
  <c r="D34" i="30" s="1"/>
  <c r="D35" i="30" s="1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37" i="30" s="1"/>
  <c r="O97" i="32" l="1"/>
  <c r="O96" i="32"/>
  <c r="O95" i="32"/>
  <c r="O94" i="32"/>
  <c r="O93" i="32"/>
  <c r="O92" i="32"/>
  <c r="O91" i="32"/>
  <c r="O90" i="32"/>
  <c r="O89" i="32"/>
  <c r="O88" i="32"/>
  <c r="O87" i="32"/>
  <c r="O86" i="32"/>
  <c r="O85" i="32"/>
  <c r="O84" i="32"/>
  <c r="O83" i="32"/>
  <c r="O82" i="32"/>
  <c r="O81" i="32"/>
  <c r="O80" i="32"/>
  <c r="O79" i="32"/>
  <c r="O78" i="32"/>
  <c r="O77" i="32"/>
  <c r="O76" i="32"/>
  <c r="O75" i="32"/>
  <c r="O73" i="32"/>
  <c r="O72" i="32"/>
  <c r="O71" i="32"/>
  <c r="O70" i="32"/>
  <c r="O69" i="32"/>
  <c r="O68" i="32"/>
  <c r="O67" i="32"/>
  <c r="O65" i="32"/>
  <c r="O64" i="32"/>
  <c r="O60" i="32"/>
  <c r="O59" i="32"/>
  <c r="O58" i="32"/>
  <c r="O57" i="32"/>
  <c r="O54" i="32"/>
  <c r="O53" i="32"/>
  <c r="O52" i="32"/>
  <c r="O51" i="32"/>
  <c r="O50" i="32"/>
  <c r="O49" i="32"/>
  <c r="O48" i="32"/>
  <c r="O47" i="32"/>
  <c r="O46" i="32"/>
  <c r="O44" i="32"/>
  <c r="O43" i="32"/>
  <c r="O42" i="32"/>
  <c r="O41" i="32"/>
  <c r="O40" i="32"/>
  <c r="O39" i="32"/>
  <c r="O38" i="32"/>
  <c r="O37" i="32"/>
  <c r="O36" i="32"/>
  <c r="O35" i="32"/>
  <c r="O34" i="32"/>
  <c r="O33" i="32"/>
  <c r="O28" i="32"/>
  <c r="O27" i="32"/>
  <c r="O26" i="32"/>
  <c r="O25" i="32"/>
  <c r="O24" i="32"/>
  <c r="O23" i="32"/>
  <c r="O22" i="32"/>
  <c r="O19" i="32"/>
  <c r="I97" i="31"/>
  <c r="I94" i="31"/>
  <c r="I93" i="31"/>
  <c r="I92" i="31"/>
  <c r="I91" i="31"/>
  <c r="I90" i="31"/>
  <c r="I89" i="31"/>
  <c r="I88" i="31"/>
  <c r="I87" i="31"/>
  <c r="I85" i="31"/>
  <c r="I84" i="31"/>
  <c r="I83" i="31"/>
  <c r="I82" i="31"/>
  <c r="I81" i="31"/>
  <c r="I80" i="31"/>
  <c r="I79" i="31"/>
  <c r="I78" i="31"/>
  <c r="I77" i="31"/>
  <c r="I76" i="31"/>
  <c r="I75" i="31"/>
  <c r="I74" i="31"/>
  <c r="I73" i="31"/>
  <c r="I72" i="31"/>
  <c r="I71" i="31"/>
  <c r="I70" i="31"/>
  <c r="I69" i="31"/>
  <c r="I68" i="31"/>
  <c r="I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3" i="31"/>
  <c r="I52" i="31"/>
  <c r="I51" i="31"/>
  <c r="I50" i="31"/>
  <c r="I49" i="31"/>
  <c r="I48" i="31"/>
  <c r="I47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I31" i="31"/>
  <c r="I30" i="31"/>
  <c r="I29" i="31"/>
  <c r="I28" i="31"/>
  <c r="I27" i="31"/>
  <c r="I26" i="31"/>
  <c r="I25" i="31"/>
  <c r="I24" i="31"/>
  <c r="I23" i="31"/>
  <c r="I22" i="31"/>
  <c r="I21" i="31"/>
  <c r="I20" i="31"/>
  <c r="I19" i="31"/>
  <c r="D99" i="32"/>
  <c r="N14" i="32"/>
  <c r="M14" i="32"/>
  <c r="L14" i="32"/>
  <c r="K14" i="32"/>
  <c r="J14" i="32"/>
  <c r="I14" i="32"/>
  <c r="H14" i="32"/>
  <c r="G14" i="32"/>
  <c r="F14" i="32"/>
  <c r="E14" i="32"/>
  <c r="D14" i="32"/>
  <c r="L99" i="32"/>
  <c r="J99" i="32"/>
  <c r="C99" i="32"/>
  <c r="A99" i="32"/>
  <c r="A97" i="32"/>
  <c r="A96" i="32"/>
  <c r="A95" i="32"/>
  <c r="A94" i="32"/>
  <c r="A93" i="32"/>
  <c r="A92" i="32"/>
  <c r="A91" i="32"/>
  <c r="A90" i="32"/>
  <c r="A89" i="32"/>
  <c r="A88" i="32"/>
  <c r="G87" i="32"/>
  <c r="A87" i="32"/>
  <c r="A86" i="32"/>
  <c r="A85" i="32"/>
  <c r="A84" i="32"/>
  <c r="A83" i="32"/>
  <c r="A82" i="32"/>
  <c r="A81" i="32"/>
  <c r="A80" i="32"/>
  <c r="A79" i="32"/>
  <c r="A78" i="32"/>
  <c r="F77" i="32"/>
  <c r="F99" i="32" s="1"/>
  <c r="A77" i="32"/>
  <c r="A76" i="32"/>
  <c r="A75" i="32"/>
  <c r="A74" i="32"/>
  <c r="A73" i="32"/>
  <c r="A72" i="32"/>
  <c r="K69" i="32"/>
  <c r="K68" i="32"/>
  <c r="H68" i="32"/>
  <c r="K67" i="32"/>
  <c r="I67" i="32"/>
  <c r="K66" i="32"/>
  <c r="E66" i="32"/>
  <c r="O66" i="32" s="1"/>
  <c r="A64" i="32"/>
  <c r="K63" i="32"/>
  <c r="O63" i="32" s="1"/>
  <c r="A63" i="32"/>
  <c r="K62" i="32"/>
  <c r="H62" i="32"/>
  <c r="O62" i="32" s="1"/>
  <c r="A62" i="32"/>
  <c r="K61" i="32"/>
  <c r="O61" i="32" s="1"/>
  <c r="I61" i="32"/>
  <c r="A61" i="32"/>
  <c r="K60" i="32"/>
  <c r="E60" i="32"/>
  <c r="A60" i="32"/>
  <c r="A58" i="32"/>
  <c r="A57" i="32"/>
  <c r="H56" i="32"/>
  <c r="O56" i="32" s="1"/>
  <c r="A56" i="32"/>
  <c r="I55" i="32"/>
  <c r="O55" i="32" s="1"/>
  <c r="A55" i="32"/>
  <c r="E54" i="32"/>
  <c r="A54" i="32"/>
  <c r="A52" i="32"/>
  <c r="A51" i="32"/>
  <c r="A50" i="32"/>
  <c r="A49" i="32"/>
  <c r="A48" i="32"/>
  <c r="A47" i="32"/>
  <c r="K46" i="32"/>
  <c r="A46" i="32"/>
  <c r="K45" i="32"/>
  <c r="H45" i="32"/>
  <c r="O45" i="32" s="1"/>
  <c r="A45" i="32"/>
  <c r="K44" i="32"/>
  <c r="I44" i="32"/>
  <c r="A44" i="32"/>
  <c r="K43" i="32"/>
  <c r="A43" i="32"/>
  <c r="A41" i="32"/>
  <c r="A40" i="32"/>
  <c r="A39" i="32"/>
  <c r="A38" i="32"/>
  <c r="A37" i="32"/>
  <c r="A36" i="32"/>
  <c r="A35" i="32"/>
  <c r="A34" i="32"/>
  <c r="A33" i="32"/>
  <c r="K32" i="32"/>
  <c r="O32" i="32" s="1"/>
  <c r="A32" i="32"/>
  <c r="K31" i="32"/>
  <c r="H31" i="32"/>
  <c r="O31" i="32" s="1"/>
  <c r="A31" i="32"/>
  <c r="K30" i="32"/>
  <c r="I30" i="32"/>
  <c r="O30" i="32" s="1"/>
  <c r="A30" i="32"/>
  <c r="K29" i="32"/>
  <c r="E29" i="32"/>
  <c r="O29" i="32" s="1"/>
  <c r="A29" i="32"/>
  <c r="A27" i="32"/>
  <c r="A26" i="32"/>
  <c r="A25" i="32"/>
  <c r="A24" i="32"/>
  <c r="A23" i="32"/>
  <c r="A22" i="32"/>
  <c r="H21" i="32"/>
  <c r="H99" i="32" s="1"/>
  <c r="A21" i="32"/>
  <c r="K20" i="32"/>
  <c r="A20" i="32"/>
  <c r="K19" i="32"/>
  <c r="I19" i="32"/>
  <c r="A19" i="32"/>
  <c r="K18" i="32"/>
  <c r="K99" i="32" s="1"/>
  <c r="E18" i="32"/>
  <c r="A18" i="32"/>
  <c r="O16" i="32"/>
  <c r="D16" i="32"/>
  <c r="A16" i="32"/>
  <c r="C14" i="32"/>
  <c r="O14" i="32" s="1"/>
  <c r="O13" i="32"/>
  <c r="O12" i="32"/>
  <c r="O11" i="32"/>
  <c r="A11" i="32"/>
  <c r="O10" i="32"/>
  <c r="O9" i="32"/>
  <c r="O8" i="32"/>
  <c r="O7" i="32"/>
  <c r="G99" i="31"/>
  <c r="F99" i="31"/>
  <c r="C99" i="31"/>
  <c r="A99" i="31"/>
  <c r="A97" i="31"/>
  <c r="A96" i="31"/>
  <c r="A95" i="31"/>
  <c r="A94" i="31"/>
  <c r="A93" i="31"/>
  <c r="A92" i="31"/>
  <c r="A91" i="31"/>
  <c r="A90" i="31"/>
  <c r="E89" i="31"/>
  <c r="A89" i="31"/>
  <c r="A88" i="31"/>
  <c r="A87" i="31"/>
  <c r="F86" i="31"/>
  <c r="I86" i="31" s="1"/>
  <c r="A86" i="31"/>
  <c r="A85" i="31"/>
  <c r="A84" i="31"/>
  <c r="A83" i="31"/>
  <c r="A82" i="31"/>
  <c r="G81" i="31"/>
  <c r="A81" i="31"/>
  <c r="A80" i="31"/>
  <c r="A79" i="31"/>
  <c r="A78" i="31"/>
  <c r="A77" i="31"/>
  <c r="A76" i="31"/>
  <c r="A75" i="31"/>
  <c r="A74" i="31"/>
  <c r="A73" i="31"/>
  <c r="A72" i="31"/>
  <c r="A64" i="31"/>
  <c r="A63" i="31"/>
  <c r="A62" i="31"/>
  <c r="A61" i="31"/>
  <c r="A60" i="31"/>
  <c r="A58" i="31"/>
  <c r="A57" i="31"/>
  <c r="H56" i="31"/>
  <c r="H99" i="31" s="1"/>
  <c r="A56" i="31"/>
  <c r="A55" i="31"/>
  <c r="A54" i="31"/>
  <c r="A52" i="31"/>
  <c r="A51" i="31"/>
  <c r="A50" i="31"/>
  <c r="E49" i="31"/>
  <c r="A49" i="31"/>
  <c r="A48" i="31"/>
  <c r="A47" i="31"/>
  <c r="A46" i="31"/>
  <c r="A45" i="31"/>
  <c r="A44" i="31"/>
  <c r="A43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7" i="31"/>
  <c r="E26" i="31"/>
  <c r="A26" i="31"/>
  <c r="A25" i="31"/>
  <c r="E24" i="31"/>
  <c r="A24" i="31"/>
  <c r="A23" i="31"/>
  <c r="A22" i="31"/>
  <c r="A21" i="31"/>
  <c r="A20" i="31"/>
  <c r="A19" i="31"/>
  <c r="I18" i="31"/>
  <c r="A18" i="31"/>
  <c r="I16" i="31"/>
  <c r="A16" i="31"/>
  <c r="H14" i="31"/>
  <c r="G14" i="31"/>
  <c r="F14" i="31"/>
  <c r="E14" i="31"/>
  <c r="D14" i="31"/>
  <c r="C14" i="31"/>
  <c r="I13" i="31"/>
  <c r="I12" i="31"/>
  <c r="A12" i="31"/>
  <c r="I11" i="31"/>
  <c r="A11" i="31"/>
  <c r="I10" i="31"/>
  <c r="A10" i="31"/>
  <c r="A10" i="32" s="1"/>
  <c r="I9" i="31"/>
  <c r="A9" i="31"/>
  <c r="A9" i="32" s="1"/>
  <c r="I8" i="31"/>
  <c r="I14" i="31" s="1"/>
  <c r="A8" i="31"/>
  <c r="A8" i="32" s="1"/>
  <c r="I7" i="31"/>
  <c r="A7" i="31"/>
  <c r="A7" i="32" s="1"/>
  <c r="S18" i="28"/>
  <c r="S19" i="28" s="1"/>
  <c r="R18" i="28"/>
  <c r="Q18" i="28"/>
  <c r="R19" i="28"/>
  <c r="Q19" i="28"/>
  <c r="P19" i="28"/>
  <c r="O19" i="28"/>
  <c r="O21" i="32" l="1"/>
  <c r="I99" i="32"/>
  <c r="E99" i="32"/>
  <c r="O18" i="32"/>
  <c r="G99" i="32"/>
  <c r="E99" i="31"/>
  <c r="S17" i="28"/>
  <c r="R17" i="28"/>
  <c r="P15" i="28"/>
  <c r="O15" i="28"/>
  <c r="Q16" i="28"/>
  <c r="S15" i="28"/>
  <c r="R15" i="28"/>
  <c r="Q15" i="28"/>
  <c r="Q17" i="28"/>
  <c r="H6" i="28"/>
  <c r="H5" i="28"/>
  <c r="B12" i="29" l="1"/>
  <c r="B9" i="29" l="1"/>
  <c r="D9" i="29"/>
  <c r="C9" i="29"/>
  <c r="C12" i="29"/>
  <c r="D12" i="29" s="1"/>
  <c r="D13" i="29" s="1"/>
  <c r="M20" i="32" s="1"/>
  <c r="M99" i="32" l="1"/>
  <c r="O20" i="32"/>
  <c r="E11" i="28"/>
  <c r="C11" i="28"/>
  <c r="I11" i="28" s="1"/>
  <c r="S11" i="28" s="1"/>
  <c r="S12" i="28" s="1"/>
  <c r="I10" i="28"/>
  <c r="R10" i="28" s="1"/>
  <c r="R12" i="28" s="1"/>
  <c r="E10" i="28"/>
  <c r="C10" i="28"/>
  <c r="E9" i="28"/>
  <c r="C9" i="28"/>
  <c r="I9" i="28" s="1"/>
  <c r="P9" i="28" s="1"/>
  <c r="P12" i="28" s="1"/>
  <c r="K8" i="28"/>
  <c r="E8" i="28"/>
  <c r="C8" i="28"/>
  <c r="J8" i="28" s="1"/>
  <c r="J7" i="28"/>
  <c r="K7" i="28"/>
  <c r="L7" i="28" s="1"/>
  <c r="E7" i="28"/>
  <c r="I6" i="28"/>
  <c r="O6" i="28" s="1"/>
  <c r="E6" i="28"/>
  <c r="I5" i="28"/>
  <c r="E5" i="28"/>
  <c r="L8" i="28" l="1"/>
  <c r="Q8" i="28" s="1"/>
  <c r="Q12" i="28" s="1"/>
  <c r="P16" i="28"/>
  <c r="P17" i="28"/>
  <c r="P18" i="28"/>
  <c r="O7" i="28"/>
  <c r="O5" i="28"/>
  <c r="I12" i="28"/>
  <c r="R16" i="28"/>
  <c r="S16" i="28"/>
  <c r="K25" i="17"/>
  <c r="F25" i="17"/>
  <c r="F26" i="17" s="1"/>
  <c r="F30" i="17" s="1"/>
  <c r="H25" i="17"/>
  <c r="L26" i="17"/>
  <c r="L30" i="17" s="1"/>
  <c r="G30" i="17"/>
  <c r="M26" i="17"/>
  <c r="M30" i="17" s="1"/>
  <c r="K26" i="17"/>
  <c r="K30" i="17" s="1"/>
  <c r="J26" i="17"/>
  <c r="J30" i="17" s="1"/>
  <c r="I26" i="17"/>
  <c r="I30" i="17" s="1"/>
  <c r="G26" i="17"/>
  <c r="E26" i="17"/>
  <c r="E30" i="17" s="1"/>
  <c r="D26" i="17"/>
  <c r="D30" i="17" s="1"/>
  <c r="C26" i="17"/>
  <c r="C30" i="17" s="1"/>
  <c r="B26" i="17"/>
  <c r="B30" i="17" s="1"/>
  <c r="L12" i="28" l="1"/>
  <c r="N12" i="28" s="1"/>
  <c r="N25" i="17"/>
  <c r="O12" i="28"/>
  <c r="H26" i="17"/>
  <c r="H30" i="17" s="1"/>
  <c r="O16" i="28" l="1"/>
  <c r="N16" i="28" s="1"/>
  <c r="N15" i="28"/>
  <c r="O17" i="28"/>
  <c r="N17" i="28" s="1"/>
  <c r="O18" i="28"/>
  <c r="N18" i="28" s="1"/>
  <c r="N19" i="28" s="1"/>
  <c r="H33" i="17"/>
  <c r="M33" i="17"/>
  <c r="L33" i="17"/>
  <c r="K33" i="17"/>
  <c r="J33" i="17"/>
  <c r="I33" i="17"/>
  <c r="G33" i="17"/>
  <c r="F33" i="17"/>
  <c r="E33" i="17"/>
  <c r="C33" i="17"/>
  <c r="B33" i="17"/>
  <c r="N23" i="17"/>
  <c r="N26" i="17" s="1"/>
  <c r="N30" i="17" s="1"/>
  <c r="D33" i="17" l="1"/>
  <c r="N33" i="17" s="1"/>
  <c r="N34" i="17" s="1"/>
  <c r="L5" i="17"/>
  <c r="N5" i="17"/>
  <c r="L6" i="17"/>
  <c r="N6" i="17" s="1"/>
  <c r="B7" i="17"/>
  <c r="B16" i="17" s="1"/>
  <c r="C7" i="17"/>
  <c r="C16" i="17" s="1"/>
  <c r="D7" i="17"/>
  <c r="D16" i="17" s="1"/>
  <c r="E7" i="17"/>
  <c r="E16" i="17" s="1"/>
  <c r="F7" i="17"/>
  <c r="F16" i="17" s="1"/>
  <c r="G7" i="17"/>
  <c r="G16" i="17" s="1"/>
  <c r="H7" i="17"/>
  <c r="H16" i="17" s="1"/>
  <c r="I7" i="17"/>
  <c r="I16" i="17" s="1"/>
  <c r="J7" i="17"/>
  <c r="J16" i="17" s="1"/>
  <c r="K7" i="17"/>
  <c r="K16" i="17" s="1"/>
  <c r="M7" i="17"/>
  <c r="M16" i="17" s="1"/>
  <c r="L7" i="17" l="1"/>
  <c r="L16" i="17" s="1"/>
  <c r="N7" i="17"/>
  <c r="N186" i="24"/>
  <c r="N184" i="24"/>
  <c r="N166" i="26"/>
  <c r="N138" i="26"/>
  <c r="N140" i="26" s="1"/>
  <c r="D8" i="17" l="1"/>
  <c r="N16" i="17"/>
  <c r="L8" i="17"/>
  <c r="E8" i="17"/>
  <c r="B8" i="17"/>
  <c r="J8" i="17"/>
  <c r="C8" i="17"/>
  <c r="K8" i="17"/>
  <c r="I8" i="17"/>
  <c r="H8" i="17"/>
  <c r="F8" i="17"/>
  <c r="N8" i="17"/>
  <c r="G8" i="17"/>
  <c r="M8" i="17"/>
  <c r="N183" i="26" l="1"/>
  <c r="N185" i="26"/>
  <c r="N168" i="26"/>
  <c r="N121" i="26"/>
  <c r="N123" i="26" s="1"/>
  <c r="N44" i="26"/>
  <c r="N46" i="26" s="1"/>
  <c r="N18" i="26"/>
  <c r="N16" i="26"/>
  <c r="K6" i="27"/>
  <c r="J6" i="27"/>
  <c r="J7" i="27" s="1"/>
  <c r="I6" i="27"/>
  <c r="H6" i="27"/>
  <c r="H7" i="27" s="1"/>
  <c r="G6" i="27"/>
  <c r="F6" i="27"/>
  <c r="E6" i="27"/>
  <c r="D6" i="27"/>
  <c r="D7" i="27" s="1"/>
  <c r="C6" i="27"/>
  <c r="B6" i="27"/>
  <c r="B7" i="27" s="1"/>
  <c r="F7" i="27" l="1"/>
  <c r="B12" i="27" s="1"/>
  <c r="N168" i="24"/>
  <c r="N170" i="24" s="1"/>
  <c r="N139" i="24"/>
  <c r="N141" i="24" s="1"/>
  <c r="N122" i="24"/>
  <c r="N124" i="24" s="1"/>
  <c r="N46" i="24"/>
  <c r="N48" i="24" s="1"/>
  <c r="N16" i="24"/>
  <c r="N18" i="24" s="1"/>
  <c r="H27" i="25" l="1"/>
  <c r="J27" i="25" s="1"/>
  <c r="L27" i="25" s="1"/>
  <c r="L38" i="25" s="1"/>
  <c r="H26" i="25"/>
  <c r="J26" i="25" s="1"/>
  <c r="L26" i="25" s="1"/>
  <c r="H25" i="25"/>
  <c r="J25" i="25" s="1"/>
  <c r="L25" i="25" s="1"/>
  <c r="J19" i="25"/>
  <c r="L19" i="25" s="1"/>
  <c r="H19" i="25"/>
  <c r="H18" i="25"/>
  <c r="J18" i="25" s="1"/>
  <c r="L18" i="25" s="1"/>
  <c r="H17" i="25"/>
  <c r="J17" i="25" s="1"/>
  <c r="L17" i="25" s="1"/>
  <c r="H11" i="25"/>
  <c r="J11" i="25" s="1"/>
  <c r="L11" i="25" s="1"/>
  <c r="J10" i="25"/>
  <c r="L10" i="25" s="1"/>
  <c r="H10" i="25"/>
  <c r="H9" i="25"/>
  <c r="J9" i="25" s="1"/>
  <c r="L9" i="25" s="1"/>
  <c r="E9" i="25"/>
  <c r="L30" i="25" l="1"/>
  <c r="M30" i="25"/>
  <c r="M31" i="25"/>
  <c r="L31" i="25"/>
  <c r="L32" i="25"/>
  <c r="M36" i="25"/>
  <c r="L36" i="25"/>
  <c r="M37" i="25"/>
  <c r="L37" i="25"/>
  <c r="H73" i="8" l="1"/>
  <c r="E7" i="1" l="1"/>
  <c r="E21" i="23"/>
  <c r="E19" i="23"/>
  <c r="E18" i="23"/>
  <c r="E17" i="23"/>
  <c r="E14" i="23"/>
  <c r="E13" i="23"/>
  <c r="E11" i="23"/>
  <c r="E10" i="23"/>
  <c r="E9" i="23"/>
  <c r="E7" i="23"/>
  <c r="E6" i="23"/>
  <c r="H49" i="22" l="1"/>
  <c r="H48" i="22"/>
  <c r="H50" i="22" s="1"/>
  <c r="H47" i="22"/>
  <c r="H46" i="22"/>
  <c r="H45" i="22"/>
  <c r="H43" i="22"/>
  <c r="H38" i="22"/>
  <c r="H37" i="22"/>
  <c r="H36" i="22"/>
  <c r="H32" i="22"/>
  <c r="H31" i="22"/>
  <c r="H30" i="22"/>
  <c r="H29" i="22"/>
  <c r="H28" i="22"/>
  <c r="H27" i="22"/>
  <c r="H33" i="22" s="1"/>
  <c r="H40" i="22" s="1"/>
  <c r="H20" i="22"/>
  <c r="H17" i="22"/>
  <c r="H16" i="22"/>
  <c r="H18" i="22" s="1"/>
  <c r="H12" i="22"/>
  <c r="H11" i="22"/>
  <c r="H10" i="22"/>
  <c r="H13" i="22" s="1"/>
  <c r="H9" i="22"/>
  <c r="H52" i="22" l="1"/>
  <c r="H23" i="22"/>
  <c r="T86" i="15" l="1"/>
  <c r="H86" i="15"/>
  <c r="F228" i="21"/>
  <c r="F220" i="21"/>
  <c r="F212" i="21"/>
  <c r="F114" i="21"/>
  <c r="H264" i="21"/>
  <c r="H263" i="21"/>
  <c r="H262" i="21"/>
  <c r="H261" i="21"/>
  <c r="H260" i="21"/>
  <c r="H259" i="21"/>
  <c r="H258" i="21"/>
  <c r="H257" i="21"/>
  <c r="H256" i="21"/>
  <c r="H255" i="21"/>
  <c r="F255" i="21"/>
  <c r="H254" i="21"/>
  <c r="F254" i="21"/>
  <c r="H253" i="21"/>
  <c r="F253" i="21"/>
  <c r="H252" i="21"/>
  <c r="F252" i="21"/>
  <c r="H251" i="21"/>
  <c r="H250" i="21"/>
  <c r="F250" i="21"/>
  <c r="H249" i="21"/>
  <c r="F249" i="21"/>
  <c r="H248" i="21"/>
  <c r="F248" i="21"/>
  <c r="H247" i="21"/>
  <c r="F247" i="21"/>
  <c r="H246" i="21"/>
  <c r="F246" i="21"/>
  <c r="H245" i="21"/>
  <c r="F245" i="21"/>
  <c r="H244" i="21"/>
  <c r="H243" i="21"/>
  <c r="F243" i="21"/>
  <c r="G242" i="21"/>
  <c r="H242" i="21" s="1"/>
  <c r="F242" i="21"/>
  <c r="H241" i="21"/>
  <c r="F241" i="21"/>
  <c r="D240" i="21"/>
  <c r="F240" i="21" s="1"/>
  <c r="G239" i="21"/>
  <c r="D239" i="21"/>
  <c r="F239" i="21" s="1"/>
  <c r="H237" i="21"/>
  <c r="F237" i="21"/>
  <c r="H236" i="21"/>
  <c r="F236" i="21"/>
  <c r="H235" i="21"/>
  <c r="H234" i="21"/>
  <c r="H233" i="21"/>
  <c r="F233" i="21"/>
  <c r="D232" i="21"/>
  <c r="F232" i="21" s="1"/>
  <c r="D231" i="21"/>
  <c r="H231" i="21" s="1"/>
  <c r="F230" i="21"/>
  <c r="H229" i="21"/>
  <c r="H228" i="21"/>
  <c r="H227" i="21"/>
  <c r="H226" i="21"/>
  <c r="H225" i="21"/>
  <c r="F225" i="21"/>
  <c r="F224" i="21"/>
  <c r="H223" i="21"/>
  <c r="F222" i="21"/>
  <c r="H221" i="21"/>
  <c r="H220" i="21"/>
  <c r="H219" i="21"/>
  <c r="H218" i="21"/>
  <c r="H217" i="21"/>
  <c r="F217" i="21"/>
  <c r="F216" i="21"/>
  <c r="H215" i="21"/>
  <c r="F215" i="21"/>
  <c r="F214" i="21"/>
  <c r="H213" i="21"/>
  <c r="F213" i="21"/>
  <c r="H212" i="21"/>
  <c r="D210" i="21"/>
  <c r="H210" i="21" s="1"/>
  <c r="H209" i="21"/>
  <c r="F209" i="21"/>
  <c r="H208" i="21"/>
  <c r="F207" i="21"/>
  <c r="F206" i="21"/>
  <c r="H205" i="21"/>
  <c r="F205" i="21"/>
  <c r="H203" i="21"/>
  <c r="H202" i="21"/>
  <c r="F202" i="21"/>
  <c r="H162" i="21"/>
  <c r="F162" i="21"/>
  <c r="H161" i="21"/>
  <c r="F161" i="21"/>
  <c r="D160" i="21"/>
  <c r="F160" i="21" s="1"/>
  <c r="H159" i="21"/>
  <c r="F159" i="21"/>
  <c r="H157" i="21"/>
  <c r="F157" i="21"/>
  <c r="D156" i="21"/>
  <c r="H156" i="21" s="1"/>
  <c r="H154" i="21"/>
  <c r="F154" i="21"/>
  <c r="H153" i="21"/>
  <c r="F153" i="21"/>
  <c r="H152" i="21"/>
  <c r="F152" i="21"/>
  <c r="H151" i="21"/>
  <c r="F151" i="21"/>
  <c r="H150" i="21"/>
  <c r="F150" i="21"/>
  <c r="H149" i="21"/>
  <c r="F149" i="21"/>
  <c r="H147" i="21"/>
  <c r="F147" i="21"/>
  <c r="H146" i="21"/>
  <c r="F146" i="21"/>
  <c r="H145" i="21"/>
  <c r="F145" i="21"/>
  <c r="H144" i="21"/>
  <c r="F144" i="21"/>
  <c r="H143" i="21"/>
  <c r="F143" i="21"/>
  <c r="H142" i="21"/>
  <c r="F142" i="21"/>
  <c r="H141" i="21"/>
  <c r="F141" i="21"/>
  <c r="H140" i="21"/>
  <c r="F140" i="21"/>
  <c r="H138" i="21"/>
  <c r="F138" i="21"/>
  <c r="H137" i="21"/>
  <c r="F137" i="21"/>
  <c r="H136" i="21"/>
  <c r="F136" i="21"/>
  <c r="H135" i="21"/>
  <c r="F135" i="21"/>
  <c r="H134" i="21"/>
  <c r="F134" i="21"/>
  <c r="F133" i="21"/>
  <c r="H132" i="21"/>
  <c r="F132" i="21"/>
  <c r="H130" i="21"/>
  <c r="F130" i="21"/>
  <c r="H129" i="21"/>
  <c r="F129" i="21"/>
  <c r="H128" i="21"/>
  <c r="F128" i="21"/>
  <c r="H127" i="21"/>
  <c r="F127" i="21"/>
  <c r="H126" i="21"/>
  <c r="F126" i="21"/>
  <c r="H124" i="21"/>
  <c r="F124" i="21"/>
  <c r="H123" i="21"/>
  <c r="F123" i="21"/>
  <c r="H122" i="21"/>
  <c r="F122" i="21"/>
  <c r="H121" i="21"/>
  <c r="F121" i="21"/>
  <c r="H120" i="21"/>
  <c r="F120" i="21"/>
  <c r="H119" i="21"/>
  <c r="F119" i="21"/>
  <c r="H117" i="21"/>
  <c r="F117" i="21"/>
  <c r="H116" i="21"/>
  <c r="F116" i="21"/>
  <c r="H115" i="21"/>
  <c r="F115" i="21"/>
  <c r="H114" i="21"/>
  <c r="H113" i="21"/>
  <c r="F113" i="21"/>
  <c r="H110" i="21"/>
  <c r="F110" i="21"/>
  <c r="H109" i="21"/>
  <c r="F109" i="21"/>
  <c r="H108" i="21"/>
  <c r="F108" i="21"/>
  <c r="H106" i="21"/>
  <c r="H105" i="21"/>
  <c r="F105" i="21"/>
  <c r="H104" i="21"/>
  <c r="F104" i="21"/>
  <c r="H103" i="21"/>
  <c r="F103" i="21"/>
  <c r="H102" i="21"/>
  <c r="H101" i="21"/>
  <c r="F101" i="21"/>
  <c r="H100" i="21"/>
  <c r="F100" i="21"/>
  <c r="H99" i="21"/>
  <c r="F99" i="21"/>
  <c r="H98" i="21"/>
  <c r="F98" i="21"/>
  <c r="H97" i="21"/>
  <c r="F97" i="21"/>
  <c r="H83" i="21"/>
  <c r="H82" i="21"/>
  <c r="H81" i="21"/>
  <c r="H80" i="21"/>
  <c r="H79" i="21"/>
  <c r="F79" i="21"/>
  <c r="H78" i="21"/>
  <c r="F78" i="21"/>
  <c r="H77" i="21"/>
  <c r="F77" i="21"/>
  <c r="H76" i="21"/>
  <c r="H75" i="21"/>
  <c r="H74" i="21"/>
  <c r="H73" i="21"/>
  <c r="H72" i="21"/>
  <c r="H70" i="21"/>
  <c r="H68" i="21"/>
  <c r="F68" i="21"/>
  <c r="H64" i="21"/>
  <c r="H63" i="21"/>
  <c r="H62" i="21"/>
  <c r="H61" i="21"/>
  <c r="F61" i="21"/>
  <c r="H60" i="21"/>
  <c r="F60" i="21"/>
  <c r="H59" i="21"/>
  <c r="F59" i="21"/>
  <c r="H58" i="21"/>
  <c r="F58" i="21"/>
  <c r="H57" i="21"/>
  <c r="F57" i="21"/>
  <c r="H56" i="21"/>
  <c r="F56" i="21"/>
  <c r="D55" i="21"/>
  <c r="F55" i="21" s="1"/>
  <c r="D54" i="21"/>
  <c r="H54" i="21" s="1"/>
  <c r="F53" i="21"/>
  <c r="F52" i="21"/>
  <c r="H51" i="21"/>
  <c r="F51" i="21"/>
  <c r="H50" i="21"/>
  <c r="F50" i="21"/>
  <c r="H49" i="21"/>
  <c r="F49" i="21"/>
  <c r="H48" i="21"/>
  <c r="F48" i="21"/>
  <c r="F47" i="21"/>
  <c r="D46" i="21"/>
  <c r="F46" i="21" s="1"/>
  <c r="H45" i="21"/>
  <c r="F45" i="21"/>
  <c r="H44" i="21"/>
  <c r="F44" i="21"/>
  <c r="D43" i="21"/>
  <c r="F42" i="21"/>
  <c r="F41" i="21"/>
  <c r="H40" i="21"/>
  <c r="F40" i="21"/>
  <c r="F39" i="21"/>
  <c r="H38" i="21"/>
  <c r="F38" i="21"/>
  <c r="D37" i="21"/>
  <c r="H37" i="21" s="1"/>
  <c r="H36" i="21"/>
  <c r="H35" i="21"/>
  <c r="H34" i="21"/>
  <c r="H33" i="21"/>
  <c r="H32" i="21"/>
  <c r="H31" i="21"/>
  <c r="F31" i="21"/>
  <c r="H30" i="21"/>
  <c r="F30" i="21"/>
  <c r="H28" i="21"/>
  <c r="H27" i="21"/>
  <c r="H26" i="21"/>
  <c r="F25" i="21"/>
  <c r="H24" i="21"/>
  <c r="F24" i="21"/>
  <c r="H23" i="21"/>
  <c r="H22" i="21"/>
  <c r="F22" i="21"/>
  <c r="H21" i="21"/>
  <c r="H20" i="21"/>
  <c r="H19" i="21"/>
  <c r="H18" i="21"/>
  <c r="H17" i="21"/>
  <c r="H16" i="21"/>
  <c r="H15" i="21"/>
  <c r="F15" i="21"/>
  <c r="H14" i="21"/>
  <c r="H13" i="21"/>
  <c r="H12" i="21"/>
  <c r="F12" i="21"/>
  <c r="H9" i="21"/>
  <c r="F9" i="21"/>
  <c r="F6" i="21"/>
  <c r="H239" i="21" l="1"/>
  <c r="F37" i="21"/>
  <c r="F43" i="21"/>
  <c r="H55" i="21"/>
  <c r="H46" i="21"/>
  <c r="F54" i="21"/>
  <c r="F208" i="21"/>
  <c r="F229" i="21"/>
  <c r="F221" i="21"/>
  <c r="F231" i="21"/>
  <c r="F156" i="21"/>
  <c r="F197" i="21" s="1"/>
  <c r="H160" i="21"/>
  <c r="H197" i="21" s="1"/>
  <c r="H206" i="21"/>
  <c r="F210" i="21"/>
  <c r="F223" i="21"/>
  <c r="J197" i="21" l="1"/>
  <c r="K197" i="21"/>
  <c r="H65" i="21"/>
  <c r="F267" i="21"/>
  <c r="G273" i="21" s="1"/>
  <c r="F65" i="21"/>
  <c r="G271" i="21"/>
  <c r="G272" i="21"/>
  <c r="J65" i="21" l="1"/>
  <c r="J268" i="21" s="1"/>
  <c r="J270" i="21" s="1"/>
  <c r="L5" i="21" s="1"/>
  <c r="K65" i="21"/>
  <c r="K268" i="21" s="1"/>
  <c r="G274" i="21"/>
  <c r="N17" i="18" l="1"/>
  <c r="F65" i="8" l="1"/>
  <c r="F69" i="8" l="1"/>
  <c r="F68" i="8"/>
  <c r="F67" i="8"/>
  <c r="F66" i="8"/>
  <c r="D69" i="8"/>
  <c r="E69" i="8" s="1"/>
  <c r="D68" i="8"/>
  <c r="E68" i="8" s="1"/>
  <c r="D67" i="8"/>
  <c r="E67" i="8" s="1"/>
  <c r="D66" i="8"/>
  <c r="E66" i="8" s="1"/>
  <c r="D65" i="8"/>
  <c r="E65" i="8" s="1"/>
  <c r="G65" i="8" s="1"/>
  <c r="E70" i="15" s="1"/>
  <c r="Z322" i="5"/>
  <c r="U322" i="5"/>
  <c r="Z321" i="5"/>
  <c r="U321" i="5"/>
  <c r="Z320" i="5"/>
  <c r="U320" i="5"/>
  <c r="Z319" i="5"/>
  <c r="U319" i="5"/>
  <c r="Z318" i="5"/>
  <c r="U318" i="5"/>
  <c r="Z317" i="5"/>
  <c r="U317" i="5"/>
  <c r="Z316" i="5"/>
  <c r="U316" i="5"/>
  <c r="O322" i="5"/>
  <c r="L322" i="5"/>
  <c r="O320" i="5"/>
  <c r="O319" i="5"/>
  <c r="O318" i="5"/>
  <c r="O317" i="5"/>
  <c r="O316" i="5"/>
  <c r="L320" i="5"/>
  <c r="L319" i="5"/>
  <c r="L318" i="5"/>
  <c r="L317" i="5"/>
  <c r="L316" i="5"/>
  <c r="G321" i="5"/>
  <c r="G320" i="5"/>
  <c r="G319" i="5"/>
  <c r="G318" i="5"/>
  <c r="G317" i="5"/>
  <c r="G316" i="5"/>
  <c r="E321" i="5"/>
  <c r="E320" i="5"/>
  <c r="E319" i="5"/>
  <c r="E318" i="5"/>
  <c r="E317" i="5"/>
  <c r="E316" i="5"/>
  <c r="F83" i="8"/>
  <c r="D83" i="8"/>
  <c r="C83" i="8"/>
  <c r="C82" i="8"/>
  <c r="G66" i="8" l="1"/>
  <c r="E71" i="15" s="1"/>
  <c r="G69" i="8"/>
  <c r="E74" i="15" s="1"/>
  <c r="G67" i="8"/>
  <c r="E72" i="15" s="1"/>
  <c r="G68" i="8"/>
  <c r="E73" i="15" s="1"/>
  <c r="E83" i="8"/>
  <c r="G83" i="8" s="1"/>
  <c r="E89" i="15" s="1"/>
  <c r="I89" i="15" s="1"/>
  <c r="H83" i="8" s="1"/>
  <c r="I83" i="8" s="1"/>
  <c r="K83" i="8" s="1"/>
  <c r="L17" i="15" l="1"/>
  <c r="J17" i="15"/>
  <c r="Q17" i="15"/>
  <c r="K17" i="15"/>
  <c r="P17" i="15"/>
  <c r="I17" i="15"/>
  <c r="N17" i="15"/>
  <c r="H17" i="15"/>
  <c r="M17" i="15"/>
  <c r="O17" i="15"/>
  <c r="N17" i="14" l="1"/>
  <c r="W307" i="5"/>
  <c r="S307" i="5"/>
  <c r="O307" i="5"/>
  <c r="N307" i="5"/>
  <c r="L294" i="5"/>
  <c r="L293" i="5"/>
  <c r="L292" i="5"/>
  <c r="H88" i="13"/>
  <c r="H57" i="13"/>
  <c r="H17" i="13"/>
  <c r="C25" i="11" l="1"/>
  <c r="H23" i="11"/>
  <c r="H25" i="11" s="1"/>
  <c r="G23" i="11"/>
  <c r="G25" i="11" s="1"/>
  <c r="E23" i="11"/>
  <c r="E25" i="11" s="1"/>
  <c r="D23" i="11"/>
  <c r="D25" i="11" s="1"/>
  <c r="C23" i="11"/>
  <c r="T22" i="11"/>
  <c r="S22" i="11"/>
  <c r="R22" i="11"/>
  <c r="Q22" i="11"/>
  <c r="I22" i="11"/>
  <c r="P22" i="11" s="1"/>
  <c r="Q21" i="11"/>
  <c r="I21" i="11"/>
  <c r="P21" i="11" s="1"/>
  <c r="Q20" i="11"/>
  <c r="P20" i="11"/>
  <c r="N20" i="11"/>
  <c r="I20" i="11"/>
  <c r="J20" i="11" s="1"/>
  <c r="Q19" i="11"/>
  <c r="I19" i="11"/>
  <c r="P19" i="11" s="1"/>
  <c r="Q18" i="11"/>
  <c r="N18" i="11"/>
  <c r="J18" i="11"/>
  <c r="R18" i="11" s="1"/>
  <c r="I18" i="11"/>
  <c r="P18" i="11" s="1"/>
  <c r="Q17" i="11"/>
  <c r="P17" i="11"/>
  <c r="N17" i="11"/>
  <c r="J17" i="11"/>
  <c r="I17" i="11"/>
  <c r="Q16" i="11"/>
  <c r="I16" i="11"/>
  <c r="P16" i="11" s="1"/>
  <c r="Q15" i="11"/>
  <c r="N15" i="11"/>
  <c r="I15" i="11"/>
  <c r="J15" i="11" s="1"/>
  <c r="Q14" i="11"/>
  <c r="P14" i="11"/>
  <c r="I14" i="11"/>
  <c r="N14" i="11" s="1"/>
  <c r="Q13" i="11"/>
  <c r="Q23" i="11" s="1"/>
  <c r="I13" i="11"/>
  <c r="J13" i="11" s="1"/>
  <c r="H11" i="11"/>
  <c r="G11" i="11"/>
  <c r="F11" i="11"/>
  <c r="E11" i="11"/>
  <c r="D11" i="11"/>
  <c r="C11" i="11"/>
  <c r="Q10" i="11"/>
  <c r="P10" i="11"/>
  <c r="N10" i="11"/>
  <c r="I10" i="11"/>
  <c r="J10" i="11" s="1"/>
  <c r="Q9" i="11"/>
  <c r="Q11" i="11" s="1"/>
  <c r="P9" i="11"/>
  <c r="I9" i="11"/>
  <c r="N9" i="11" s="1"/>
  <c r="Q8" i="11"/>
  <c r="I8" i="11"/>
  <c r="P8" i="11" s="1"/>
  <c r="P11" i="11" s="1"/>
  <c r="R15" i="11" l="1"/>
  <c r="T15" i="11" s="1"/>
  <c r="M15" i="11"/>
  <c r="L15" i="11"/>
  <c r="S15" i="11" s="1"/>
  <c r="L20" i="11"/>
  <c r="S20" i="11" s="1"/>
  <c r="R20" i="11"/>
  <c r="T20" i="11" s="1"/>
  <c r="M20" i="11"/>
  <c r="L10" i="11"/>
  <c r="S10" i="11" s="1"/>
  <c r="R10" i="11"/>
  <c r="R13" i="11"/>
  <c r="L13" i="11"/>
  <c r="M13" i="11" s="1"/>
  <c r="T18" i="11"/>
  <c r="Q25" i="11"/>
  <c r="L18" i="11"/>
  <c r="S18" i="11" s="1"/>
  <c r="J21" i="11"/>
  <c r="J16" i="11"/>
  <c r="J23" i="11" s="1"/>
  <c r="P15" i="11"/>
  <c r="R17" i="11"/>
  <c r="T17" i="11" s="1"/>
  <c r="J19" i="11"/>
  <c r="J9" i="11"/>
  <c r="N13" i="11"/>
  <c r="J14" i="11"/>
  <c r="N21" i="11"/>
  <c r="I11" i="11"/>
  <c r="N11" i="11" s="1"/>
  <c r="P13" i="11"/>
  <c r="P23" i="11" s="1"/>
  <c r="P25" i="11" s="1"/>
  <c r="N16" i="11"/>
  <c r="I23" i="11"/>
  <c r="J8" i="11"/>
  <c r="N8" i="11"/>
  <c r="L17" i="11"/>
  <c r="S17" i="11" s="1"/>
  <c r="N19" i="11"/>
  <c r="L9" i="11" l="1"/>
  <c r="S9" i="11" s="1"/>
  <c r="R9" i="11"/>
  <c r="I25" i="11"/>
  <c r="N23" i="11"/>
  <c r="N25" i="11"/>
  <c r="M18" i="11"/>
  <c r="T13" i="11"/>
  <c r="R23" i="11"/>
  <c r="J11" i="11"/>
  <c r="J25" i="11" s="1"/>
  <c r="R8" i="11"/>
  <c r="L8" i="11"/>
  <c r="R19" i="11"/>
  <c r="L19" i="11"/>
  <c r="S19" i="11" s="1"/>
  <c r="L14" i="11"/>
  <c r="S14" i="11" s="1"/>
  <c r="R14" i="11"/>
  <c r="T14" i="11" s="1"/>
  <c r="R21" i="11"/>
  <c r="L21" i="11"/>
  <c r="S21" i="11" s="1"/>
  <c r="T10" i="11"/>
  <c r="S13" i="11"/>
  <c r="L16" i="11"/>
  <c r="S16" i="11" s="1"/>
  <c r="R16" i="11"/>
  <c r="T16" i="11" s="1"/>
  <c r="M10" i="11"/>
  <c r="M17" i="11"/>
  <c r="T23" i="11" l="1"/>
  <c r="M9" i="11"/>
  <c r="T19" i="11"/>
  <c r="T21" i="11"/>
  <c r="M19" i="11"/>
  <c r="M16" i="11"/>
  <c r="L11" i="11"/>
  <c r="L25" i="11" s="1"/>
  <c r="S8" i="11"/>
  <c r="S11" i="11" s="1"/>
  <c r="S25" i="11" s="1"/>
  <c r="S23" i="11"/>
  <c r="M8" i="11"/>
  <c r="L23" i="11"/>
  <c r="M14" i="11"/>
  <c r="R11" i="11"/>
  <c r="R25" i="11" s="1"/>
  <c r="T9" i="11"/>
  <c r="M21" i="11"/>
  <c r="T8" i="11" l="1"/>
  <c r="T11" i="11" s="1"/>
  <c r="M23" i="11"/>
  <c r="M11" i="11"/>
  <c r="M25" i="11" s="1"/>
  <c r="T25" i="11" l="1"/>
  <c r="U11" i="11"/>
  <c r="U17" i="11" l="1"/>
  <c r="U15" i="11"/>
  <c r="U20" i="11"/>
  <c r="U18" i="11"/>
  <c r="U16" i="11"/>
  <c r="U14" i="11"/>
  <c r="U13" i="11"/>
  <c r="U21" i="11"/>
  <c r="U19" i="11"/>
  <c r="U23" i="11"/>
  <c r="T16" i="15" l="1"/>
  <c r="Q16" i="15"/>
  <c r="P16" i="15"/>
  <c r="O16" i="15"/>
  <c r="N16" i="15"/>
  <c r="M16" i="15"/>
  <c r="L16" i="15"/>
  <c r="K16" i="15"/>
  <c r="J16" i="15"/>
  <c r="I16" i="15"/>
  <c r="H16" i="15"/>
  <c r="I20" i="10"/>
  <c r="I19" i="10"/>
  <c r="I8" i="10"/>
  <c r="I18" i="10"/>
  <c r="I17" i="10"/>
  <c r="I16" i="10"/>
  <c r="I15" i="10"/>
  <c r="I14" i="10"/>
  <c r="I13" i="10"/>
  <c r="I12" i="10"/>
  <c r="I11" i="10"/>
  <c r="I10" i="10"/>
  <c r="I9" i="10"/>
  <c r="I7" i="10"/>
  <c r="I6" i="10"/>
  <c r="I5" i="10"/>
  <c r="F20" i="10"/>
  <c r="E20" i="10"/>
  <c r="G19" i="10"/>
  <c r="F19" i="10"/>
  <c r="E19" i="10"/>
  <c r="D19" i="10"/>
  <c r="C19" i="10"/>
  <c r="H18" i="10"/>
  <c r="H17" i="10"/>
  <c r="H16" i="10"/>
  <c r="H15" i="10"/>
  <c r="H14" i="10"/>
  <c r="H13" i="10"/>
  <c r="H12" i="10"/>
  <c r="H11" i="10"/>
  <c r="H10" i="10"/>
  <c r="H9" i="10"/>
  <c r="H19" i="10" s="1"/>
  <c r="G8" i="10"/>
  <c r="G20" i="10" s="1"/>
  <c r="F8" i="10"/>
  <c r="E8" i="10"/>
  <c r="D8" i="10"/>
  <c r="D20" i="10" s="1"/>
  <c r="C8" i="10"/>
  <c r="C20" i="10" s="1"/>
  <c r="H7" i="10"/>
  <c r="H6" i="10"/>
  <c r="H8" i="10" s="1"/>
  <c r="H5" i="10"/>
  <c r="H20" i="10" l="1"/>
  <c r="C54" i="8" l="1"/>
  <c r="C18" i="8"/>
  <c r="C92" i="8" l="1"/>
  <c r="C91" i="8"/>
  <c r="C90" i="8"/>
  <c r="C88" i="8"/>
  <c r="C87" i="8"/>
  <c r="C86" i="8"/>
  <c r="C85" i="8"/>
  <c r="C84" i="8"/>
  <c r="C81" i="8"/>
  <c r="C80" i="8"/>
  <c r="C79" i="8"/>
  <c r="C78" i="8"/>
  <c r="C77" i="8"/>
  <c r="C76" i="8"/>
  <c r="C75" i="8"/>
  <c r="C74" i="8"/>
  <c r="C73" i="8"/>
  <c r="C72" i="8"/>
  <c r="C71" i="8"/>
  <c r="C57" i="8"/>
  <c r="E62" i="15" s="1"/>
  <c r="C56" i="8"/>
  <c r="C55" i="8"/>
  <c r="C53" i="8"/>
  <c r="C51" i="8"/>
  <c r="C50" i="8"/>
  <c r="C49" i="8"/>
  <c r="C48" i="8"/>
  <c r="C47" i="8"/>
  <c r="C46" i="8"/>
  <c r="C45" i="8"/>
  <c r="C44" i="8"/>
  <c r="C43" i="8"/>
  <c r="C42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6" i="8"/>
  <c r="C25" i="8"/>
  <c r="C24" i="8"/>
  <c r="C23" i="8"/>
  <c r="C22" i="8"/>
  <c r="C21" i="8"/>
  <c r="C20" i="8"/>
  <c r="C19" i="8"/>
  <c r="C17" i="8"/>
  <c r="C12" i="8"/>
  <c r="C93" i="8"/>
  <c r="O126" i="9"/>
  <c r="C15" i="8"/>
  <c r="W306" i="5" l="1"/>
  <c r="S306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L305" i="5"/>
  <c r="L304" i="5"/>
  <c r="L303" i="5"/>
  <c r="L302" i="5"/>
  <c r="L301" i="5"/>
  <c r="W295" i="5"/>
  <c r="S295" i="5"/>
  <c r="M295" i="5"/>
  <c r="L295" i="5"/>
  <c r="L306" i="5" s="1"/>
  <c r="L307" i="5" s="1"/>
  <c r="AH294" i="5"/>
  <c r="AG294" i="5"/>
  <c r="AE294" i="5"/>
  <c r="AD294" i="5"/>
  <c r="AB294" i="5"/>
  <c r="AA294" i="5"/>
  <c r="Q294" i="5"/>
  <c r="N294" i="5"/>
  <c r="O294" i="5" s="1"/>
  <c r="O295" i="5" s="1"/>
  <c r="O306" i="5" s="1"/>
  <c r="I294" i="5"/>
  <c r="AF294" i="5" s="1"/>
  <c r="AH293" i="5"/>
  <c r="AG293" i="5"/>
  <c r="AE293" i="5"/>
  <c r="AD293" i="5"/>
  <c r="AB293" i="5"/>
  <c r="AA293" i="5"/>
  <c r="Q293" i="5"/>
  <c r="N293" i="5"/>
  <c r="O293" i="5" s="1"/>
  <c r="I293" i="5"/>
  <c r="AC293" i="5" s="1"/>
  <c r="AH292" i="5"/>
  <c r="AG292" i="5"/>
  <c r="AE292" i="5"/>
  <c r="AD292" i="5"/>
  <c r="AC292" i="5"/>
  <c r="AB292" i="5"/>
  <c r="AA292" i="5"/>
  <c r="Q292" i="5"/>
  <c r="N292" i="5"/>
  <c r="O292" i="5" s="1"/>
  <c r="I292" i="5"/>
  <c r="AF292" i="5" s="1"/>
  <c r="I291" i="5"/>
  <c r="AF291" i="5" s="1"/>
  <c r="I290" i="5"/>
  <c r="AC290" i="5" s="1"/>
  <c r="AH291" i="5"/>
  <c r="AG291" i="5"/>
  <c r="AE291" i="5"/>
  <c r="AD291" i="5"/>
  <c r="AB291" i="5"/>
  <c r="AA291" i="5"/>
  <c r="Q291" i="5"/>
  <c r="N291" i="5"/>
  <c r="O291" i="5" s="1"/>
  <c r="AH290" i="5"/>
  <c r="AG290" i="5"/>
  <c r="AE290" i="5"/>
  <c r="AD290" i="5"/>
  <c r="AB290" i="5"/>
  <c r="AA290" i="5"/>
  <c r="Q290" i="5"/>
  <c r="N290" i="5"/>
  <c r="O290" i="5" s="1"/>
  <c r="AH256" i="5"/>
  <c r="AG256" i="5"/>
  <c r="AE256" i="5"/>
  <c r="AD256" i="5"/>
  <c r="AB256" i="5"/>
  <c r="AA256" i="5"/>
  <c r="Q256" i="5"/>
  <c r="AH255" i="5"/>
  <c r="AG255" i="5"/>
  <c r="AE255" i="5"/>
  <c r="AD255" i="5"/>
  <c r="AB255" i="5"/>
  <c r="AA255" i="5"/>
  <c r="Q255" i="5"/>
  <c r="AH254" i="5"/>
  <c r="AG254" i="5"/>
  <c r="AE254" i="5"/>
  <c r="AD254" i="5"/>
  <c r="AB254" i="5"/>
  <c r="AA254" i="5"/>
  <c r="Q254" i="5"/>
  <c r="AH253" i="5"/>
  <c r="AG253" i="5"/>
  <c r="AE253" i="5"/>
  <c r="AD253" i="5"/>
  <c r="AB253" i="5"/>
  <c r="AA253" i="5"/>
  <c r="Q253" i="5"/>
  <c r="AH252" i="5"/>
  <c r="AG252" i="5"/>
  <c r="AE252" i="5"/>
  <c r="AD252" i="5"/>
  <c r="AB252" i="5"/>
  <c r="AA252" i="5"/>
  <c r="Q252" i="5"/>
  <c r="AH251" i="5"/>
  <c r="AG251" i="5"/>
  <c r="AE251" i="5"/>
  <c r="AD251" i="5"/>
  <c r="AB251" i="5"/>
  <c r="AA251" i="5"/>
  <c r="Q251" i="5"/>
  <c r="AH250" i="5"/>
  <c r="AG250" i="5"/>
  <c r="AE250" i="5"/>
  <c r="AD250" i="5"/>
  <c r="AB250" i="5"/>
  <c r="AA250" i="5"/>
  <c r="Q250" i="5"/>
  <c r="AH249" i="5"/>
  <c r="AG249" i="5"/>
  <c r="AE249" i="5"/>
  <c r="AD249" i="5"/>
  <c r="AB249" i="5"/>
  <c r="AA249" i="5"/>
  <c r="Q249" i="5"/>
  <c r="AH248" i="5"/>
  <c r="AG248" i="5"/>
  <c r="AE248" i="5"/>
  <c r="AD248" i="5"/>
  <c r="AB248" i="5"/>
  <c r="AA248" i="5"/>
  <c r="Q248" i="5"/>
  <c r="AH247" i="5"/>
  <c r="AG247" i="5"/>
  <c r="AE247" i="5"/>
  <c r="AD247" i="5"/>
  <c r="AB247" i="5"/>
  <c r="AA247" i="5"/>
  <c r="Q247" i="5"/>
  <c r="AH246" i="5"/>
  <c r="AG246" i="5"/>
  <c r="AE246" i="5"/>
  <c r="AD246" i="5"/>
  <c r="AB246" i="5"/>
  <c r="AA246" i="5"/>
  <c r="Q246" i="5"/>
  <c r="AH245" i="5"/>
  <c r="AG245" i="5"/>
  <c r="AE245" i="5"/>
  <c r="AD245" i="5"/>
  <c r="AB245" i="5"/>
  <c r="AA245" i="5"/>
  <c r="Q245" i="5"/>
  <c r="AH244" i="5"/>
  <c r="AG244" i="5"/>
  <c r="AE244" i="5"/>
  <c r="AD244" i="5"/>
  <c r="AB244" i="5"/>
  <c r="AA244" i="5"/>
  <c r="Q244" i="5"/>
  <c r="AH243" i="5"/>
  <c r="AG243" i="5"/>
  <c r="AE243" i="5"/>
  <c r="AD243" i="5"/>
  <c r="AB243" i="5"/>
  <c r="AA243" i="5"/>
  <c r="Q243" i="5"/>
  <c r="AH242" i="5"/>
  <c r="AG242" i="5"/>
  <c r="AE242" i="5"/>
  <c r="AD242" i="5"/>
  <c r="AB242" i="5"/>
  <c r="AA242" i="5"/>
  <c r="Q242" i="5"/>
  <c r="AH241" i="5"/>
  <c r="AG241" i="5"/>
  <c r="AE241" i="5"/>
  <c r="AD241" i="5"/>
  <c r="AB241" i="5"/>
  <c r="AA241" i="5"/>
  <c r="Q241" i="5"/>
  <c r="AH240" i="5"/>
  <c r="AG240" i="5"/>
  <c r="AE240" i="5"/>
  <c r="AD240" i="5"/>
  <c r="AB240" i="5"/>
  <c r="AA240" i="5"/>
  <c r="Q240" i="5"/>
  <c r="AH239" i="5"/>
  <c r="AG239" i="5"/>
  <c r="AE239" i="5"/>
  <c r="AD239" i="5"/>
  <c r="AB239" i="5"/>
  <c r="AA239" i="5"/>
  <c r="Q239" i="5"/>
  <c r="AH238" i="5"/>
  <c r="AG238" i="5"/>
  <c r="AE238" i="5"/>
  <c r="AD238" i="5"/>
  <c r="AB238" i="5"/>
  <c r="AA238" i="5"/>
  <c r="Q238" i="5"/>
  <c r="AH237" i="5"/>
  <c r="AG237" i="5"/>
  <c r="AE237" i="5"/>
  <c r="AD237" i="5"/>
  <c r="AB237" i="5"/>
  <c r="AA237" i="5"/>
  <c r="Q237" i="5"/>
  <c r="AH236" i="5"/>
  <c r="AG236" i="5"/>
  <c r="AE236" i="5"/>
  <c r="AD236" i="5"/>
  <c r="AB236" i="5"/>
  <c r="AA236" i="5"/>
  <c r="Q236" i="5"/>
  <c r="AH235" i="5"/>
  <c r="AG235" i="5"/>
  <c r="AE235" i="5"/>
  <c r="AD235" i="5"/>
  <c r="AB235" i="5"/>
  <c r="AA235" i="5"/>
  <c r="Q235" i="5"/>
  <c r="AH234" i="5"/>
  <c r="AG234" i="5"/>
  <c r="AE234" i="5"/>
  <c r="AD234" i="5"/>
  <c r="AB234" i="5"/>
  <c r="AA234" i="5"/>
  <c r="Q234" i="5"/>
  <c r="AH233" i="5"/>
  <c r="AG233" i="5"/>
  <c r="AE233" i="5"/>
  <c r="AD233" i="5"/>
  <c r="AB233" i="5"/>
  <c r="AA233" i="5"/>
  <c r="Q233" i="5"/>
  <c r="AH232" i="5"/>
  <c r="AG232" i="5"/>
  <c r="AE232" i="5"/>
  <c r="AD232" i="5"/>
  <c r="AB232" i="5"/>
  <c r="AA232" i="5"/>
  <c r="Q232" i="5"/>
  <c r="AH231" i="5"/>
  <c r="AG231" i="5"/>
  <c r="AE231" i="5"/>
  <c r="AD231" i="5"/>
  <c r="AB231" i="5"/>
  <c r="AA231" i="5"/>
  <c r="Q231" i="5"/>
  <c r="AH230" i="5"/>
  <c r="AG230" i="5"/>
  <c r="AE230" i="5"/>
  <c r="AD230" i="5"/>
  <c r="AB230" i="5"/>
  <c r="AA230" i="5"/>
  <c r="Q230" i="5"/>
  <c r="AH229" i="5"/>
  <c r="AG229" i="5"/>
  <c r="AE229" i="5"/>
  <c r="AD229" i="5"/>
  <c r="AB229" i="5"/>
  <c r="AA229" i="5"/>
  <c r="Q229" i="5"/>
  <c r="AH228" i="5"/>
  <c r="AG228" i="5"/>
  <c r="AE228" i="5"/>
  <c r="AD228" i="5"/>
  <c r="AB228" i="5"/>
  <c r="AA228" i="5"/>
  <c r="Q228" i="5"/>
  <c r="AH227" i="5"/>
  <c r="AG227" i="5"/>
  <c r="AE227" i="5"/>
  <c r="AD227" i="5"/>
  <c r="AB227" i="5"/>
  <c r="AA227" i="5"/>
  <c r="Q227" i="5"/>
  <c r="AH226" i="5"/>
  <c r="AG226" i="5"/>
  <c r="AE226" i="5"/>
  <c r="AD226" i="5"/>
  <c r="AB226" i="5"/>
  <c r="AA226" i="5"/>
  <c r="Q226" i="5"/>
  <c r="AH225" i="5"/>
  <c r="AG225" i="5"/>
  <c r="AE225" i="5"/>
  <c r="AD225" i="5"/>
  <c r="AB225" i="5"/>
  <c r="AA225" i="5"/>
  <c r="Q225" i="5"/>
  <c r="AH224" i="5"/>
  <c r="AG224" i="5"/>
  <c r="AE224" i="5"/>
  <c r="AD224" i="5"/>
  <c r="AB224" i="5"/>
  <c r="AA224" i="5"/>
  <c r="Q224" i="5"/>
  <c r="AH223" i="5"/>
  <c r="AG223" i="5"/>
  <c r="AE223" i="5"/>
  <c r="AD223" i="5"/>
  <c r="AB223" i="5"/>
  <c r="AA223" i="5"/>
  <c r="Q223" i="5"/>
  <c r="AH222" i="5"/>
  <c r="AG222" i="5"/>
  <c r="AE222" i="5"/>
  <c r="AD222" i="5"/>
  <c r="AB222" i="5"/>
  <c r="AA222" i="5"/>
  <c r="Q222" i="5"/>
  <c r="AH221" i="5"/>
  <c r="AG221" i="5"/>
  <c r="AE221" i="5"/>
  <c r="AD221" i="5"/>
  <c r="AB221" i="5"/>
  <c r="AA221" i="5"/>
  <c r="Q221" i="5"/>
  <c r="AH220" i="5"/>
  <c r="AG220" i="5"/>
  <c r="AE220" i="5"/>
  <c r="AD220" i="5"/>
  <c r="AB220" i="5"/>
  <c r="AA220" i="5"/>
  <c r="Q220" i="5"/>
  <c r="AH219" i="5"/>
  <c r="AG219" i="5"/>
  <c r="AE219" i="5"/>
  <c r="AD219" i="5"/>
  <c r="AB219" i="5"/>
  <c r="AA219" i="5"/>
  <c r="Q219" i="5"/>
  <c r="AH218" i="5"/>
  <c r="AG218" i="5"/>
  <c r="AE218" i="5"/>
  <c r="AD218" i="5"/>
  <c r="AB218" i="5"/>
  <c r="AA218" i="5"/>
  <c r="Q218" i="5"/>
  <c r="AH217" i="5"/>
  <c r="AG217" i="5"/>
  <c r="AE217" i="5"/>
  <c r="AD217" i="5"/>
  <c r="AB217" i="5"/>
  <c r="AA217" i="5"/>
  <c r="Q217" i="5"/>
  <c r="AH99" i="5"/>
  <c r="AG99" i="5"/>
  <c r="AE99" i="5"/>
  <c r="AD99" i="5"/>
  <c r="AB99" i="5"/>
  <c r="AA99" i="5"/>
  <c r="Q99" i="5"/>
  <c r="AH98" i="5"/>
  <c r="AG98" i="5"/>
  <c r="AE98" i="5"/>
  <c r="AD98" i="5"/>
  <c r="AB98" i="5"/>
  <c r="AA98" i="5"/>
  <c r="Q98" i="5"/>
  <c r="AH97" i="5"/>
  <c r="AG97" i="5"/>
  <c r="AE97" i="5"/>
  <c r="AD97" i="5"/>
  <c r="AB97" i="5"/>
  <c r="AA97" i="5"/>
  <c r="Q97" i="5"/>
  <c r="AH96" i="5"/>
  <c r="AG96" i="5"/>
  <c r="AE96" i="5"/>
  <c r="AD96" i="5"/>
  <c r="AB96" i="5"/>
  <c r="AA96" i="5"/>
  <c r="Q96" i="5"/>
  <c r="AH95" i="5"/>
  <c r="AG95" i="5"/>
  <c r="AE95" i="5"/>
  <c r="AD95" i="5"/>
  <c r="AB95" i="5"/>
  <c r="AA95" i="5"/>
  <c r="Q95" i="5"/>
  <c r="AH94" i="5"/>
  <c r="AG94" i="5"/>
  <c r="AE94" i="5"/>
  <c r="AD94" i="5"/>
  <c r="AB94" i="5"/>
  <c r="AA94" i="5"/>
  <c r="Q94" i="5"/>
  <c r="AH93" i="5"/>
  <c r="AG93" i="5"/>
  <c r="AE93" i="5"/>
  <c r="AD93" i="5"/>
  <c r="AB93" i="5"/>
  <c r="AA93" i="5"/>
  <c r="Q93" i="5"/>
  <c r="AH92" i="5"/>
  <c r="AG92" i="5"/>
  <c r="AE92" i="5"/>
  <c r="AD92" i="5"/>
  <c r="AB92" i="5"/>
  <c r="AA92" i="5"/>
  <c r="Q92" i="5"/>
  <c r="AH91" i="5"/>
  <c r="AG91" i="5"/>
  <c r="AE91" i="5"/>
  <c r="AD91" i="5"/>
  <c r="AB91" i="5"/>
  <c r="AA91" i="5"/>
  <c r="Q91" i="5"/>
  <c r="AH90" i="5"/>
  <c r="AG90" i="5"/>
  <c r="AE90" i="5"/>
  <c r="AD90" i="5"/>
  <c r="AB90" i="5"/>
  <c r="AA90" i="5"/>
  <c r="Q90" i="5"/>
  <c r="Q295" i="5" l="1"/>
  <c r="Q306" i="5" s="1"/>
  <c r="Q307" i="5" s="1"/>
  <c r="U293" i="5"/>
  <c r="V293" i="5" s="1"/>
  <c r="X293" i="5" s="1"/>
  <c r="P293" i="5"/>
  <c r="T293" i="5" s="1"/>
  <c r="AC294" i="5"/>
  <c r="N295" i="5"/>
  <c r="N306" i="5" s="1"/>
  <c r="U294" i="5"/>
  <c r="V294" i="5" s="1"/>
  <c r="X294" i="5" s="1"/>
  <c r="AF293" i="5"/>
  <c r="U292" i="5"/>
  <c r="P292" i="5"/>
  <c r="P294" i="5"/>
  <c r="T294" i="5" s="1"/>
  <c r="AF290" i="5"/>
  <c r="AC291" i="5"/>
  <c r="P291" i="5" s="1"/>
  <c r="T291" i="5" s="1"/>
  <c r="U290" i="5"/>
  <c r="V290" i="5" s="1"/>
  <c r="X290" i="5" s="1"/>
  <c r="P290" i="5"/>
  <c r="T290" i="5" s="1"/>
  <c r="Y293" i="5" l="1"/>
  <c r="Z293" i="5" s="1"/>
  <c r="R293" i="5"/>
  <c r="V292" i="5"/>
  <c r="T292" i="5"/>
  <c r="T295" i="5" s="1"/>
  <c r="T306" i="5" s="1"/>
  <c r="T307" i="5" s="1"/>
  <c r="P295" i="5"/>
  <c r="P306" i="5" s="1"/>
  <c r="Y294" i="5"/>
  <c r="Z294" i="5" s="1"/>
  <c r="R294" i="5"/>
  <c r="R292" i="5"/>
  <c r="R290" i="5"/>
  <c r="Y290" i="5"/>
  <c r="Z290" i="5" s="1"/>
  <c r="R291" i="5"/>
  <c r="U291" i="5" s="1"/>
  <c r="V291" i="5" s="1"/>
  <c r="X291" i="5" s="1"/>
  <c r="Y291" i="5" s="1"/>
  <c r="Z291" i="5" s="1"/>
  <c r="U295" i="5" l="1"/>
  <c r="U306" i="5" s="1"/>
  <c r="U307" i="5" s="1"/>
  <c r="R295" i="5"/>
  <c r="R306" i="5" s="1"/>
  <c r="R307" i="5" s="1"/>
  <c r="L321" i="5"/>
  <c r="P307" i="5"/>
  <c r="X292" i="5"/>
  <c r="V295" i="5"/>
  <c r="V306" i="5" s="1"/>
  <c r="V307" i="5" s="1"/>
  <c r="T12" i="15"/>
  <c r="T11" i="15"/>
  <c r="T13" i="15" s="1"/>
  <c r="R11" i="15"/>
  <c r="R13" i="15" s="1"/>
  <c r="Q11" i="15"/>
  <c r="P11" i="15"/>
  <c r="O11" i="15"/>
  <c r="O13" i="15" s="1"/>
  <c r="N11" i="15"/>
  <c r="M11" i="15"/>
  <c r="M13" i="15" s="1"/>
  <c r="L11" i="15"/>
  <c r="L13" i="15" s="1"/>
  <c r="K11" i="15"/>
  <c r="K13" i="15" s="1"/>
  <c r="J11" i="15"/>
  <c r="I11" i="15"/>
  <c r="E107" i="15"/>
  <c r="C106" i="15"/>
  <c r="C104" i="15"/>
  <c r="E102" i="15"/>
  <c r="C102" i="15"/>
  <c r="C101" i="15"/>
  <c r="C100" i="15"/>
  <c r="C98" i="15"/>
  <c r="C97" i="15"/>
  <c r="C96" i="15"/>
  <c r="C95" i="15"/>
  <c r="C94" i="15"/>
  <c r="C93" i="15"/>
  <c r="C92" i="15"/>
  <c r="C91" i="15"/>
  <c r="C90" i="15"/>
  <c r="C88" i="15"/>
  <c r="S87" i="15"/>
  <c r="R87" i="15"/>
  <c r="C87" i="15"/>
  <c r="C86" i="15"/>
  <c r="C85" i="15"/>
  <c r="C84" i="15"/>
  <c r="C83" i="15"/>
  <c r="C82" i="15"/>
  <c r="C81" i="15"/>
  <c r="C80" i="15"/>
  <c r="C79" i="15"/>
  <c r="C78" i="15"/>
  <c r="C77" i="15"/>
  <c r="U76" i="15"/>
  <c r="U75" i="15"/>
  <c r="C75" i="15"/>
  <c r="C74" i="15"/>
  <c r="C73" i="15"/>
  <c r="C72" i="15"/>
  <c r="C71" i="15"/>
  <c r="C70" i="15"/>
  <c r="U69" i="15"/>
  <c r="C68" i="15"/>
  <c r="C67" i="15"/>
  <c r="C66" i="15"/>
  <c r="C65" i="15"/>
  <c r="C64" i="15"/>
  <c r="U63" i="15"/>
  <c r="C62" i="15"/>
  <c r="C61" i="15"/>
  <c r="C60" i="15"/>
  <c r="C59" i="15"/>
  <c r="C58" i="15"/>
  <c r="U57" i="15"/>
  <c r="C56" i="15"/>
  <c r="F55" i="15"/>
  <c r="C55" i="15"/>
  <c r="F54" i="15"/>
  <c r="F56" i="15" s="1"/>
  <c r="C54" i="15"/>
  <c r="C53" i="15"/>
  <c r="C52" i="15"/>
  <c r="C51" i="15"/>
  <c r="C50" i="15"/>
  <c r="C49" i="15"/>
  <c r="C48" i="15"/>
  <c r="C47" i="15"/>
  <c r="C45" i="15"/>
  <c r="C44" i="15"/>
  <c r="C43" i="15"/>
  <c r="C42" i="15"/>
  <c r="C41" i="15"/>
  <c r="F40" i="15"/>
  <c r="C40" i="15"/>
  <c r="F39" i="15"/>
  <c r="C39" i="15"/>
  <c r="F38" i="15"/>
  <c r="C38" i="15"/>
  <c r="C37" i="15"/>
  <c r="C36" i="15"/>
  <c r="C35" i="15"/>
  <c r="F34" i="15"/>
  <c r="C34" i="15"/>
  <c r="C33" i="15"/>
  <c r="C31" i="15"/>
  <c r="C30" i="15"/>
  <c r="C29" i="15"/>
  <c r="F28" i="15"/>
  <c r="C28" i="15"/>
  <c r="F27" i="15"/>
  <c r="C27" i="15"/>
  <c r="C26" i="15"/>
  <c r="C25" i="15"/>
  <c r="F24" i="15"/>
  <c r="C24" i="15"/>
  <c r="C23" i="15"/>
  <c r="C22" i="15"/>
  <c r="Q13" i="15"/>
  <c r="I13" i="15"/>
  <c r="C12" i="15"/>
  <c r="S11" i="15"/>
  <c r="S13" i="15" s="1"/>
  <c r="P13" i="15"/>
  <c r="N13" i="15"/>
  <c r="J13" i="15"/>
  <c r="C11" i="15"/>
  <c r="C10" i="15"/>
  <c r="C9" i="15"/>
  <c r="C8" i="15"/>
  <c r="C7" i="15"/>
  <c r="C6" i="15"/>
  <c r="C2" i="15"/>
  <c r="X295" i="5" l="1"/>
  <c r="X306" i="5" s="1"/>
  <c r="X307" i="5" s="1"/>
  <c r="Y292" i="5"/>
  <c r="Z292" i="5" l="1"/>
  <c r="Z295" i="5" s="1"/>
  <c r="Z306" i="5" s="1"/>
  <c r="Y295" i="5"/>
  <c r="Y306" i="5" s="1"/>
  <c r="Y307" i="5" s="1"/>
  <c r="O321" i="5" l="1"/>
  <c r="Z307" i="5"/>
  <c r="T68" i="15"/>
  <c r="W286" i="5" l="1"/>
  <c r="S286" i="5"/>
  <c r="L286" i="5"/>
  <c r="AH285" i="5"/>
  <c r="AG285" i="5"/>
  <c r="AE285" i="5"/>
  <c r="AD285" i="5"/>
  <c r="AB285" i="5"/>
  <c r="AA285" i="5"/>
  <c r="Q285" i="5"/>
  <c r="N285" i="5"/>
  <c r="O285" i="5" s="1"/>
  <c r="I285" i="5"/>
  <c r="AF285" i="5" s="1"/>
  <c r="AH284" i="5"/>
  <c r="AG284" i="5"/>
  <c r="AE284" i="5"/>
  <c r="AD284" i="5"/>
  <c r="AB284" i="5"/>
  <c r="AA284" i="5"/>
  <c r="Q284" i="5"/>
  <c r="N284" i="5"/>
  <c r="O284" i="5" s="1"/>
  <c r="I284" i="5"/>
  <c r="AF284" i="5" s="1"/>
  <c r="AH283" i="5"/>
  <c r="AG283" i="5"/>
  <c r="AE283" i="5"/>
  <c r="AD283" i="5"/>
  <c r="AB283" i="5"/>
  <c r="AA283" i="5"/>
  <c r="Q283" i="5"/>
  <c r="N283" i="5"/>
  <c r="O283" i="5" s="1"/>
  <c r="I283" i="5"/>
  <c r="AF283" i="5" s="1"/>
  <c r="AH282" i="5"/>
  <c r="AG282" i="5"/>
  <c r="AE282" i="5"/>
  <c r="AD282" i="5"/>
  <c r="AB282" i="5"/>
  <c r="AA282" i="5"/>
  <c r="Q282" i="5"/>
  <c r="N282" i="5"/>
  <c r="O282" i="5" s="1"/>
  <c r="I282" i="5"/>
  <c r="AF282" i="5" s="1"/>
  <c r="AH281" i="5"/>
  <c r="AG281" i="5"/>
  <c r="AE281" i="5"/>
  <c r="AD281" i="5"/>
  <c r="AB281" i="5"/>
  <c r="AA281" i="5"/>
  <c r="Q281" i="5"/>
  <c r="N281" i="5"/>
  <c r="I281" i="5"/>
  <c r="AF281" i="5" s="1"/>
  <c r="W278" i="5"/>
  <c r="S278" i="5"/>
  <c r="M278" i="5"/>
  <c r="L278" i="5"/>
  <c r="AH277" i="5"/>
  <c r="AG277" i="5"/>
  <c r="AE277" i="5"/>
  <c r="AD277" i="5"/>
  <c r="AB277" i="5"/>
  <c r="AA277" i="5"/>
  <c r="Q277" i="5"/>
  <c r="N277" i="5"/>
  <c r="O277" i="5" s="1"/>
  <c r="I277" i="5"/>
  <c r="AH276" i="5"/>
  <c r="AG276" i="5"/>
  <c r="AE276" i="5"/>
  <c r="AD276" i="5"/>
  <c r="AB276" i="5"/>
  <c r="AA276" i="5"/>
  <c r="Q276" i="5"/>
  <c r="N276" i="5"/>
  <c r="O276" i="5" s="1"/>
  <c r="I276" i="5"/>
  <c r="AH275" i="5"/>
  <c r="AG275" i="5"/>
  <c r="AE275" i="5"/>
  <c r="AD275" i="5"/>
  <c r="AB275" i="5"/>
  <c r="AA275" i="5"/>
  <c r="Q275" i="5"/>
  <c r="N275" i="5"/>
  <c r="O275" i="5" s="1"/>
  <c r="I275" i="5"/>
  <c r="AC275" i="5" s="1"/>
  <c r="AH274" i="5"/>
  <c r="AG274" i="5"/>
  <c r="AE274" i="5"/>
  <c r="AD274" i="5"/>
  <c r="AB274" i="5"/>
  <c r="AA274" i="5"/>
  <c r="Q274" i="5"/>
  <c r="N274" i="5"/>
  <c r="O274" i="5" s="1"/>
  <c r="I274" i="5"/>
  <c r="AF274" i="5" s="1"/>
  <c r="AH273" i="5"/>
  <c r="AG273" i="5"/>
  <c r="AE273" i="5"/>
  <c r="AD273" i="5"/>
  <c r="AB273" i="5"/>
  <c r="AA273" i="5"/>
  <c r="Q273" i="5"/>
  <c r="N273" i="5"/>
  <c r="O273" i="5" s="1"/>
  <c r="I273" i="5"/>
  <c r="AH272" i="5"/>
  <c r="AG272" i="5"/>
  <c r="AE272" i="5"/>
  <c r="AD272" i="5"/>
  <c r="AB272" i="5"/>
  <c r="AA272" i="5"/>
  <c r="Q272" i="5"/>
  <c r="N272" i="5"/>
  <c r="O272" i="5" s="1"/>
  <c r="I272" i="5"/>
  <c r="AF272" i="5" s="1"/>
  <c r="AH271" i="5"/>
  <c r="AG271" i="5"/>
  <c r="AE271" i="5"/>
  <c r="AD271" i="5"/>
  <c r="AB271" i="5"/>
  <c r="AA271" i="5"/>
  <c r="Q271" i="5"/>
  <c r="N271" i="5"/>
  <c r="O271" i="5" s="1"/>
  <c r="I271" i="5"/>
  <c r="AH270" i="5"/>
  <c r="AG270" i="5"/>
  <c r="AE270" i="5"/>
  <c r="AD270" i="5"/>
  <c r="AB270" i="5"/>
  <c r="AA270" i="5"/>
  <c r="Q270" i="5"/>
  <c r="N270" i="5"/>
  <c r="I270" i="5"/>
  <c r="AC270" i="5" s="1"/>
  <c r="AH269" i="5"/>
  <c r="AG269" i="5"/>
  <c r="AE269" i="5"/>
  <c r="AD269" i="5"/>
  <c r="AB269" i="5"/>
  <c r="AA269" i="5"/>
  <c r="Q269" i="5"/>
  <c r="N269" i="5"/>
  <c r="O269" i="5" s="1"/>
  <c r="I269" i="5"/>
  <c r="AF269" i="5" s="1"/>
  <c r="W266" i="5"/>
  <c r="S266" i="5"/>
  <c r="L266" i="5"/>
  <c r="AH265" i="5"/>
  <c r="AG265" i="5"/>
  <c r="AE265" i="5"/>
  <c r="AD265" i="5"/>
  <c r="AB265" i="5"/>
  <c r="AA265" i="5"/>
  <c r="Q265" i="5"/>
  <c r="N265" i="5"/>
  <c r="O265" i="5" s="1"/>
  <c r="I265" i="5"/>
  <c r="AH264" i="5"/>
  <c r="AG264" i="5"/>
  <c r="AE264" i="5"/>
  <c r="AD264" i="5"/>
  <c r="AB264" i="5"/>
  <c r="AA264" i="5"/>
  <c r="Q264" i="5"/>
  <c r="N264" i="5"/>
  <c r="O264" i="5" s="1"/>
  <c r="I264" i="5"/>
  <c r="AH263" i="5"/>
  <c r="AG263" i="5"/>
  <c r="AE263" i="5"/>
  <c r="AD263" i="5"/>
  <c r="AB263" i="5"/>
  <c r="AA263" i="5"/>
  <c r="Q263" i="5"/>
  <c r="N263" i="5"/>
  <c r="O263" i="5" s="1"/>
  <c r="I263" i="5"/>
  <c r="AC263" i="5" s="1"/>
  <c r="AH262" i="5"/>
  <c r="AG262" i="5"/>
  <c r="AE262" i="5"/>
  <c r="AD262" i="5"/>
  <c r="AB262" i="5"/>
  <c r="AA262" i="5"/>
  <c r="Q262" i="5"/>
  <c r="N262" i="5"/>
  <c r="O262" i="5" s="1"/>
  <c r="I262" i="5"/>
  <c r="AH261" i="5"/>
  <c r="AG261" i="5"/>
  <c r="AE261" i="5"/>
  <c r="AD261" i="5"/>
  <c r="AB261" i="5"/>
  <c r="AA261" i="5"/>
  <c r="Q261" i="5"/>
  <c r="N261" i="5"/>
  <c r="O261" i="5" s="1"/>
  <c r="I261" i="5"/>
  <c r="AC261" i="5" s="1"/>
  <c r="AH260" i="5"/>
  <c r="AG260" i="5"/>
  <c r="AE260" i="5"/>
  <c r="AD260" i="5"/>
  <c r="AB260" i="5"/>
  <c r="AA260" i="5"/>
  <c r="Q260" i="5"/>
  <c r="N260" i="5"/>
  <c r="O260" i="5" s="1"/>
  <c r="I260" i="5"/>
  <c r="W257" i="5"/>
  <c r="S257" i="5"/>
  <c r="N256" i="5"/>
  <c r="O256" i="5" s="1"/>
  <c r="I256" i="5"/>
  <c r="N255" i="5"/>
  <c r="O255" i="5" s="1"/>
  <c r="I255" i="5"/>
  <c r="N254" i="5"/>
  <c r="O254" i="5" s="1"/>
  <c r="I254" i="5"/>
  <c r="N253" i="5"/>
  <c r="O253" i="5" s="1"/>
  <c r="I253" i="5"/>
  <c r="N252" i="5"/>
  <c r="O252" i="5" s="1"/>
  <c r="I252" i="5"/>
  <c r="N251" i="5"/>
  <c r="O251" i="5" s="1"/>
  <c r="I251" i="5"/>
  <c r="N250" i="5"/>
  <c r="O250" i="5" s="1"/>
  <c r="I250" i="5"/>
  <c r="N249" i="5"/>
  <c r="O249" i="5" s="1"/>
  <c r="I249" i="5"/>
  <c r="N248" i="5"/>
  <c r="O248" i="5" s="1"/>
  <c r="I248" i="5"/>
  <c r="N247" i="5"/>
  <c r="O247" i="5" s="1"/>
  <c r="I247" i="5"/>
  <c r="N246" i="5"/>
  <c r="O246" i="5" s="1"/>
  <c r="I246" i="5"/>
  <c r="N245" i="5"/>
  <c r="O245" i="5" s="1"/>
  <c r="I245" i="5"/>
  <c r="N244" i="5"/>
  <c r="O244" i="5" s="1"/>
  <c r="I244" i="5"/>
  <c r="N243" i="5"/>
  <c r="O243" i="5" s="1"/>
  <c r="I243" i="5"/>
  <c r="N242" i="5"/>
  <c r="O242" i="5" s="1"/>
  <c r="I242" i="5"/>
  <c r="N241" i="5"/>
  <c r="O241" i="5" s="1"/>
  <c r="I241" i="5"/>
  <c r="N240" i="5"/>
  <c r="O240" i="5" s="1"/>
  <c r="I240" i="5"/>
  <c r="N239" i="5"/>
  <c r="O239" i="5" s="1"/>
  <c r="I239" i="5"/>
  <c r="N238" i="5"/>
  <c r="O238" i="5" s="1"/>
  <c r="I238" i="5"/>
  <c r="N237" i="5"/>
  <c r="O237" i="5" s="1"/>
  <c r="I237" i="5"/>
  <c r="N236" i="5"/>
  <c r="O236" i="5" s="1"/>
  <c r="I236" i="5"/>
  <c r="N235" i="5"/>
  <c r="O235" i="5" s="1"/>
  <c r="I235" i="5"/>
  <c r="N234" i="5"/>
  <c r="O234" i="5" s="1"/>
  <c r="I234" i="5"/>
  <c r="N233" i="5"/>
  <c r="O233" i="5" s="1"/>
  <c r="I233" i="5"/>
  <c r="N232" i="5"/>
  <c r="O232" i="5" s="1"/>
  <c r="I232" i="5"/>
  <c r="N231" i="5"/>
  <c r="O231" i="5" s="1"/>
  <c r="I231" i="5"/>
  <c r="N230" i="5"/>
  <c r="O230" i="5" s="1"/>
  <c r="I230" i="5"/>
  <c r="N229" i="5"/>
  <c r="O229" i="5" s="1"/>
  <c r="I229" i="5"/>
  <c r="N228" i="5"/>
  <c r="O228" i="5" s="1"/>
  <c r="I228" i="5"/>
  <c r="N227" i="5"/>
  <c r="O227" i="5" s="1"/>
  <c r="I227" i="5"/>
  <c r="N226" i="5"/>
  <c r="O226" i="5" s="1"/>
  <c r="I226" i="5"/>
  <c r="N225" i="5"/>
  <c r="O225" i="5" s="1"/>
  <c r="I225" i="5"/>
  <c r="N224" i="5"/>
  <c r="O224" i="5" s="1"/>
  <c r="I224" i="5"/>
  <c r="N223" i="5"/>
  <c r="O223" i="5" s="1"/>
  <c r="I223" i="5"/>
  <c r="N222" i="5"/>
  <c r="O222" i="5" s="1"/>
  <c r="I222" i="5"/>
  <c r="N221" i="5"/>
  <c r="O221" i="5" s="1"/>
  <c r="I221" i="5"/>
  <c r="N220" i="5"/>
  <c r="O220" i="5" s="1"/>
  <c r="I220" i="5"/>
  <c r="N219" i="5"/>
  <c r="O219" i="5" s="1"/>
  <c r="I219" i="5"/>
  <c r="N218" i="5"/>
  <c r="O218" i="5" s="1"/>
  <c r="I218" i="5"/>
  <c r="N217" i="5"/>
  <c r="O217" i="5" s="1"/>
  <c r="I217" i="5"/>
  <c r="AH216" i="5"/>
  <c r="AG216" i="5"/>
  <c r="AF216" i="5"/>
  <c r="AE216" i="5"/>
  <c r="AD216" i="5"/>
  <c r="AB216" i="5"/>
  <c r="AA216" i="5"/>
  <c r="Q216" i="5"/>
  <c r="N216" i="5"/>
  <c r="O216" i="5" s="1"/>
  <c r="I216" i="5"/>
  <c r="AC216" i="5" s="1"/>
  <c r="AH215" i="5"/>
  <c r="AG215" i="5"/>
  <c r="AF215" i="5"/>
  <c r="AE215" i="5"/>
  <c r="AD215" i="5"/>
  <c r="AB215" i="5"/>
  <c r="AA215" i="5"/>
  <c r="Q215" i="5"/>
  <c r="N215" i="5"/>
  <c r="O215" i="5" s="1"/>
  <c r="I215" i="5"/>
  <c r="AC215" i="5" s="1"/>
  <c r="AH214" i="5"/>
  <c r="AG214" i="5"/>
  <c r="AF214" i="5"/>
  <c r="AE214" i="5"/>
  <c r="AD214" i="5"/>
  <c r="AB214" i="5"/>
  <c r="AA214" i="5"/>
  <c r="Q214" i="5"/>
  <c r="N214" i="5"/>
  <c r="O214" i="5" s="1"/>
  <c r="I214" i="5"/>
  <c r="AC214" i="5" s="1"/>
  <c r="AH213" i="5"/>
  <c r="AG213" i="5"/>
  <c r="AF213" i="5"/>
  <c r="AE213" i="5"/>
  <c r="AD213" i="5"/>
  <c r="AB213" i="5"/>
  <c r="AA213" i="5"/>
  <c r="Q213" i="5"/>
  <c r="N213" i="5"/>
  <c r="O213" i="5" s="1"/>
  <c r="I213" i="5"/>
  <c r="AC213" i="5" s="1"/>
  <c r="AH212" i="5"/>
  <c r="AG212" i="5"/>
  <c r="AF212" i="5"/>
  <c r="AE212" i="5"/>
  <c r="AD212" i="5"/>
  <c r="AB212" i="5"/>
  <c r="AA212" i="5"/>
  <c r="Q212" i="5"/>
  <c r="N212" i="5"/>
  <c r="O212" i="5" s="1"/>
  <c r="I212" i="5"/>
  <c r="AC212" i="5" s="1"/>
  <c r="AH211" i="5"/>
  <c r="AG211" i="5"/>
  <c r="AF211" i="5"/>
  <c r="AE211" i="5"/>
  <c r="AD211" i="5"/>
  <c r="AB211" i="5"/>
  <c r="AA211" i="5"/>
  <c r="Q211" i="5"/>
  <c r="N211" i="5"/>
  <c r="O211" i="5" s="1"/>
  <c r="I211" i="5"/>
  <c r="AC211" i="5" s="1"/>
  <c r="AH210" i="5"/>
  <c r="AG210" i="5"/>
  <c r="AF210" i="5"/>
  <c r="AE210" i="5"/>
  <c r="AD210" i="5"/>
  <c r="AB210" i="5"/>
  <c r="AA210" i="5"/>
  <c r="Q210" i="5"/>
  <c r="N210" i="5"/>
  <c r="O210" i="5" s="1"/>
  <c r="I210" i="5"/>
  <c r="AC210" i="5" s="1"/>
  <c r="AH209" i="5"/>
  <c r="AG209" i="5"/>
  <c r="AF209" i="5"/>
  <c r="AE209" i="5"/>
  <c r="AD209" i="5"/>
  <c r="AB209" i="5"/>
  <c r="AA209" i="5"/>
  <c r="Q209" i="5"/>
  <c r="N209" i="5"/>
  <c r="O209" i="5" s="1"/>
  <c r="I209" i="5"/>
  <c r="AC209" i="5" s="1"/>
  <c r="AH208" i="5"/>
  <c r="AG208" i="5"/>
  <c r="AF208" i="5"/>
  <c r="AE208" i="5"/>
  <c r="AD208" i="5"/>
  <c r="AB208" i="5"/>
  <c r="AA208" i="5"/>
  <c r="Q208" i="5"/>
  <c r="N208" i="5"/>
  <c r="O208" i="5" s="1"/>
  <c r="I208" i="5"/>
  <c r="AC208" i="5" s="1"/>
  <c r="AH207" i="5"/>
  <c r="AG207" i="5"/>
  <c r="AF207" i="5"/>
  <c r="AE207" i="5"/>
  <c r="AD207" i="5"/>
  <c r="AB207" i="5"/>
  <c r="AA207" i="5"/>
  <c r="Q207" i="5"/>
  <c r="N207" i="5"/>
  <c r="O207" i="5" s="1"/>
  <c r="I207" i="5"/>
  <c r="AC207" i="5" s="1"/>
  <c r="AH206" i="5"/>
  <c r="AG206" i="5"/>
  <c r="AF206" i="5"/>
  <c r="AE206" i="5"/>
  <c r="AD206" i="5"/>
  <c r="AB206" i="5"/>
  <c r="AA206" i="5"/>
  <c r="Q206" i="5"/>
  <c r="N206" i="5"/>
  <c r="O206" i="5" s="1"/>
  <c r="I206" i="5"/>
  <c r="AC206" i="5" s="1"/>
  <c r="AH205" i="5"/>
  <c r="AG205" i="5"/>
  <c r="AF205" i="5"/>
  <c r="AE205" i="5"/>
  <c r="AD205" i="5"/>
  <c r="AB205" i="5"/>
  <c r="AA205" i="5"/>
  <c r="Q205" i="5"/>
  <c r="N205" i="5"/>
  <c r="O205" i="5" s="1"/>
  <c r="I205" i="5"/>
  <c r="AC205" i="5" s="1"/>
  <c r="AH204" i="5"/>
  <c r="AG204" i="5"/>
  <c r="AF204" i="5"/>
  <c r="AE204" i="5"/>
  <c r="AD204" i="5"/>
  <c r="AB204" i="5"/>
  <c r="AA204" i="5"/>
  <c r="Q204" i="5"/>
  <c r="N204" i="5"/>
  <c r="O204" i="5" s="1"/>
  <c r="I204" i="5"/>
  <c r="AC204" i="5" s="1"/>
  <c r="AH203" i="5"/>
  <c r="AG203" i="5"/>
  <c r="AF203" i="5"/>
  <c r="AE203" i="5"/>
  <c r="AD203" i="5"/>
  <c r="AB203" i="5"/>
  <c r="AA203" i="5"/>
  <c r="Q203" i="5"/>
  <c r="N203" i="5"/>
  <c r="O203" i="5" s="1"/>
  <c r="I203" i="5"/>
  <c r="AC203" i="5" s="1"/>
  <c r="AH202" i="5"/>
  <c r="AG202" i="5"/>
  <c r="AF202" i="5"/>
  <c r="AE202" i="5"/>
  <c r="AD202" i="5"/>
  <c r="AB202" i="5"/>
  <c r="AA202" i="5"/>
  <c r="Q202" i="5"/>
  <c r="N202" i="5"/>
  <c r="O202" i="5" s="1"/>
  <c r="I202" i="5"/>
  <c r="AC202" i="5" s="1"/>
  <c r="AH201" i="5"/>
  <c r="AG201" i="5"/>
  <c r="AF201" i="5"/>
  <c r="AE201" i="5"/>
  <c r="AD201" i="5"/>
  <c r="AB201" i="5"/>
  <c r="AA201" i="5"/>
  <c r="Q201" i="5"/>
  <c r="N201" i="5"/>
  <c r="O201" i="5" s="1"/>
  <c r="I201" i="5"/>
  <c r="AC201" i="5" s="1"/>
  <c r="AH200" i="5"/>
  <c r="AG200" i="5"/>
  <c r="AF200" i="5"/>
  <c r="AE200" i="5"/>
  <c r="AD200" i="5"/>
  <c r="AB200" i="5"/>
  <c r="AA200" i="5"/>
  <c r="Q200" i="5"/>
  <c r="N200" i="5"/>
  <c r="O200" i="5" s="1"/>
  <c r="I200" i="5"/>
  <c r="AC200" i="5" s="1"/>
  <c r="AH199" i="5"/>
  <c r="AG199" i="5"/>
  <c r="AF199" i="5"/>
  <c r="AE199" i="5"/>
  <c r="AD199" i="5"/>
  <c r="AB199" i="5"/>
  <c r="AA199" i="5"/>
  <c r="Q199" i="5"/>
  <c r="N199" i="5"/>
  <c r="O199" i="5" s="1"/>
  <c r="I199" i="5"/>
  <c r="AC199" i="5" s="1"/>
  <c r="AH198" i="5"/>
  <c r="AG198" i="5"/>
  <c r="AE198" i="5"/>
  <c r="AD198" i="5"/>
  <c r="AB198" i="5"/>
  <c r="AA198" i="5"/>
  <c r="Q198" i="5"/>
  <c r="N198" i="5"/>
  <c r="O198" i="5" s="1"/>
  <c r="I198" i="5"/>
  <c r="AH197" i="5"/>
  <c r="AG197" i="5"/>
  <c r="AE197" i="5"/>
  <c r="AD197" i="5"/>
  <c r="AB197" i="5"/>
  <c r="AA197" i="5"/>
  <c r="Q197" i="5"/>
  <c r="N197" i="5"/>
  <c r="O197" i="5" s="1"/>
  <c r="I197" i="5"/>
  <c r="AH196" i="5"/>
  <c r="AG196" i="5"/>
  <c r="AE196" i="5"/>
  <c r="AD196" i="5"/>
  <c r="AB196" i="5"/>
  <c r="AA196" i="5"/>
  <c r="Q196" i="5"/>
  <c r="N196" i="5"/>
  <c r="O196" i="5" s="1"/>
  <c r="I196" i="5"/>
  <c r="AH195" i="5"/>
  <c r="AG195" i="5"/>
  <c r="AE195" i="5"/>
  <c r="AD195" i="5"/>
  <c r="AB195" i="5"/>
  <c r="AA195" i="5"/>
  <c r="Q195" i="5"/>
  <c r="N195" i="5"/>
  <c r="O195" i="5" s="1"/>
  <c r="I195" i="5"/>
  <c r="AF195" i="5" s="1"/>
  <c r="AH194" i="5"/>
  <c r="AG194" i="5"/>
  <c r="AE194" i="5"/>
  <c r="AD194" i="5"/>
  <c r="AB194" i="5"/>
  <c r="AA194" i="5"/>
  <c r="Q194" i="5"/>
  <c r="N194" i="5"/>
  <c r="O194" i="5" s="1"/>
  <c r="I194" i="5"/>
  <c r="AH193" i="5"/>
  <c r="AG193" i="5"/>
  <c r="AE193" i="5"/>
  <c r="AD193" i="5"/>
  <c r="AB193" i="5"/>
  <c r="AA193" i="5"/>
  <c r="Q193" i="5"/>
  <c r="N193" i="5"/>
  <c r="O193" i="5" s="1"/>
  <c r="I193" i="5"/>
  <c r="AH192" i="5"/>
  <c r="AG192" i="5"/>
  <c r="AE192" i="5"/>
  <c r="AD192" i="5"/>
  <c r="AB192" i="5"/>
  <c r="AA192" i="5"/>
  <c r="Q192" i="5"/>
  <c r="N192" i="5"/>
  <c r="O192" i="5" s="1"/>
  <c r="I192" i="5"/>
  <c r="AH191" i="5"/>
  <c r="AG191" i="5"/>
  <c r="AE191" i="5"/>
  <c r="AD191" i="5"/>
  <c r="AB191" i="5"/>
  <c r="AA191" i="5"/>
  <c r="Q191" i="5"/>
  <c r="N191" i="5"/>
  <c r="O191" i="5" s="1"/>
  <c r="I191" i="5"/>
  <c r="AC191" i="5" s="1"/>
  <c r="AH190" i="5"/>
  <c r="AG190" i="5"/>
  <c r="AE190" i="5"/>
  <c r="AD190" i="5"/>
  <c r="AB190" i="5"/>
  <c r="AA190" i="5"/>
  <c r="Q190" i="5"/>
  <c r="N190" i="5"/>
  <c r="O190" i="5" s="1"/>
  <c r="I190" i="5"/>
  <c r="AH189" i="5"/>
  <c r="AG189" i="5"/>
  <c r="AE189" i="5"/>
  <c r="AD189" i="5"/>
  <c r="AB189" i="5"/>
  <c r="AA189" i="5"/>
  <c r="Q189" i="5"/>
  <c r="N189" i="5"/>
  <c r="O189" i="5" s="1"/>
  <c r="I189" i="5"/>
  <c r="AC189" i="5" s="1"/>
  <c r="AH188" i="5"/>
  <c r="AG188" i="5"/>
  <c r="AE188" i="5"/>
  <c r="AD188" i="5"/>
  <c r="AB188" i="5"/>
  <c r="AA188" i="5"/>
  <c r="Q188" i="5"/>
  <c r="N188" i="5"/>
  <c r="O188" i="5" s="1"/>
  <c r="I188" i="5"/>
  <c r="AH187" i="5"/>
  <c r="AG187" i="5"/>
  <c r="AE187" i="5"/>
  <c r="AD187" i="5"/>
  <c r="AB187" i="5"/>
  <c r="AA187" i="5"/>
  <c r="Q187" i="5"/>
  <c r="N187" i="5"/>
  <c r="O187" i="5" s="1"/>
  <c r="I187" i="5"/>
  <c r="AF187" i="5" s="1"/>
  <c r="AH186" i="5"/>
  <c r="AG186" i="5"/>
  <c r="AE186" i="5"/>
  <c r="AD186" i="5"/>
  <c r="AB186" i="5"/>
  <c r="AA186" i="5"/>
  <c r="Q186" i="5"/>
  <c r="N186" i="5"/>
  <c r="O186" i="5" s="1"/>
  <c r="I186" i="5"/>
  <c r="AH185" i="5"/>
  <c r="AG185" i="5"/>
  <c r="AE185" i="5"/>
  <c r="AD185" i="5"/>
  <c r="AB185" i="5"/>
  <c r="AA185" i="5"/>
  <c r="Q185" i="5"/>
  <c r="N185" i="5"/>
  <c r="O185" i="5" s="1"/>
  <c r="I185" i="5"/>
  <c r="AH184" i="5"/>
  <c r="AG184" i="5"/>
  <c r="AE184" i="5"/>
  <c r="AD184" i="5"/>
  <c r="AB184" i="5"/>
  <c r="AA184" i="5"/>
  <c r="Q184" i="5"/>
  <c r="L184" i="5"/>
  <c r="I184" i="5"/>
  <c r="AH183" i="5"/>
  <c r="AG183" i="5"/>
  <c r="AE183" i="5"/>
  <c r="AD183" i="5"/>
  <c r="AB183" i="5"/>
  <c r="AA183" i="5"/>
  <c r="Q183" i="5"/>
  <c r="N183" i="5"/>
  <c r="O183" i="5" s="1"/>
  <c r="I183" i="5"/>
  <c r="AH182" i="5"/>
  <c r="AG182" i="5"/>
  <c r="AE182" i="5"/>
  <c r="AD182" i="5"/>
  <c r="AB182" i="5"/>
  <c r="AA182" i="5"/>
  <c r="Q182" i="5"/>
  <c r="N182" i="5"/>
  <c r="O182" i="5" s="1"/>
  <c r="I182" i="5"/>
  <c r="AF182" i="5" s="1"/>
  <c r="AH181" i="5"/>
  <c r="AG181" i="5"/>
  <c r="AE181" i="5"/>
  <c r="AD181" i="5"/>
  <c r="AB181" i="5"/>
  <c r="AA181" i="5"/>
  <c r="Q181" i="5"/>
  <c r="N181" i="5"/>
  <c r="O181" i="5" s="1"/>
  <c r="I181" i="5"/>
  <c r="AH180" i="5"/>
  <c r="AG180" i="5"/>
  <c r="AE180" i="5"/>
  <c r="AD180" i="5"/>
  <c r="AB180" i="5"/>
  <c r="AA180" i="5"/>
  <c r="Q180" i="5"/>
  <c r="L180" i="5"/>
  <c r="N180" i="5" s="1"/>
  <c r="O180" i="5" s="1"/>
  <c r="I180" i="5"/>
  <c r="AC180" i="5" s="1"/>
  <c r="AH179" i="5"/>
  <c r="AG179" i="5"/>
  <c r="AE179" i="5"/>
  <c r="AD179" i="5"/>
  <c r="AB179" i="5"/>
  <c r="AA179" i="5"/>
  <c r="Q179" i="5"/>
  <c r="N179" i="5"/>
  <c r="O179" i="5" s="1"/>
  <c r="I179" i="5"/>
  <c r="AF179" i="5" s="1"/>
  <c r="AH178" i="5"/>
  <c r="AG178" i="5"/>
  <c r="AE178" i="5"/>
  <c r="AD178" i="5"/>
  <c r="AB178" i="5"/>
  <c r="AA178" i="5"/>
  <c r="Q178" i="5"/>
  <c r="N178" i="5"/>
  <c r="O178" i="5" s="1"/>
  <c r="I178" i="5"/>
  <c r="AF178" i="5" s="1"/>
  <c r="AH177" i="5"/>
  <c r="AG177" i="5"/>
  <c r="AE177" i="5"/>
  <c r="AD177" i="5"/>
  <c r="AB177" i="5"/>
  <c r="AA177" i="5"/>
  <c r="Q177" i="5"/>
  <c r="N177" i="5"/>
  <c r="O177" i="5" s="1"/>
  <c r="I177" i="5"/>
  <c r="AF177" i="5" s="1"/>
  <c r="AH176" i="5"/>
  <c r="AG176" i="5"/>
  <c r="AE176" i="5"/>
  <c r="AD176" i="5"/>
  <c r="AB176" i="5"/>
  <c r="AA176" i="5"/>
  <c r="Q176" i="5"/>
  <c r="N176" i="5"/>
  <c r="O176" i="5" s="1"/>
  <c r="I176" i="5"/>
  <c r="AF176" i="5" s="1"/>
  <c r="AH175" i="5"/>
  <c r="AG175" i="5"/>
  <c r="AE175" i="5"/>
  <c r="AD175" i="5"/>
  <c r="AB175" i="5"/>
  <c r="AA175" i="5"/>
  <c r="Q175" i="5"/>
  <c r="N175" i="5"/>
  <c r="O175" i="5" s="1"/>
  <c r="I175" i="5"/>
  <c r="AF175" i="5" s="1"/>
  <c r="AH174" i="5"/>
  <c r="AG174" i="5"/>
  <c r="AE174" i="5"/>
  <c r="AD174" i="5"/>
  <c r="AB174" i="5"/>
  <c r="AA174" i="5"/>
  <c r="Q174" i="5"/>
  <c r="N174" i="5"/>
  <c r="O174" i="5" s="1"/>
  <c r="I174" i="5"/>
  <c r="AF174" i="5" s="1"/>
  <c r="AH173" i="5"/>
  <c r="AG173" i="5"/>
  <c r="AE173" i="5"/>
  <c r="AD173" i="5"/>
  <c r="AB173" i="5"/>
  <c r="AA173" i="5"/>
  <c r="Q173" i="5"/>
  <c r="N173" i="5"/>
  <c r="O173" i="5" s="1"/>
  <c r="I173" i="5"/>
  <c r="AF173" i="5" s="1"/>
  <c r="AH172" i="5"/>
  <c r="AG172" i="5"/>
  <c r="AE172" i="5"/>
  <c r="AD172" i="5"/>
  <c r="AB172" i="5"/>
  <c r="AA172" i="5"/>
  <c r="Q172" i="5"/>
  <c r="N172" i="5"/>
  <c r="O172" i="5" s="1"/>
  <c r="I172" i="5"/>
  <c r="AF172" i="5" s="1"/>
  <c r="AH171" i="5"/>
  <c r="AG171" i="5"/>
  <c r="AE171" i="5"/>
  <c r="AD171" i="5"/>
  <c r="AB171" i="5"/>
  <c r="AA171" i="5"/>
  <c r="Q171" i="5"/>
  <c r="N171" i="5"/>
  <c r="O171" i="5" s="1"/>
  <c r="I171" i="5"/>
  <c r="AC171" i="5" s="1"/>
  <c r="AH170" i="5"/>
  <c r="AG170" i="5"/>
  <c r="AE170" i="5"/>
  <c r="AD170" i="5"/>
  <c r="AB170" i="5"/>
  <c r="AA170" i="5"/>
  <c r="Q170" i="5"/>
  <c r="N170" i="5"/>
  <c r="O170" i="5" s="1"/>
  <c r="I170" i="5"/>
  <c r="AH169" i="5"/>
  <c r="AG169" i="5"/>
  <c r="AE169" i="5"/>
  <c r="AD169" i="5"/>
  <c r="AB169" i="5"/>
  <c r="AA169" i="5"/>
  <c r="Q169" i="5"/>
  <c r="N169" i="5"/>
  <c r="O169" i="5" s="1"/>
  <c r="I169" i="5"/>
  <c r="AF169" i="5" s="1"/>
  <c r="AH168" i="5"/>
  <c r="AG168" i="5"/>
  <c r="AE168" i="5"/>
  <c r="AD168" i="5"/>
  <c r="AB168" i="5"/>
  <c r="AA168" i="5"/>
  <c r="Q168" i="5"/>
  <c r="N168" i="5"/>
  <c r="O168" i="5" s="1"/>
  <c r="I168" i="5"/>
  <c r="AF168" i="5" s="1"/>
  <c r="AH167" i="5"/>
  <c r="AG167" i="5"/>
  <c r="AE167" i="5"/>
  <c r="AD167" i="5"/>
  <c r="AB167" i="5"/>
  <c r="AA167" i="5"/>
  <c r="Q167" i="5"/>
  <c r="N167" i="5"/>
  <c r="O167" i="5" s="1"/>
  <c r="I167" i="5"/>
  <c r="AH166" i="5"/>
  <c r="AG166" i="5"/>
  <c r="AE166" i="5"/>
  <c r="AD166" i="5"/>
  <c r="AB166" i="5"/>
  <c r="AA166" i="5"/>
  <c r="Q166" i="5"/>
  <c r="N166" i="5"/>
  <c r="O166" i="5" s="1"/>
  <c r="I166" i="5"/>
  <c r="AC166" i="5" s="1"/>
  <c r="AH165" i="5"/>
  <c r="AG165" i="5"/>
  <c r="AE165" i="5"/>
  <c r="AD165" i="5"/>
  <c r="AB165" i="5"/>
  <c r="AA165" i="5"/>
  <c r="Q165" i="5"/>
  <c r="N165" i="5"/>
  <c r="O165" i="5" s="1"/>
  <c r="I165" i="5"/>
  <c r="AH164" i="5"/>
  <c r="AG164" i="5"/>
  <c r="AE164" i="5"/>
  <c r="AD164" i="5"/>
  <c r="AB164" i="5"/>
  <c r="AA164" i="5"/>
  <c r="Q164" i="5"/>
  <c r="N164" i="5"/>
  <c r="O164" i="5" s="1"/>
  <c r="I164" i="5"/>
  <c r="AH163" i="5"/>
  <c r="AG163" i="5"/>
  <c r="AE163" i="5"/>
  <c r="AD163" i="5"/>
  <c r="AB163" i="5"/>
  <c r="AA163" i="5"/>
  <c r="Q163" i="5"/>
  <c r="N163" i="5"/>
  <c r="O163" i="5" s="1"/>
  <c r="I163" i="5"/>
  <c r="AF163" i="5" s="1"/>
  <c r="AH162" i="5"/>
  <c r="AG162" i="5"/>
  <c r="AE162" i="5"/>
  <c r="AD162" i="5"/>
  <c r="AB162" i="5"/>
  <c r="AA162" i="5"/>
  <c r="Q162" i="5"/>
  <c r="N162" i="5"/>
  <c r="O162" i="5" s="1"/>
  <c r="I162" i="5"/>
  <c r="AF162" i="5" s="1"/>
  <c r="AH161" i="5"/>
  <c r="AG161" i="5"/>
  <c r="AE161" i="5"/>
  <c r="AD161" i="5"/>
  <c r="AB161" i="5"/>
  <c r="AA161" i="5"/>
  <c r="Q161" i="5"/>
  <c r="N161" i="5"/>
  <c r="O161" i="5" s="1"/>
  <c r="I161" i="5"/>
  <c r="AC161" i="5" s="1"/>
  <c r="AH160" i="5"/>
  <c r="AG160" i="5"/>
  <c r="AE160" i="5"/>
  <c r="AD160" i="5"/>
  <c r="AB160" i="5"/>
  <c r="AA160" i="5"/>
  <c r="Q160" i="5"/>
  <c r="N160" i="5"/>
  <c r="O160" i="5" s="1"/>
  <c r="I160" i="5"/>
  <c r="AH159" i="5"/>
  <c r="AG159" i="5"/>
  <c r="AE159" i="5"/>
  <c r="AD159" i="5"/>
  <c r="AB159" i="5"/>
  <c r="AA159" i="5"/>
  <c r="Q159" i="5"/>
  <c r="N159" i="5"/>
  <c r="O159" i="5" s="1"/>
  <c r="I159" i="5"/>
  <c r="AH158" i="5"/>
  <c r="AG158" i="5"/>
  <c r="AE158" i="5"/>
  <c r="AD158" i="5"/>
  <c r="AB158" i="5"/>
  <c r="AA158" i="5"/>
  <c r="Q158" i="5"/>
  <c r="N158" i="5"/>
  <c r="O158" i="5" s="1"/>
  <c r="I158" i="5"/>
  <c r="AH157" i="5"/>
  <c r="AG157" i="5"/>
  <c r="AE157" i="5"/>
  <c r="AD157" i="5"/>
  <c r="AB157" i="5"/>
  <c r="AA157" i="5"/>
  <c r="Q157" i="5"/>
  <c r="N157" i="5"/>
  <c r="O157" i="5" s="1"/>
  <c r="I157" i="5"/>
  <c r="AF157" i="5" s="1"/>
  <c r="AH156" i="5"/>
  <c r="AG156" i="5"/>
  <c r="AE156" i="5"/>
  <c r="AD156" i="5"/>
  <c r="AB156" i="5"/>
  <c r="AA156" i="5"/>
  <c r="Q156" i="5"/>
  <c r="N156" i="5"/>
  <c r="O156" i="5" s="1"/>
  <c r="I156" i="5"/>
  <c r="AC156" i="5" s="1"/>
  <c r="AH155" i="5"/>
  <c r="AG155" i="5"/>
  <c r="AE155" i="5"/>
  <c r="AD155" i="5"/>
  <c r="AB155" i="5"/>
  <c r="AA155" i="5"/>
  <c r="Q155" i="5"/>
  <c r="N155" i="5"/>
  <c r="O155" i="5" s="1"/>
  <c r="I155" i="5"/>
  <c r="AC155" i="5" s="1"/>
  <c r="AH154" i="5"/>
  <c r="AG154" i="5"/>
  <c r="AE154" i="5"/>
  <c r="AD154" i="5"/>
  <c r="AB154" i="5"/>
  <c r="AA154" i="5"/>
  <c r="Q154" i="5"/>
  <c r="N154" i="5"/>
  <c r="O154" i="5" s="1"/>
  <c r="I154" i="5"/>
  <c r="AH153" i="5"/>
  <c r="AG153" i="5"/>
  <c r="AE153" i="5"/>
  <c r="AD153" i="5"/>
  <c r="AB153" i="5"/>
  <c r="AA153" i="5"/>
  <c r="Q153" i="5"/>
  <c r="N153" i="5"/>
  <c r="O153" i="5" s="1"/>
  <c r="I153" i="5"/>
  <c r="AH152" i="5"/>
  <c r="AG152" i="5"/>
  <c r="AE152" i="5"/>
  <c r="AD152" i="5"/>
  <c r="AB152" i="5"/>
  <c r="AA152" i="5"/>
  <c r="Q152" i="5"/>
  <c r="N152" i="5"/>
  <c r="O152" i="5" s="1"/>
  <c r="I152" i="5"/>
  <c r="AC152" i="5" s="1"/>
  <c r="AH151" i="5"/>
  <c r="AG151" i="5"/>
  <c r="AE151" i="5"/>
  <c r="AD151" i="5"/>
  <c r="AB151" i="5"/>
  <c r="AA151" i="5"/>
  <c r="Q151" i="5"/>
  <c r="N151" i="5"/>
  <c r="O151" i="5" s="1"/>
  <c r="I151" i="5"/>
  <c r="AF151" i="5" s="1"/>
  <c r="AH150" i="5"/>
  <c r="AG150" i="5"/>
  <c r="AE150" i="5"/>
  <c r="AD150" i="5"/>
  <c r="AB150" i="5"/>
  <c r="AA150" i="5"/>
  <c r="Q150" i="5"/>
  <c r="N150" i="5"/>
  <c r="O150" i="5" s="1"/>
  <c r="I150" i="5"/>
  <c r="AF150" i="5" s="1"/>
  <c r="AH149" i="5"/>
  <c r="AG149" i="5"/>
  <c r="AE149" i="5"/>
  <c r="AD149" i="5"/>
  <c r="AB149" i="5"/>
  <c r="AA149" i="5"/>
  <c r="Q149" i="5"/>
  <c r="N149" i="5"/>
  <c r="O149" i="5" s="1"/>
  <c r="I149" i="5"/>
  <c r="AF149" i="5" s="1"/>
  <c r="AH148" i="5"/>
  <c r="AG148" i="5"/>
  <c r="AE148" i="5"/>
  <c r="AD148" i="5"/>
  <c r="AB148" i="5"/>
  <c r="AA148" i="5"/>
  <c r="Q148" i="5"/>
  <c r="N148" i="5"/>
  <c r="O148" i="5" s="1"/>
  <c r="I148" i="5"/>
  <c r="AC148" i="5" s="1"/>
  <c r="AH147" i="5"/>
  <c r="AG147" i="5"/>
  <c r="AE147" i="5"/>
  <c r="AD147" i="5"/>
  <c r="AB147" i="5"/>
  <c r="AA147" i="5"/>
  <c r="Q147" i="5"/>
  <c r="N147" i="5"/>
  <c r="O147" i="5" s="1"/>
  <c r="I147" i="5"/>
  <c r="AC147" i="5" s="1"/>
  <c r="AH146" i="5"/>
  <c r="AG146" i="5"/>
  <c r="AE146" i="5"/>
  <c r="AD146" i="5"/>
  <c r="AB146" i="5"/>
  <c r="AA146" i="5"/>
  <c r="Q146" i="5"/>
  <c r="N146" i="5"/>
  <c r="O146" i="5" s="1"/>
  <c r="I146" i="5"/>
  <c r="AH145" i="5"/>
  <c r="AG145" i="5"/>
  <c r="AE145" i="5"/>
  <c r="AD145" i="5"/>
  <c r="AB145" i="5"/>
  <c r="AA145" i="5"/>
  <c r="Q145" i="5"/>
  <c r="N145" i="5"/>
  <c r="O145" i="5" s="1"/>
  <c r="I145" i="5"/>
  <c r="AC145" i="5" s="1"/>
  <c r="AH144" i="5"/>
  <c r="AG144" i="5"/>
  <c r="AE144" i="5"/>
  <c r="AD144" i="5"/>
  <c r="AB144" i="5"/>
  <c r="AA144" i="5"/>
  <c r="Q144" i="5"/>
  <c r="N144" i="5"/>
  <c r="O144" i="5" s="1"/>
  <c r="I144" i="5"/>
  <c r="AC144" i="5" s="1"/>
  <c r="AH143" i="5"/>
  <c r="AG143" i="5"/>
  <c r="AE143" i="5"/>
  <c r="AD143" i="5"/>
  <c r="AB143" i="5"/>
  <c r="AA143" i="5"/>
  <c r="Q143" i="5"/>
  <c r="N143" i="5"/>
  <c r="O143" i="5" s="1"/>
  <c r="I143" i="5"/>
  <c r="AH142" i="5"/>
  <c r="AG142" i="5"/>
  <c r="AE142" i="5"/>
  <c r="AD142" i="5"/>
  <c r="AB142" i="5"/>
  <c r="AA142" i="5"/>
  <c r="Q142" i="5"/>
  <c r="N142" i="5"/>
  <c r="O142" i="5" s="1"/>
  <c r="I142" i="5"/>
  <c r="AC142" i="5" s="1"/>
  <c r="AH141" i="5"/>
  <c r="AG141" i="5"/>
  <c r="AE141" i="5"/>
  <c r="AD141" i="5"/>
  <c r="AB141" i="5"/>
  <c r="AA141" i="5"/>
  <c r="Q141" i="5"/>
  <c r="N141" i="5"/>
  <c r="O141" i="5" s="1"/>
  <c r="I141" i="5"/>
  <c r="AF141" i="5" s="1"/>
  <c r="AH140" i="5"/>
  <c r="AG140" i="5"/>
  <c r="AE140" i="5"/>
  <c r="AD140" i="5"/>
  <c r="AB140" i="5"/>
  <c r="AA140" i="5"/>
  <c r="Q140" i="5"/>
  <c r="N140" i="5"/>
  <c r="O140" i="5" s="1"/>
  <c r="I140" i="5"/>
  <c r="AC140" i="5" s="1"/>
  <c r="AH139" i="5"/>
  <c r="AG139" i="5"/>
  <c r="AE139" i="5"/>
  <c r="AD139" i="5"/>
  <c r="AB139" i="5"/>
  <c r="AA139" i="5"/>
  <c r="Q139" i="5"/>
  <c r="N139" i="5"/>
  <c r="O139" i="5" s="1"/>
  <c r="I139" i="5"/>
  <c r="AC139" i="5" s="1"/>
  <c r="AH138" i="5"/>
  <c r="AG138" i="5"/>
  <c r="AE138" i="5"/>
  <c r="AD138" i="5"/>
  <c r="AB138" i="5"/>
  <c r="AA138" i="5"/>
  <c r="Q138" i="5"/>
  <c r="N138" i="5"/>
  <c r="O138" i="5" s="1"/>
  <c r="I138" i="5"/>
  <c r="AF138" i="5" s="1"/>
  <c r="AH137" i="5"/>
  <c r="AG137" i="5"/>
  <c r="AE137" i="5"/>
  <c r="AD137" i="5"/>
  <c r="AB137" i="5"/>
  <c r="AA137" i="5"/>
  <c r="Q137" i="5"/>
  <c r="N137" i="5"/>
  <c r="O137" i="5" s="1"/>
  <c r="I137" i="5"/>
  <c r="AF137" i="5" s="1"/>
  <c r="AH136" i="5"/>
  <c r="AG136" i="5"/>
  <c r="AE136" i="5"/>
  <c r="AD136" i="5"/>
  <c r="AB136" i="5"/>
  <c r="AA136" i="5"/>
  <c r="Q136" i="5"/>
  <c r="N136" i="5"/>
  <c r="O136" i="5" s="1"/>
  <c r="I136" i="5"/>
  <c r="AF136" i="5" s="1"/>
  <c r="AH135" i="5"/>
  <c r="AG135" i="5"/>
  <c r="AE135" i="5"/>
  <c r="AD135" i="5"/>
  <c r="AB135" i="5"/>
  <c r="AA135" i="5"/>
  <c r="Q135" i="5"/>
  <c r="N135" i="5"/>
  <c r="O135" i="5" s="1"/>
  <c r="I135" i="5"/>
  <c r="AH134" i="5"/>
  <c r="AG134" i="5"/>
  <c r="AE134" i="5"/>
  <c r="AD134" i="5"/>
  <c r="AB134" i="5"/>
  <c r="AA134" i="5"/>
  <c r="Q134" i="5"/>
  <c r="N134" i="5"/>
  <c r="O134" i="5" s="1"/>
  <c r="I134" i="5"/>
  <c r="AF134" i="5" s="1"/>
  <c r="AH133" i="5"/>
  <c r="AG133" i="5"/>
  <c r="AE133" i="5"/>
  <c r="AD133" i="5"/>
  <c r="AB133" i="5"/>
  <c r="AA133" i="5"/>
  <c r="Q133" i="5"/>
  <c r="N133" i="5"/>
  <c r="O133" i="5" s="1"/>
  <c r="I133" i="5"/>
  <c r="AF133" i="5" s="1"/>
  <c r="AH132" i="5"/>
  <c r="AG132" i="5"/>
  <c r="AE132" i="5"/>
  <c r="AD132" i="5"/>
  <c r="AB132" i="5"/>
  <c r="AA132" i="5"/>
  <c r="Q132" i="5"/>
  <c r="N132" i="5"/>
  <c r="O132" i="5" s="1"/>
  <c r="I132" i="5"/>
  <c r="AF132" i="5" s="1"/>
  <c r="AH131" i="5"/>
  <c r="AG131" i="5"/>
  <c r="AE131" i="5"/>
  <c r="AD131" i="5"/>
  <c r="AB131" i="5"/>
  <c r="AA131" i="5"/>
  <c r="Q131" i="5"/>
  <c r="N131" i="5"/>
  <c r="O131" i="5" s="1"/>
  <c r="I131" i="5"/>
  <c r="AF131" i="5" s="1"/>
  <c r="AH130" i="5"/>
  <c r="AG130" i="5"/>
  <c r="AE130" i="5"/>
  <c r="AD130" i="5"/>
  <c r="AB130" i="5"/>
  <c r="AA130" i="5"/>
  <c r="Q130" i="5"/>
  <c r="N130" i="5"/>
  <c r="O130" i="5" s="1"/>
  <c r="I130" i="5"/>
  <c r="AH129" i="5"/>
  <c r="AG129" i="5"/>
  <c r="AE129" i="5"/>
  <c r="AD129" i="5"/>
  <c r="AB129" i="5"/>
  <c r="AA129" i="5"/>
  <c r="Q129" i="5"/>
  <c r="N129" i="5"/>
  <c r="O129" i="5" s="1"/>
  <c r="I129" i="5"/>
  <c r="AC129" i="5" s="1"/>
  <c r="AH128" i="5"/>
  <c r="AG128" i="5"/>
  <c r="AE128" i="5"/>
  <c r="AD128" i="5"/>
  <c r="AB128" i="5"/>
  <c r="AA128" i="5"/>
  <c r="Q128" i="5"/>
  <c r="N128" i="5"/>
  <c r="O128" i="5" s="1"/>
  <c r="I128" i="5"/>
  <c r="AC128" i="5" s="1"/>
  <c r="AH127" i="5"/>
  <c r="AG127" i="5"/>
  <c r="AE127" i="5"/>
  <c r="AD127" i="5"/>
  <c r="AB127" i="5"/>
  <c r="AA127" i="5"/>
  <c r="Q127" i="5"/>
  <c r="N127" i="5"/>
  <c r="O127" i="5" s="1"/>
  <c r="I127" i="5"/>
  <c r="AC127" i="5" s="1"/>
  <c r="AH126" i="5"/>
  <c r="AG126" i="5"/>
  <c r="AE126" i="5"/>
  <c r="AD126" i="5"/>
  <c r="AB126" i="5"/>
  <c r="AA126" i="5"/>
  <c r="Q126" i="5"/>
  <c r="N126" i="5"/>
  <c r="O126" i="5" s="1"/>
  <c r="I126" i="5"/>
  <c r="AC126" i="5" s="1"/>
  <c r="AH125" i="5"/>
  <c r="AG125" i="5"/>
  <c r="AE125" i="5"/>
  <c r="AD125" i="5"/>
  <c r="AB125" i="5"/>
  <c r="AA125" i="5"/>
  <c r="Q125" i="5"/>
  <c r="N125" i="5"/>
  <c r="O125" i="5" s="1"/>
  <c r="I125" i="5"/>
  <c r="AH124" i="5"/>
  <c r="AG124" i="5"/>
  <c r="AE124" i="5"/>
  <c r="AD124" i="5"/>
  <c r="AB124" i="5"/>
  <c r="AA124" i="5"/>
  <c r="Q124" i="5"/>
  <c r="N124" i="5"/>
  <c r="O124" i="5" s="1"/>
  <c r="I124" i="5"/>
  <c r="AF124" i="5" s="1"/>
  <c r="AH123" i="5"/>
  <c r="AG123" i="5"/>
  <c r="AE123" i="5"/>
  <c r="AD123" i="5"/>
  <c r="AB123" i="5"/>
  <c r="AA123" i="5"/>
  <c r="Q123" i="5"/>
  <c r="N123" i="5"/>
  <c r="O123" i="5" s="1"/>
  <c r="I123" i="5"/>
  <c r="AC123" i="5" s="1"/>
  <c r="AH122" i="5"/>
  <c r="AG122" i="5"/>
  <c r="AE122" i="5"/>
  <c r="AD122" i="5"/>
  <c r="AB122" i="5"/>
  <c r="AA122" i="5"/>
  <c r="Q122" i="5"/>
  <c r="N122" i="5"/>
  <c r="O122" i="5" s="1"/>
  <c r="I122" i="5"/>
  <c r="AC122" i="5" s="1"/>
  <c r="AH121" i="5"/>
  <c r="AG121" i="5"/>
  <c r="AE121" i="5"/>
  <c r="AD121" i="5"/>
  <c r="AB121" i="5"/>
  <c r="AA121" i="5"/>
  <c r="Q121" i="5"/>
  <c r="N121" i="5"/>
  <c r="O121" i="5" s="1"/>
  <c r="I121" i="5"/>
  <c r="AC121" i="5" s="1"/>
  <c r="AH120" i="5"/>
  <c r="AG120" i="5"/>
  <c r="AE120" i="5"/>
  <c r="AD120" i="5"/>
  <c r="AB120" i="5"/>
  <c r="AA120" i="5"/>
  <c r="Q120" i="5"/>
  <c r="N120" i="5"/>
  <c r="O120" i="5" s="1"/>
  <c r="I120" i="5"/>
  <c r="AF120" i="5" s="1"/>
  <c r="AH119" i="5"/>
  <c r="AG119" i="5"/>
  <c r="AE119" i="5"/>
  <c r="AD119" i="5"/>
  <c r="AB119" i="5"/>
  <c r="AA119" i="5"/>
  <c r="Q119" i="5"/>
  <c r="N119" i="5"/>
  <c r="O119" i="5" s="1"/>
  <c r="I119" i="5"/>
  <c r="AF119" i="5" s="1"/>
  <c r="AH118" i="5"/>
  <c r="AG118" i="5"/>
  <c r="AE118" i="5"/>
  <c r="AD118" i="5"/>
  <c r="AB118" i="5"/>
  <c r="AA118" i="5"/>
  <c r="Q118" i="5"/>
  <c r="N118" i="5"/>
  <c r="O118" i="5" s="1"/>
  <c r="I118" i="5"/>
  <c r="AC118" i="5" s="1"/>
  <c r="AH117" i="5"/>
  <c r="AG117" i="5"/>
  <c r="AE117" i="5"/>
  <c r="AD117" i="5"/>
  <c r="AB117" i="5"/>
  <c r="AA117" i="5"/>
  <c r="Q117" i="5"/>
  <c r="N117" i="5"/>
  <c r="O117" i="5" s="1"/>
  <c r="I117" i="5"/>
  <c r="AF117" i="5" s="1"/>
  <c r="AH116" i="5"/>
  <c r="AG116" i="5"/>
  <c r="AE116" i="5"/>
  <c r="AD116" i="5"/>
  <c r="AB116" i="5"/>
  <c r="AA116" i="5"/>
  <c r="Q116" i="5"/>
  <c r="N116" i="5"/>
  <c r="O116" i="5" s="1"/>
  <c r="I116" i="5"/>
  <c r="AH115" i="5"/>
  <c r="AG115" i="5"/>
  <c r="AE115" i="5"/>
  <c r="AD115" i="5"/>
  <c r="AB115" i="5"/>
  <c r="AA115" i="5"/>
  <c r="Q115" i="5"/>
  <c r="N115" i="5"/>
  <c r="O115" i="5" s="1"/>
  <c r="I115" i="5"/>
  <c r="AC115" i="5" s="1"/>
  <c r="AH114" i="5"/>
  <c r="AG114" i="5"/>
  <c r="AE114" i="5"/>
  <c r="AD114" i="5"/>
  <c r="AB114" i="5"/>
  <c r="AA114" i="5"/>
  <c r="Q114" i="5"/>
  <c r="N114" i="5"/>
  <c r="O114" i="5" s="1"/>
  <c r="I114" i="5"/>
  <c r="AH113" i="5"/>
  <c r="AG113" i="5"/>
  <c r="AE113" i="5"/>
  <c r="AD113" i="5"/>
  <c r="AB113" i="5"/>
  <c r="AA113" i="5"/>
  <c r="Q113" i="5"/>
  <c r="N113" i="5"/>
  <c r="O113" i="5" s="1"/>
  <c r="I113" i="5"/>
  <c r="AC113" i="5" s="1"/>
  <c r="AH112" i="5"/>
  <c r="AG112" i="5"/>
  <c r="AE112" i="5"/>
  <c r="AD112" i="5"/>
  <c r="AB112" i="5"/>
  <c r="AA112" i="5"/>
  <c r="Q112" i="5"/>
  <c r="N112" i="5"/>
  <c r="O112" i="5" s="1"/>
  <c r="I112" i="5"/>
  <c r="AC112" i="5" s="1"/>
  <c r="AH111" i="5"/>
  <c r="AG111" i="5"/>
  <c r="AE111" i="5"/>
  <c r="AD111" i="5"/>
  <c r="AB111" i="5"/>
  <c r="AA111" i="5"/>
  <c r="Q111" i="5"/>
  <c r="N111" i="5"/>
  <c r="O111" i="5" s="1"/>
  <c r="I111" i="5"/>
  <c r="AH110" i="5"/>
  <c r="AG110" i="5"/>
  <c r="AE110" i="5"/>
  <c r="AD110" i="5"/>
  <c r="AB110" i="5"/>
  <c r="AA110" i="5"/>
  <c r="Q110" i="5"/>
  <c r="N110" i="5"/>
  <c r="O110" i="5" s="1"/>
  <c r="I110" i="5"/>
  <c r="AF110" i="5" s="1"/>
  <c r="AH109" i="5"/>
  <c r="AG109" i="5"/>
  <c r="AE109" i="5"/>
  <c r="AD109" i="5"/>
  <c r="AB109" i="5"/>
  <c r="AA109" i="5"/>
  <c r="Q109" i="5"/>
  <c r="N109" i="5"/>
  <c r="O109" i="5" s="1"/>
  <c r="I109" i="5"/>
  <c r="AF109" i="5" s="1"/>
  <c r="W106" i="5"/>
  <c r="S106" i="5"/>
  <c r="M106" i="5"/>
  <c r="AH104" i="5"/>
  <c r="AG104" i="5"/>
  <c r="AF104" i="5"/>
  <c r="AE104" i="5"/>
  <c r="AD104" i="5"/>
  <c r="AB104" i="5"/>
  <c r="AA104" i="5"/>
  <c r="Q104" i="5"/>
  <c r="N104" i="5"/>
  <c r="O104" i="5" s="1"/>
  <c r="I104" i="5"/>
  <c r="AC104" i="5" s="1"/>
  <c r="AH103" i="5"/>
  <c r="AG103" i="5"/>
  <c r="AF103" i="5"/>
  <c r="AE103" i="5"/>
  <c r="AD103" i="5"/>
  <c r="AB103" i="5"/>
  <c r="AA103" i="5"/>
  <c r="Q103" i="5"/>
  <c r="N103" i="5"/>
  <c r="O103" i="5" s="1"/>
  <c r="I103" i="5"/>
  <c r="AC103" i="5" s="1"/>
  <c r="AH102" i="5"/>
  <c r="AG102" i="5"/>
  <c r="AF102" i="5"/>
  <c r="AE102" i="5"/>
  <c r="AD102" i="5"/>
  <c r="AB102" i="5"/>
  <c r="AA102" i="5"/>
  <c r="Q102" i="5"/>
  <c r="N102" i="5"/>
  <c r="O102" i="5" s="1"/>
  <c r="I102" i="5"/>
  <c r="AC102" i="5" s="1"/>
  <c r="AH101" i="5"/>
  <c r="AG101" i="5"/>
  <c r="AF101" i="5"/>
  <c r="AE101" i="5"/>
  <c r="AD101" i="5"/>
  <c r="AB101" i="5"/>
  <c r="AA101" i="5"/>
  <c r="Q101" i="5"/>
  <c r="N101" i="5"/>
  <c r="O101" i="5" s="1"/>
  <c r="I101" i="5"/>
  <c r="AC101" i="5" s="1"/>
  <c r="AH100" i="5"/>
  <c r="AG100" i="5"/>
  <c r="AF100" i="5"/>
  <c r="AE100" i="5"/>
  <c r="AD100" i="5"/>
  <c r="AB100" i="5"/>
  <c r="AA100" i="5"/>
  <c r="Q100" i="5"/>
  <c r="N100" i="5"/>
  <c r="O100" i="5" s="1"/>
  <c r="I100" i="5"/>
  <c r="AC100" i="5" s="1"/>
  <c r="N99" i="5"/>
  <c r="O99" i="5" s="1"/>
  <c r="I99" i="5"/>
  <c r="N98" i="5"/>
  <c r="O98" i="5" s="1"/>
  <c r="I98" i="5"/>
  <c r="N97" i="5"/>
  <c r="O97" i="5" s="1"/>
  <c r="I97" i="5"/>
  <c r="N96" i="5"/>
  <c r="O96" i="5" s="1"/>
  <c r="I96" i="5"/>
  <c r="N95" i="5"/>
  <c r="O95" i="5" s="1"/>
  <c r="I95" i="5"/>
  <c r="N94" i="5"/>
  <c r="O94" i="5" s="1"/>
  <c r="I94" i="5"/>
  <c r="N93" i="5"/>
  <c r="O93" i="5" s="1"/>
  <c r="I93" i="5"/>
  <c r="N92" i="5"/>
  <c r="O92" i="5" s="1"/>
  <c r="I92" i="5"/>
  <c r="N91" i="5"/>
  <c r="O91" i="5" s="1"/>
  <c r="I91" i="5"/>
  <c r="N90" i="5"/>
  <c r="O90" i="5" s="1"/>
  <c r="I90" i="5"/>
  <c r="AH89" i="5"/>
  <c r="AG89" i="5"/>
  <c r="AF89" i="5"/>
  <c r="AE89" i="5"/>
  <c r="AD89" i="5"/>
  <c r="AB89" i="5"/>
  <c r="AA89" i="5"/>
  <c r="Q89" i="5"/>
  <c r="N89" i="5"/>
  <c r="O89" i="5" s="1"/>
  <c r="I89" i="5"/>
  <c r="AC89" i="5" s="1"/>
  <c r="AH88" i="5"/>
  <c r="AG88" i="5"/>
  <c r="AF88" i="5"/>
  <c r="AE88" i="5"/>
  <c r="AD88" i="5"/>
  <c r="AB88" i="5"/>
  <c r="AA88" i="5"/>
  <c r="Q88" i="5"/>
  <c r="N88" i="5"/>
  <c r="O88" i="5" s="1"/>
  <c r="I88" i="5"/>
  <c r="AC88" i="5" s="1"/>
  <c r="AH87" i="5"/>
  <c r="AG87" i="5"/>
  <c r="AF87" i="5"/>
  <c r="AE87" i="5"/>
  <c r="AD87" i="5"/>
  <c r="AB87" i="5"/>
  <c r="AA87" i="5"/>
  <c r="Q87" i="5"/>
  <c r="N87" i="5"/>
  <c r="O87" i="5" s="1"/>
  <c r="I87" i="5"/>
  <c r="AC87" i="5" s="1"/>
  <c r="AH86" i="5"/>
  <c r="AG86" i="5"/>
  <c r="AF86" i="5"/>
  <c r="AE86" i="5"/>
  <c r="AD86" i="5"/>
  <c r="AB86" i="5"/>
  <c r="AA86" i="5"/>
  <c r="Q86" i="5"/>
  <c r="N86" i="5"/>
  <c r="O86" i="5" s="1"/>
  <c r="I86" i="5"/>
  <c r="AC86" i="5" s="1"/>
  <c r="AH85" i="5"/>
  <c r="AG85" i="5"/>
  <c r="AF85" i="5"/>
  <c r="AE85" i="5"/>
  <c r="AD85" i="5"/>
  <c r="AB85" i="5"/>
  <c r="AA85" i="5"/>
  <c r="Q85" i="5"/>
  <c r="N85" i="5"/>
  <c r="O85" i="5" s="1"/>
  <c r="I85" i="5"/>
  <c r="AC85" i="5" s="1"/>
  <c r="AH84" i="5"/>
  <c r="AG84" i="5"/>
  <c r="AF84" i="5"/>
  <c r="AE84" i="5"/>
  <c r="AD84" i="5"/>
  <c r="AB84" i="5"/>
  <c r="AA84" i="5"/>
  <c r="Q84" i="5"/>
  <c r="N84" i="5"/>
  <c r="O84" i="5" s="1"/>
  <c r="I84" i="5"/>
  <c r="AC84" i="5" s="1"/>
  <c r="AH83" i="5"/>
  <c r="AG83" i="5"/>
  <c r="AE83" i="5"/>
  <c r="AD83" i="5"/>
  <c r="AB83" i="5"/>
  <c r="AA83" i="5"/>
  <c r="Q83" i="5"/>
  <c r="N83" i="5"/>
  <c r="O83" i="5" s="1"/>
  <c r="I83" i="5"/>
  <c r="AH82" i="5"/>
  <c r="AG82" i="5"/>
  <c r="AE82" i="5"/>
  <c r="AD82" i="5"/>
  <c r="AB82" i="5"/>
  <c r="AA82" i="5"/>
  <c r="Q82" i="5"/>
  <c r="N82" i="5"/>
  <c r="O82" i="5" s="1"/>
  <c r="I82" i="5"/>
  <c r="AC82" i="5" s="1"/>
  <c r="AH81" i="5"/>
  <c r="AG81" i="5"/>
  <c r="AE81" i="5"/>
  <c r="AD81" i="5"/>
  <c r="AB81" i="5"/>
  <c r="AA81" i="5"/>
  <c r="Q81" i="5"/>
  <c r="N81" i="5"/>
  <c r="O81" i="5" s="1"/>
  <c r="I81" i="5"/>
  <c r="AF81" i="5" s="1"/>
  <c r="AH80" i="5"/>
  <c r="AG80" i="5"/>
  <c r="AE80" i="5"/>
  <c r="AD80" i="5"/>
  <c r="AB80" i="5"/>
  <c r="AA80" i="5"/>
  <c r="Q80" i="5"/>
  <c r="N80" i="5"/>
  <c r="O80" i="5" s="1"/>
  <c r="I80" i="5"/>
  <c r="AC80" i="5" s="1"/>
  <c r="AH79" i="5"/>
  <c r="AG79" i="5"/>
  <c r="AE79" i="5"/>
  <c r="AD79" i="5"/>
  <c r="AB79" i="5"/>
  <c r="AA79" i="5"/>
  <c r="Q79" i="5"/>
  <c r="N79" i="5"/>
  <c r="O79" i="5" s="1"/>
  <c r="I79" i="5"/>
  <c r="AC79" i="5" s="1"/>
  <c r="AH78" i="5"/>
  <c r="AG78" i="5"/>
  <c r="AE78" i="5"/>
  <c r="AD78" i="5"/>
  <c r="AB78" i="5"/>
  <c r="AA78" i="5"/>
  <c r="Q78" i="5"/>
  <c r="L78" i="5"/>
  <c r="N78" i="5" s="1"/>
  <c r="O78" i="5" s="1"/>
  <c r="I78" i="5"/>
  <c r="AF78" i="5" s="1"/>
  <c r="AH77" i="5"/>
  <c r="AG77" i="5"/>
  <c r="AE77" i="5"/>
  <c r="AD77" i="5"/>
  <c r="AB77" i="5"/>
  <c r="AA77" i="5"/>
  <c r="Q77" i="5"/>
  <c r="L77" i="5"/>
  <c r="N77" i="5" s="1"/>
  <c r="O77" i="5" s="1"/>
  <c r="I77" i="5"/>
  <c r="AC77" i="5" s="1"/>
  <c r="AH76" i="5"/>
  <c r="AG76" i="5"/>
  <c r="AE76" i="5"/>
  <c r="AD76" i="5"/>
  <c r="AB76" i="5"/>
  <c r="AA76" i="5"/>
  <c r="Q76" i="5"/>
  <c r="N76" i="5"/>
  <c r="O76" i="5" s="1"/>
  <c r="I76" i="5"/>
  <c r="AF76" i="5" s="1"/>
  <c r="AH75" i="5"/>
  <c r="AG75" i="5"/>
  <c r="AE75" i="5"/>
  <c r="AD75" i="5"/>
  <c r="AB75" i="5"/>
  <c r="AA75" i="5"/>
  <c r="Q75" i="5"/>
  <c r="L75" i="5"/>
  <c r="N75" i="5" s="1"/>
  <c r="O75" i="5" s="1"/>
  <c r="I75" i="5"/>
  <c r="AC75" i="5" s="1"/>
  <c r="AH74" i="5"/>
  <c r="AG74" i="5"/>
  <c r="AE74" i="5"/>
  <c r="AD74" i="5"/>
  <c r="AB74" i="5"/>
  <c r="AA74" i="5"/>
  <c r="Q74" i="5"/>
  <c r="N74" i="5"/>
  <c r="O74" i="5" s="1"/>
  <c r="I74" i="5"/>
  <c r="AH73" i="5"/>
  <c r="AG73" i="5"/>
  <c r="AE73" i="5"/>
  <c r="AD73" i="5"/>
  <c r="AB73" i="5"/>
  <c r="AA73" i="5"/>
  <c r="Q73" i="5"/>
  <c r="N73" i="5"/>
  <c r="O73" i="5" s="1"/>
  <c r="I73" i="5"/>
  <c r="AH72" i="5"/>
  <c r="AG72" i="5"/>
  <c r="AE72" i="5"/>
  <c r="AD72" i="5"/>
  <c r="AB72" i="5"/>
  <c r="AA72" i="5"/>
  <c r="Q72" i="5"/>
  <c r="N72" i="5"/>
  <c r="O72" i="5" s="1"/>
  <c r="I72" i="5"/>
  <c r="AC72" i="5" s="1"/>
  <c r="AH71" i="5"/>
  <c r="AG71" i="5"/>
  <c r="AE71" i="5"/>
  <c r="AD71" i="5"/>
  <c r="AB71" i="5"/>
  <c r="AA71" i="5"/>
  <c r="Q71" i="5"/>
  <c r="N71" i="5"/>
  <c r="O71" i="5" s="1"/>
  <c r="I71" i="5"/>
  <c r="AH70" i="5"/>
  <c r="AG70" i="5"/>
  <c r="AE70" i="5"/>
  <c r="AD70" i="5"/>
  <c r="AB70" i="5"/>
  <c r="AA70" i="5"/>
  <c r="Q70" i="5"/>
  <c r="N70" i="5"/>
  <c r="O70" i="5" s="1"/>
  <c r="I70" i="5"/>
  <c r="AH69" i="5"/>
  <c r="AG69" i="5"/>
  <c r="AE69" i="5"/>
  <c r="AD69" i="5"/>
  <c r="AB69" i="5"/>
  <c r="AA69" i="5"/>
  <c r="Q69" i="5"/>
  <c r="N69" i="5"/>
  <c r="O69" i="5" s="1"/>
  <c r="I69" i="5"/>
  <c r="AC69" i="5" s="1"/>
  <c r="AH68" i="5"/>
  <c r="AG68" i="5"/>
  <c r="AE68" i="5"/>
  <c r="AD68" i="5"/>
  <c r="AB68" i="5"/>
  <c r="AA68" i="5"/>
  <c r="Q68" i="5"/>
  <c r="N68" i="5"/>
  <c r="O68" i="5" s="1"/>
  <c r="I68" i="5"/>
  <c r="AC68" i="5" s="1"/>
  <c r="AH67" i="5"/>
  <c r="AG67" i="5"/>
  <c r="AE67" i="5"/>
  <c r="AD67" i="5"/>
  <c r="AB67" i="5"/>
  <c r="AA67" i="5"/>
  <c r="Q67" i="5"/>
  <c r="N67" i="5"/>
  <c r="O67" i="5" s="1"/>
  <c r="I67" i="5"/>
  <c r="AC67" i="5" s="1"/>
  <c r="AH66" i="5"/>
  <c r="AG66" i="5"/>
  <c r="AE66" i="5"/>
  <c r="AD66" i="5"/>
  <c r="AB66" i="5"/>
  <c r="AA66" i="5"/>
  <c r="Q66" i="5"/>
  <c r="N66" i="5"/>
  <c r="O66" i="5" s="1"/>
  <c r="I66" i="5"/>
  <c r="AH65" i="5"/>
  <c r="AG65" i="5"/>
  <c r="AE65" i="5"/>
  <c r="AD65" i="5"/>
  <c r="AB65" i="5"/>
  <c r="AA65" i="5"/>
  <c r="Q65" i="5"/>
  <c r="N65" i="5"/>
  <c r="O65" i="5" s="1"/>
  <c r="I65" i="5"/>
  <c r="AC65" i="5" s="1"/>
  <c r="AH64" i="5"/>
  <c r="AG64" i="5"/>
  <c r="AE64" i="5"/>
  <c r="AD64" i="5"/>
  <c r="AB64" i="5"/>
  <c r="AA64" i="5"/>
  <c r="Q64" i="5"/>
  <c r="N64" i="5"/>
  <c r="O64" i="5" s="1"/>
  <c r="I64" i="5"/>
  <c r="AH63" i="5"/>
  <c r="AG63" i="5"/>
  <c r="AE63" i="5"/>
  <c r="AD63" i="5"/>
  <c r="AB63" i="5"/>
  <c r="AA63" i="5"/>
  <c r="Q63" i="5"/>
  <c r="N63" i="5"/>
  <c r="O63" i="5" s="1"/>
  <c r="I63" i="5"/>
  <c r="AC63" i="5" s="1"/>
  <c r="AH62" i="5"/>
  <c r="AG62" i="5"/>
  <c r="AE62" i="5"/>
  <c r="AD62" i="5"/>
  <c r="AB62" i="5"/>
  <c r="AA62" i="5"/>
  <c r="Q62" i="5"/>
  <c r="N62" i="5"/>
  <c r="O62" i="5" s="1"/>
  <c r="I62" i="5"/>
  <c r="AF62" i="5" s="1"/>
  <c r="AH61" i="5"/>
  <c r="AG61" i="5"/>
  <c r="AE61" i="5"/>
  <c r="AD61" i="5"/>
  <c r="AB61" i="5"/>
  <c r="AA61" i="5"/>
  <c r="Q61" i="5"/>
  <c r="N61" i="5"/>
  <c r="O61" i="5" s="1"/>
  <c r="I61" i="5"/>
  <c r="AC61" i="5" s="1"/>
  <c r="AH60" i="5"/>
  <c r="AG60" i="5"/>
  <c r="AE60" i="5"/>
  <c r="AD60" i="5"/>
  <c r="AB60" i="5"/>
  <c r="AA60" i="5"/>
  <c r="Q60" i="5"/>
  <c r="N60" i="5"/>
  <c r="O60" i="5" s="1"/>
  <c r="I60" i="5"/>
  <c r="AF60" i="5" s="1"/>
  <c r="AH59" i="5"/>
  <c r="AG59" i="5"/>
  <c r="AE59" i="5"/>
  <c r="AD59" i="5"/>
  <c r="AB59" i="5"/>
  <c r="AA59" i="5"/>
  <c r="Q59" i="5"/>
  <c r="N59" i="5"/>
  <c r="O59" i="5" s="1"/>
  <c r="I59" i="5"/>
  <c r="AC59" i="5" s="1"/>
  <c r="AH58" i="5"/>
  <c r="AG58" i="5"/>
  <c r="AE58" i="5"/>
  <c r="AD58" i="5"/>
  <c r="AB58" i="5"/>
  <c r="AA58" i="5"/>
  <c r="Q58" i="5"/>
  <c r="N58" i="5"/>
  <c r="O58" i="5" s="1"/>
  <c r="I58" i="5"/>
  <c r="AH57" i="5"/>
  <c r="AG57" i="5"/>
  <c r="AE57" i="5"/>
  <c r="AD57" i="5"/>
  <c r="AB57" i="5"/>
  <c r="AA57" i="5"/>
  <c r="Q57" i="5"/>
  <c r="N57" i="5"/>
  <c r="O57" i="5" s="1"/>
  <c r="I57" i="5"/>
  <c r="AF57" i="5" s="1"/>
  <c r="AH56" i="5"/>
  <c r="AG56" i="5"/>
  <c r="AE56" i="5"/>
  <c r="AD56" i="5"/>
  <c r="AB56" i="5"/>
  <c r="AA56" i="5"/>
  <c r="Q56" i="5"/>
  <c r="N56" i="5"/>
  <c r="O56" i="5" s="1"/>
  <c r="I56" i="5"/>
  <c r="AF56" i="5" s="1"/>
  <c r="AH55" i="5"/>
  <c r="AG55" i="5"/>
  <c r="AE55" i="5"/>
  <c r="AD55" i="5"/>
  <c r="AB55" i="5"/>
  <c r="AA55" i="5"/>
  <c r="Q55" i="5"/>
  <c r="N55" i="5"/>
  <c r="O55" i="5" s="1"/>
  <c r="I55" i="5"/>
  <c r="AH54" i="5"/>
  <c r="AG54" i="5"/>
  <c r="AE54" i="5"/>
  <c r="AD54" i="5"/>
  <c r="AB54" i="5"/>
  <c r="AA54" i="5"/>
  <c r="Q54" i="5"/>
  <c r="N54" i="5"/>
  <c r="O54" i="5" s="1"/>
  <c r="I54" i="5"/>
  <c r="AH53" i="5"/>
  <c r="AG53" i="5"/>
  <c r="AE53" i="5"/>
  <c r="AD53" i="5"/>
  <c r="AB53" i="5"/>
  <c r="AA53" i="5"/>
  <c r="Q53" i="5"/>
  <c r="N53" i="5"/>
  <c r="O53" i="5" s="1"/>
  <c r="I53" i="5"/>
  <c r="AF53" i="5" s="1"/>
  <c r="AH52" i="5"/>
  <c r="AG52" i="5"/>
  <c r="AE52" i="5"/>
  <c r="AD52" i="5"/>
  <c r="AB52" i="5"/>
  <c r="AA52" i="5"/>
  <c r="Q52" i="5"/>
  <c r="N52" i="5"/>
  <c r="O52" i="5" s="1"/>
  <c r="I52" i="5"/>
  <c r="AH51" i="5"/>
  <c r="AG51" i="5"/>
  <c r="AE51" i="5"/>
  <c r="AD51" i="5"/>
  <c r="AB51" i="5"/>
  <c r="AA51" i="5"/>
  <c r="Q51" i="5"/>
  <c r="N51" i="5"/>
  <c r="O51" i="5" s="1"/>
  <c r="I51" i="5"/>
  <c r="AF51" i="5" s="1"/>
  <c r="AH50" i="5"/>
  <c r="AG50" i="5"/>
  <c r="AE50" i="5"/>
  <c r="AD50" i="5"/>
  <c r="AB50" i="5"/>
  <c r="AA50" i="5"/>
  <c r="Q50" i="5"/>
  <c r="N50" i="5"/>
  <c r="O50" i="5" s="1"/>
  <c r="I50" i="5"/>
  <c r="AH49" i="5"/>
  <c r="AG49" i="5"/>
  <c r="AE49" i="5"/>
  <c r="AD49" i="5"/>
  <c r="AB49" i="5"/>
  <c r="AA49" i="5"/>
  <c r="Q49" i="5"/>
  <c r="N49" i="5"/>
  <c r="O49" i="5" s="1"/>
  <c r="I49" i="5"/>
  <c r="AC49" i="5" s="1"/>
  <c r="AH48" i="5"/>
  <c r="AG48" i="5"/>
  <c r="AE48" i="5"/>
  <c r="AD48" i="5"/>
  <c r="AB48" i="5"/>
  <c r="AA48" i="5"/>
  <c r="Q48" i="5"/>
  <c r="N48" i="5"/>
  <c r="O48" i="5" s="1"/>
  <c r="I48" i="5"/>
  <c r="AC48" i="5" s="1"/>
  <c r="AH47" i="5"/>
  <c r="AG47" i="5"/>
  <c r="AE47" i="5"/>
  <c r="AD47" i="5"/>
  <c r="AB47" i="5"/>
  <c r="AA47" i="5"/>
  <c r="Q47" i="5"/>
  <c r="N47" i="5"/>
  <c r="O47" i="5" s="1"/>
  <c r="I47" i="5"/>
  <c r="AC47" i="5" s="1"/>
  <c r="AH46" i="5"/>
  <c r="AG46" i="5"/>
  <c r="AE46" i="5"/>
  <c r="AD46" i="5"/>
  <c r="AB46" i="5"/>
  <c r="AA46" i="5"/>
  <c r="Q46" i="5"/>
  <c r="N46" i="5"/>
  <c r="O46" i="5" s="1"/>
  <c r="I46" i="5"/>
  <c r="AC46" i="5" s="1"/>
  <c r="AH45" i="5"/>
  <c r="AG45" i="5"/>
  <c r="AE45" i="5"/>
  <c r="AD45" i="5"/>
  <c r="AB45" i="5"/>
  <c r="AA45" i="5"/>
  <c r="Q45" i="5"/>
  <c r="N45" i="5"/>
  <c r="O45" i="5" s="1"/>
  <c r="I45" i="5"/>
  <c r="AH44" i="5"/>
  <c r="AG44" i="5"/>
  <c r="AE44" i="5"/>
  <c r="AD44" i="5"/>
  <c r="AB44" i="5"/>
  <c r="AA44" i="5"/>
  <c r="Q44" i="5"/>
  <c r="N44" i="5"/>
  <c r="O44" i="5" s="1"/>
  <c r="I44" i="5"/>
  <c r="AC44" i="5" s="1"/>
  <c r="AH43" i="5"/>
  <c r="AG43" i="5"/>
  <c r="AE43" i="5"/>
  <c r="AD43" i="5"/>
  <c r="AB43" i="5"/>
  <c r="AA43" i="5"/>
  <c r="Q43" i="5"/>
  <c r="N43" i="5"/>
  <c r="O43" i="5" s="1"/>
  <c r="I43" i="5"/>
  <c r="AC43" i="5" s="1"/>
  <c r="AH42" i="5"/>
  <c r="AG42" i="5"/>
  <c r="AE42" i="5"/>
  <c r="AD42" i="5"/>
  <c r="AB42" i="5"/>
  <c r="AA42" i="5"/>
  <c r="Q42" i="5"/>
  <c r="N42" i="5"/>
  <c r="O42" i="5" s="1"/>
  <c r="I42" i="5"/>
  <c r="AF42" i="5" s="1"/>
  <c r="AH41" i="5"/>
  <c r="AG41" i="5"/>
  <c r="AE41" i="5"/>
  <c r="AD41" i="5"/>
  <c r="AB41" i="5"/>
  <c r="AA41" i="5"/>
  <c r="Q41" i="5"/>
  <c r="N41" i="5"/>
  <c r="O41" i="5" s="1"/>
  <c r="I41" i="5"/>
  <c r="AH40" i="5"/>
  <c r="AG40" i="5"/>
  <c r="AE40" i="5"/>
  <c r="AD40" i="5"/>
  <c r="AB40" i="5"/>
  <c r="AA40" i="5"/>
  <c r="Q40" i="5"/>
  <c r="N40" i="5"/>
  <c r="O40" i="5" s="1"/>
  <c r="I40" i="5"/>
  <c r="AF40" i="5" s="1"/>
  <c r="AH39" i="5"/>
  <c r="AG39" i="5"/>
  <c r="AE39" i="5"/>
  <c r="AD39" i="5"/>
  <c r="AB39" i="5"/>
  <c r="AA39" i="5"/>
  <c r="Q39" i="5"/>
  <c r="N39" i="5"/>
  <c r="O39" i="5" s="1"/>
  <c r="I39" i="5"/>
  <c r="AF39" i="5" s="1"/>
  <c r="AH38" i="5"/>
  <c r="AG38" i="5"/>
  <c r="AE38" i="5"/>
  <c r="AD38" i="5"/>
  <c r="AB38" i="5"/>
  <c r="AA38" i="5"/>
  <c r="Q38" i="5"/>
  <c r="N38" i="5"/>
  <c r="O38" i="5" s="1"/>
  <c r="I38" i="5"/>
  <c r="AC38" i="5" s="1"/>
  <c r="AH37" i="5"/>
  <c r="AG37" i="5"/>
  <c r="AE37" i="5"/>
  <c r="AD37" i="5"/>
  <c r="AB37" i="5"/>
  <c r="AA37" i="5"/>
  <c r="Q37" i="5"/>
  <c r="N37" i="5"/>
  <c r="O37" i="5" s="1"/>
  <c r="I37" i="5"/>
  <c r="AF37" i="5" s="1"/>
  <c r="AH36" i="5"/>
  <c r="AG36" i="5"/>
  <c r="AE36" i="5"/>
  <c r="AD36" i="5"/>
  <c r="AB36" i="5"/>
  <c r="AA36" i="5"/>
  <c r="Q36" i="5"/>
  <c r="N36" i="5"/>
  <c r="O36" i="5" s="1"/>
  <c r="I36" i="5"/>
  <c r="AF36" i="5" s="1"/>
  <c r="AH35" i="5"/>
  <c r="AG35" i="5"/>
  <c r="AE35" i="5"/>
  <c r="AD35" i="5"/>
  <c r="AB35" i="5"/>
  <c r="AA35" i="5"/>
  <c r="Q35" i="5"/>
  <c r="N35" i="5"/>
  <c r="O35" i="5" s="1"/>
  <c r="I35" i="5"/>
  <c r="AF35" i="5" s="1"/>
  <c r="AH34" i="5"/>
  <c r="AG34" i="5"/>
  <c r="AE34" i="5"/>
  <c r="AD34" i="5"/>
  <c r="AB34" i="5"/>
  <c r="AA34" i="5"/>
  <c r="Q34" i="5"/>
  <c r="N34" i="5"/>
  <c r="O34" i="5" s="1"/>
  <c r="I34" i="5"/>
  <c r="AH33" i="5"/>
  <c r="AG33" i="5"/>
  <c r="AE33" i="5"/>
  <c r="AD33" i="5"/>
  <c r="AB33" i="5"/>
  <c r="AA33" i="5"/>
  <c r="Q33" i="5"/>
  <c r="N33" i="5"/>
  <c r="O33" i="5" s="1"/>
  <c r="I33" i="5"/>
  <c r="AC33" i="5" s="1"/>
  <c r="AH32" i="5"/>
  <c r="AG32" i="5"/>
  <c r="AE32" i="5"/>
  <c r="AD32" i="5"/>
  <c r="AB32" i="5"/>
  <c r="AA32" i="5"/>
  <c r="Q32" i="5"/>
  <c r="N32" i="5"/>
  <c r="O32" i="5" s="1"/>
  <c r="I32" i="5"/>
  <c r="AC32" i="5" s="1"/>
  <c r="AH31" i="5"/>
  <c r="AG31" i="5"/>
  <c r="AE31" i="5"/>
  <c r="AD31" i="5"/>
  <c r="AB31" i="5"/>
  <c r="AA31" i="5"/>
  <c r="Q31" i="5"/>
  <c r="N31" i="5"/>
  <c r="O31" i="5" s="1"/>
  <c r="I31" i="5"/>
  <c r="AC31" i="5" s="1"/>
  <c r="AH30" i="5"/>
  <c r="AG30" i="5"/>
  <c r="AE30" i="5"/>
  <c r="AD30" i="5"/>
  <c r="AB30" i="5"/>
  <c r="AA30" i="5"/>
  <c r="Q30" i="5"/>
  <c r="N30" i="5"/>
  <c r="O30" i="5" s="1"/>
  <c r="I30" i="5"/>
  <c r="AC30" i="5" s="1"/>
  <c r="AH29" i="5"/>
  <c r="AG29" i="5"/>
  <c r="AE29" i="5"/>
  <c r="AD29" i="5"/>
  <c r="AB29" i="5"/>
  <c r="AA29" i="5"/>
  <c r="Q29" i="5"/>
  <c r="N29" i="5"/>
  <c r="O29" i="5" s="1"/>
  <c r="I29" i="5"/>
  <c r="AH28" i="5"/>
  <c r="AG28" i="5"/>
  <c r="AE28" i="5"/>
  <c r="AD28" i="5"/>
  <c r="AB28" i="5"/>
  <c r="AA28" i="5"/>
  <c r="Q28" i="5"/>
  <c r="N28" i="5"/>
  <c r="O28" i="5" s="1"/>
  <c r="I28" i="5"/>
  <c r="AH27" i="5"/>
  <c r="AG27" i="5"/>
  <c r="AE27" i="5"/>
  <c r="AD27" i="5"/>
  <c r="AB27" i="5"/>
  <c r="AA27" i="5"/>
  <c r="Q27" i="5"/>
  <c r="N27" i="5"/>
  <c r="O27" i="5" s="1"/>
  <c r="I27" i="5"/>
  <c r="AC27" i="5" s="1"/>
  <c r="AH26" i="5"/>
  <c r="AG26" i="5"/>
  <c r="AE26" i="5"/>
  <c r="AD26" i="5"/>
  <c r="AB26" i="5"/>
  <c r="AA26" i="5"/>
  <c r="Q26" i="5"/>
  <c r="N26" i="5"/>
  <c r="O26" i="5" s="1"/>
  <c r="I26" i="5"/>
  <c r="AH25" i="5"/>
  <c r="AG25" i="5"/>
  <c r="AE25" i="5"/>
  <c r="AD25" i="5"/>
  <c r="AB25" i="5"/>
  <c r="AA25" i="5"/>
  <c r="Q25" i="5"/>
  <c r="N25" i="5"/>
  <c r="O25" i="5" s="1"/>
  <c r="I25" i="5"/>
  <c r="AF25" i="5" s="1"/>
  <c r="AH24" i="5"/>
  <c r="AG24" i="5"/>
  <c r="AE24" i="5"/>
  <c r="AD24" i="5"/>
  <c r="AB24" i="5"/>
  <c r="AA24" i="5"/>
  <c r="Q24" i="5"/>
  <c r="N24" i="5"/>
  <c r="O24" i="5" s="1"/>
  <c r="I24" i="5"/>
  <c r="AF24" i="5" s="1"/>
  <c r="AH23" i="5"/>
  <c r="AG23" i="5"/>
  <c r="AE23" i="5"/>
  <c r="AD23" i="5"/>
  <c r="AB23" i="5"/>
  <c r="AA23" i="5"/>
  <c r="Q23" i="5"/>
  <c r="N23" i="5"/>
  <c r="O23" i="5" s="1"/>
  <c r="I23" i="5"/>
  <c r="AF23" i="5" s="1"/>
  <c r="AH22" i="5"/>
  <c r="AG22" i="5"/>
  <c r="AE22" i="5"/>
  <c r="AD22" i="5"/>
  <c r="AB22" i="5"/>
  <c r="AA22" i="5"/>
  <c r="Q22" i="5"/>
  <c r="N22" i="5"/>
  <c r="O22" i="5" s="1"/>
  <c r="I22" i="5"/>
  <c r="AF22" i="5" s="1"/>
  <c r="AH21" i="5"/>
  <c r="AG21" i="5"/>
  <c r="AE21" i="5"/>
  <c r="AD21" i="5"/>
  <c r="AB21" i="5"/>
  <c r="AA21" i="5"/>
  <c r="Q21" i="5"/>
  <c r="N21" i="5"/>
  <c r="O21" i="5" s="1"/>
  <c r="I21" i="5"/>
  <c r="AF21" i="5" s="1"/>
  <c r="AH20" i="5"/>
  <c r="AG20" i="5"/>
  <c r="AE20" i="5"/>
  <c r="AD20" i="5"/>
  <c r="AB20" i="5"/>
  <c r="AA20" i="5"/>
  <c r="Q20" i="5"/>
  <c r="N20" i="5"/>
  <c r="O20" i="5" s="1"/>
  <c r="I20" i="5"/>
  <c r="AF20" i="5" s="1"/>
  <c r="AH19" i="5"/>
  <c r="AG19" i="5"/>
  <c r="AE19" i="5"/>
  <c r="AD19" i="5"/>
  <c r="AB19" i="5"/>
  <c r="AA19" i="5"/>
  <c r="Q19" i="5"/>
  <c r="N19" i="5"/>
  <c r="O19" i="5" s="1"/>
  <c r="I19" i="5"/>
  <c r="AC19" i="5" s="1"/>
  <c r="AH18" i="5"/>
  <c r="AG18" i="5"/>
  <c r="AE18" i="5"/>
  <c r="AD18" i="5"/>
  <c r="AB18" i="5"/>
  <c r="AA18" i="5"/>
  <c r="Q18" i="5"/>
  <c r="N18" i="5"/>
  <c r="O18" i="5" s="1"/>
  <c r="I18" i="5"/>
  <c r="AC18" i="5" s="1"/>
  <c r="AH17" i="5"/>
  <c r="AG17" i="5"/>
  <c r="AE17" i="5"/>
  <c r="AD17" i="5"/>
  <c r="AB17" i="5"/>
  <c r="AA17" i="5"/>
  <c r="Q17" i="5"/>
  <c r="N17" i="5"/>
  <c r="O17" i="5" s="1"/>
  <c r="I17" i="5"/>
  <c r="AF17" i="5" s="1"/>
  <c r="AH16" i="5"/>
  <c r="AG16" i="5"/>
  <c r="AE16" i="5"/>
  <c r="AD16" i="5"/>
  <c r="AB16" i="5"/>
  <c r="AA16" i="5"/>
  <c r="Q16" i="5"/>
  <c r="N16" i="5"/>
  <c r="O16" i="5" s="1"/>
  <c r="I16" i="5"/>
  <c r="AH15" i="5"/>
  <c r="AG15" i="5"/>
  <c r="AE15" i="5"/>
  <c r="AD15" i="5"/>
  <c r="AB15" i="5"/>
  <c r="AA15" i="5"/>
  <c r="Q15" i="5"/>
  <c r="N15" i="5"/>
  <c r="O15" i="5" s="1"/>
  <c r="I15" i="5"/>
  <c r="AF15" i="5" s="1"/>
  <c r="X12" i="5"/>
  <c r="V12" i="5"/>
  <c r="O62" i="7"/>
  <c r="N62" i="7"/>
  <c r="K62" i="7"/>
  <c r="J62" i="7"/>
  <c r="G62" i="7"/>
  <c r="F62" i="7"/>
  <c r="O61" i="7"/>
  <c r="K61" i="7"/>
  <c r="G61" i="7"/>
  <c r="P61" i="7"/>
  <c r="L61" i="7"/>
  <c r="H61" i="7"/>
  <c r="Q60" i="7"/>
  <c r="P62" i="7"/>
  <c r="N61" i="7"/>
  <c r="M62" i="7"/>
  <c r="L62" i="7"/>
  <c r="J61" i="7"/>
  <c r="I61" i="7"/>
  <c r="H62" i="7"/>
  <c r="F61" i="7"/>
  <c r="E62" i="7"/>
  <c r="O57" i="7"/>
  <c r="N57" i="7"/>
  <c r="K57" i="7"/>
  <c r="J57" i="7"/>
  <c r="G57" i="7"/>
  <c r="F57" i="7"/>
  <c r="O56" i="7"/>
  <c r="K56" i="7"/>
  <c r="G56" i="7"/>
  <c r="P56" i="7"/>
  <c r="L56" i="7"/>
  <c r="H56" i="7"/>
  <c r="Q55" i="7"/>
  <c r="P57" i="7"/>
  <c r="N56" i="7"/>
  <c r="M56" i="7"/>
  <c r="L57" i="7"/>
  <c r="J56" i="7"/>
  <c r="I57" i="7"/>
  <c r="H57" i="7"/>
  <c r="F56" i="7"/>
  <c r="E56" i="7"/>
  <c r="O52" i="7"/>
  <c r="N52" i="7"/>
  <c r="K52" i="7"/>
  <c r="J52" i="7"/>
  <c r="G52" i="7"/>
  <c r="F52" i="7"/>
  <c r="O51" i="7"/>
  <c r="K51" i="7"/>
  <c r="G51" i="7"/>
  <c r="P51" i="7"/>
  <c r="L51" i="7"/>
  <c r="H51" i="7"/>
  <c r="Q50" i="7"/>
  <c r="P52" i="7"/>
  <c r="N51" i="7"/>
  <c r="M52" i="7"/>
  <c r="L52" i="7"/>
  <c r="J51" i="7"/>
  <c r="I51" i="7"/>
  <c r="H52" i="7"/>
  <c r="F51" i="7"/>
  <c r="E52" i="7"/>
  <c r="O47" i="7"/>
  <c r="N47" i="7"/>
  <c r="K47" i="7"/>
  <c r="J47" i="7"/>
  <c r="G47" i="7"/>
  <c r="F47" i="7"/>
  <c r="O46" i="7"/>
  <c r="K46" i="7"/>
  <c r="G46" i="7"/>
  <c r="P46" i="7"/>
  <c r="L46" i="7"/>
  <c r="H46" i="7"/>
  <c r="Q45" i="7"/>
  <c r="P47" i="7"/>
  <c r="N46" i="7"/>
  <c r="M46" i="7"/>
  <c r="L47" i="7"/>
  <c r="J46" i="7"/>
  <c r="I47" i="7"/>
  <c r="H47" i="7"/>
  <c r="F46" i="7"/>
  <c r="E46" i="7"/>
  <c r="O42" i="7"/>
  <c r="N42" i="7"/>
  <c r="K42" i="7"/>
  <c r="J42" i="7"/>
  <c r="G42" i="7"/>
  <c r="F42" i="7"/>
  <c r="O41" i="7"/>
  <c r="K41" i="7"/>
  <c r="G41" i="7"/>
  <c r="P41" i="7"/>
  <c r="L41" i="7"/>
  <c r="H41" i="7"/>
  <c r="Q40" i="7"/>
  <c r="P42" i="7"/>
  <c r="N41" i="7"/>
  <c r="M42" i="7"/>
  <c r="L42" i="7"/>
  <c r="J41" i="7"/>
  <c r="I41" i="7"/>
  <c r="H42" i="7"/>
  <c r="F41" i="7"/>
  <c r="E42" i="7"/>
  <c r="O37" i="7"/>
  <c r="N37" i="7"/>
  <c r="K37" i="7"/>
  <c r="J37" i="7"/>
  <c r="G37" i="7"/>
  <c r="F37" i="7"/>
  <c r="O36" i="7"/>
  <c r="K36" i="7"/>
  <c r="G36" i="7"/>
  <c r="P36" i="7"/>
  <c r="L36" i="7"/>
  <c r="H36" i="7"/>
  <c r="Q35" i="7"/>
  <c r="P37" i="7"/>
  <c r="N36" i="7"/>
  <c r="M36" i="7"/>
  <c r="L37" i="7"/>
  <c r="J36" i="7"/>
  <c r="I37" i="7"/>
  <c r="H37" i="7"/>
  <c r="F36" i="7"/>
  <c r="E36" i="7"/>
  <c r="O32" i="7"/>
  <c r="N32" i="7"/>
  <c r="K32" i="7"/>
  <c r="J32" i="7"/>
  <c r="G32" i="7"/>
  <c r="F32" i="7"/>
  <c r="O31" i="7"/>
  <c r="K31" i="7"/>
  <c r="G31" i="7"/>
  <c r="P31" i="7"/>
  <c r="L31" i="7"/>
  <c r="H31" i="7"/>
  <c r="Q30" i="7"/>
  <c r="P32" i="7"/>
  <c r="N31" i="7"/>
  <c r="M32" i="7"/>
  <c r="L32" i="7"/>
  <c r="J31" i="7"/>
  <c r="I31" i="7"/>
  <c r="H32" i="7"/>
  <c r="F31" i="7"/>
  <c r="E32" i="7"/>
  <c r="O26" i="7"/>
  <c r="N26" i="7"/>
  <c r="K26" i="7"/>
  <c r="J26" i="7"/>
  <c r="G26" i="7"/>
  <c r="F26" i="7"/>
  <c r="O25" i="7"/>
  <c r="K25" i="7"/>
  <c r="G25" i="7"/>
  <c r="P25" i="7"/>
  <c r="L25" i="7"/>
  <c r="H25" i="7"/>
  <c r="Q24" i="7"/>
  <c r="P26" i="7"/>
  <c r="N25" i="7"/>
  <c r="M25" i="7"/>
  <c r="L26" i="7"/>
  <c r="J25" i="7"/>
  <c r="I26" i="7"/>
  <c r="H26" i="7"/>
  <c r="F25" i="7"/>
  <c r="E25" i="7"/>
  <c r="O21" i="7"/>
  <c r="N21" i="7"/>
  <c r="K21" i="7"/>
  <c r="J21" i="7"/>
  <c r="G21" i="7"/>
  <c r="F21" i="7"/>
  <c r="O20" i="7"/>
  <c r="K20" i="7"/>
  <c r="G20" i="7"/>
  <c r="P20" i="7"/>
  <c r="O66" i="7"/>
  <c r="N66" i="7"/>
  <c r="M66" i="7"/>
  <c r="L20" i="7"/>
  <c r="K66" i="7"/>
  <c r="J66" i="7"/>
  <c r="I66" i="7"/>
  <c r="H20" i="7"/>
  <c r="G66" i="7"/>
  <c r="F66" i="7"/>
  <c r="Q19" i="7"/>
  <c r="P21" i="7"/>
  <c r="N20" i="7"/>
  <c r="M21" i="7"/>
  <c r="L21" i="7"/>
  <c r="J20" i="7"/>
  <c r="I20" i="7"/>
  <c r="H21" i="7"/>
  <c r="F20" i="7"/>
  <c r="E21" i="7"/>
  <c r="N16" i="7"/>
  <c r="J16" i="7"/>
  <c r="F16" i="7"/>
  <c r="O16" i="7"/>
  <c r="K16" i="7"/>
  <c r="G16" i="7"/>
  <c r="Q15" i="7"/>
  <c r="Q14" i="7"/>
  <c r="P65" i="7"/>
  <c r="O65" i="7"/>
  <c r="N65" i="7"/>
  <c r="M65" i="7"/>
  <c r="L65" i="7"/>
  <c r="K65" i="7"/>
  <c r="J65" i="7"/>
  <c r="I16" i="7"/>
  <c r="H65" i="7"/>
  <c r="G65" i="7"/>
  <c r="F65" i="7"/>
  <c r="E65" i="7"/>
  <c r="AC285" i="5" l="1"/>
  <c r="AF225" i="5"/>
  <c r="AC225" i="5"/>
  <c r="P225" i="5" s="1"/>
  <c r="AF237" i="5"/>
  <c r="AC237" i="5"/>
  <c r="AF245" i="5"/>
  <c r="AC245" i="5"/>
  <c r="AF191" i="5"/>
  <c r="AF218" i="5"/>
  <c r="AC218" i="5"/>
  <c r="AC222" i="5"/>
  <c r="AF222" i="5"/>
  <c r="AC226" i="5"/>
  <c r="P226" i="5" s="1"/>
  <c r="AF226" i="5"/>
  <c r="AF230" i="5"/>
  <c r="AC230" i="5"/>
  <c r="AF234" i="5"/>
  <c r="AC234" i="5"/>
  <c r="AC238" i="5"/>
  <c r="AF238" i="5"/>
  <c r="AF242" i="5"/>
  <c r="AC242" i="5"/>
  <c r="AF246" i="5"/>
  <c r="AC246" i="5"/>
  <c r="AF250" i="5"/>
  <c r="AC250" i="5"/>
  <c r="AC254" i="5"/>
  <c r="AF254" i="5"/>
  <c r="AF221" i="5"/>
  <c r="AC221" i="5"/>
  <c r="AC241" i="5"/>
  <c r="AF241" i="5"/>
  <c r="AF253" i="5"/>
  <c r="AC253" i="5"/>
  <c r="AC219" i="5"/>
  <c r="AF219" i="5"/>
  <c r="AC223" i="5"/>
  <c r="P223" i="5" s="1"/>
  <c r="AF223" i="5"/>
  <c r="AF227" i="5"/>
  <c r="AC227" i="5"/>
  <c r="AF231" i="5"/>
  <c r="AC231" i="5"/>
  <c r="AC235" i="5"/>
  <c r="AF235" i="5"/>
  <c r="AC239" i="5"/>
  <c r="AF239" i="5"/>
  <c r="AF243" i="5"/>
  <c r="AC243" i="5"/>
  <c r="AF247" i="5"/>
  <c r="AC247" i="5"/>
  <c r="AC251" i="5"/>
  <c r="AF251" i="5"/>
  <c r="AC255" i="5"/>
  <c r="AF255" i="5"/>
  <c r="AF233" i="5"/>
  <c r="AC233" i="5"/>
  <c r="AC217" i="5"/>
  <c r="AF217" i="5"/>
  <c r="AC229" i="5"/>
  <c r="AF229" i="5"/>
  <c r="AF249" i="5"/>
  <c r="AC249" i="5"/>
  <c r="AC42" i="5"/>
  <c r="U42" i="5" s="1"/>
  <c r="V42" i="5" s="1"/>
  <c r="X42" i="5" s="1"/>
  <c r="AF220" i="5"/>
  <c r="AC220" i="5"/>
  <c r="AF224" i="5"/>
  <c r="AC224" i="5"/>
  <c r="AF228" i="5"/>
  <c r="AC228" i="5"/>
  <c r="AC232" i="5"/>
  <c r="AF232" i="5"/>
  <c r="AF236" i="5"/>
  <c r="AC236" i="5"/>
  <c r="AF240" i="5"/>
  <c r="AC240" i="5"/>
  <c r="AC244" i="5"/>
  <c r="AF244" i="5"/>
  <c r="AC248" i="5"/>
  <c r="AF248" i="5"/>
  <c r="AF252" i="5"/>
  <c r="AC252" i="5"/>
  <c r="AF256" i="5"/>
  <c r="AC256" i="5"/>
  <c r="AC95" i="5"/>
  <c r="AF95" i="5"/>
  <c r="AF92" i="5"/>
  <c r="AC92" i="5"/>
  <c r="AF96" i="5"/>
  <c r="AC96" i="5"/>
  <c r="AC91" i="5"/>
  <c r="AF91" i="5"/>
  <c r="AF93" i="5"/>
  <c r="AC93" i="5"/>
  <c r="AC172" i="5"/>
  <c r="U172" i="5" s="1"/>
  <c r="V172" i="5" s="1"/>
  <c r="X172" i="5" s="1"/>
  <c r="AF148" i="5"/>
  <c r="AF99" i="5"/>
  <c r="AC99" i="5"/>
  <c r="AC97" i="5"/>
  <c r="AF97" i="5"/>
  <c r="AF44" i="5"/>
  <c r="AF90" i="5"/>
  <c r="AC90" i="5"/>
  <c r="AC94" i="5"/>
  <c r="AF94" i="5"/>
  <c r="AC98" i="5"/>
  <c r="AF98" i="5"/>
  <c r="U213" i="5"/>
  <c r="V213" i="5" s="1"/>
  <c r="X213" i="5" s="1"/>
  <c r="AC20" i="5"/>
  <c r="U20" i="5" s="1"/>
  <c r="V20" i="5" s="1"/>
  <c r="X20" i="5" s="1"/>
  <c r="U67" i="5"/>
  <c r="V67" i="5" s="1"/>
  <c r="X67" i="5" s="1"/>
  <c r="AC169" i="5"/>
  <c r="P169" i="5" s="1"/>
  <c r="T169" i="5" s="1"/>
  <c r="P139" i="5"/>
  <c r="T139" i="5" s="1"/>
  <c r="AC282" i="5"/>
  <c r="U282" i="5" s="1"/>
  <c r="V282" i="5" s="1"/>
  <c r="X282" i="5" s="1"/>
  <c r="AF275" i="5"/>
  <c r="AC60" i="5"/>
  <c r="P60" i="5" s="1"/>
  <c r="AC168" i="5"/>
  <c r="P168" i="5" s="1"/>
  <c r="AC177" i="5"/>
  <c r="P177" i="5" s="1"/>
  <c r="T177" i="5" s="1"/>
  <c r="AC274" i="5"/>
  <c r="P274" i="5" s="1"/>
  <c r="T274" i="5" s="1"/>
  <c r="AC15" i="5"/>
  <c r="U15" i="5" s="1"/>
  <c r="V15" i="5" s="1"/>
  <c r="X15" i="5" s="1"/>
  <c r="U122" i="5"/>
  <c r="V122" i="5" s="1"/>
  <c r="X122" i="5" s="1"/>
  <c r="AF27" i="5"/>
  <c r="AF32" i="5"/>
  <c r="AF118" i="5"/>
  <c r="AC119" i="5"/>
  <c r="P119" i="5" s="1"/>
  <c r="T119" i="5" s="1"/>
  <c r="AC173" i="5"/>
  <c r="P173" i="5" s="1"/>
  <c r="AC269" i="5"/>
  <c r="P269" i="5" s="1"/>
  <c r="P88" i="5"/>
  <c r="T88" i="5" s="1"/>
  <c r="P72" i="5"/>
  <c r="T72" i="5" s="1"/>
  <c r="AC150" i="5"/>
  <c r="U150" i="5" s="1"/>
  <c r="V150" i="5" s="1"/>
  <c r="X150" i="5" s="1"/>
  <c r="AC175" i="5"/>
  <c r="U175" i="5" s="1"/>
  <c r="V175" i="5" s="1"/>
  <c r="X175" i="5" s="1"/>
  <c r="P214" i="5"/>
  <c r="R214" i="5" s="1"/>
  <c r="P27" i="5"/>
  <c r="R27" i="5" s="1"/>
  <c r="P69" i="5"/>
  <c r="T69" i="5" s="1"/>
  <c r="AC138" i="5"/>
  <c r="P138" i="5" s="1"/>
  <c r="AC283" i="5"/>
  <c r="U283" i="5" s="1"/>
  <c r="V283" i="5" s="1"/>
  <c r="X283" i="5" s="1"/>
  <c r="U102" i="5"/>
  <c r="V102" i="5" s="1"/>
  <c r="X102" i="5" s="1"/>
  <c r="U103" i="5"/>
  <c r="V103" i="5" s="1"/>
  <c r="X103" i="5" s="1"/>
  <c r="AF122" i="5"/>
  <c r="AF127" i="5"/>
  <c r="AC17" i="5"/>
  <c r="U17" i="5" s="1"/>
  <c r="V17" i="5" s="1"/>
  <c r="X17" i="5" s="1"/>
  <c r="AC21" i="5"/>
  <c r="U21" i="5" s="1"/>
  <c r="V21" i="5" s="1"/>
  <c r="X21" i="5" s="1"/>
  <c r="AC56" i="5"/>
  <c r="P56" i="5" s="1"/>
  <c r="T56" i="5" s="1"/>
  <c r="AF72" i="5"/>
  <c r="U100" i="5"/>
  <c r="V100" i="5" s="1"/>
  <c r="X100" i="5" s="1"/>
  <c r="P115" i="5"/>
  <c r="R115" i="5" s="1"/>
  <c r="U118" i="5"/>
  <c r="V118" i="5" s="1"/>
  <c r="X118" i="5" s="1"/>
  <c r="AC136" i="5"/>
  <c r="P136" i="5" s="1"/>
  <c r="T136" i="5" s="1"/>
  <c r="AF155" i="5"/>
  <c r="AF261" i="5"/>
  <c r="P270" i="5"/>
  <c r="T270" i="5" s="1"/>
  <c r="AF270" i="5"/>
  <c r="AC22" i="5"/>
  <c r="U22" i="5" s="1"/>
  <c r="V22" i="5" s="1"/>
  <c r="X22" i="5" s="1"/>
  <c r="AF156" i="5"/>
  <c r="P202" i="5"/>
  <c r="R202" i="5" s="1"/>
  <c r="P209" i="5"/>
  <c r="T209" i="5" s="1"/>
  <c r="U65" i="5"/>
  <c r="V65" i="5" s="1"/>
  <c r="X65" i="5" s="1"/>
  <c r="U201" i="5"/>
  <c r="V201" i="5" s="1"/>
  <c r="X201" i="5" s="1"/>
  <c r="U263" i="5"/>
  <c r="V263" i="5" s="1"/>
  <c r="X263" i="5" s="1"/>
  <c r="AC40" i="5"/>
  <c r="P40" i="5" s="1"/>
  <c r="T40" i="5" s="1"/>
  <c r="AC110" i="5"/>
  <c r="P110" i="5" s="1"/>
  <c r="T110" i="5" s="1"/>
  <c r="AC117" i="5"/>
  <c r="P117" i="5" s="1"/>
  <c r="T117" i="5" s="1"/>
  <c r="AC137" i="5"/>
  <c r="P137" i="5" s="1"/>
  <c r="T137" i="5" s="1"/>
  <c r="U211" i="5"/>
  <c r="V211" i="5" s="1"/>
  <c r="X211" i="5" s="1"/>
  <c r="AC281" i="5"/>
  <c r="U32" i="5"/>
  <c r="V32" i="5" s="1"/>
  <c r="X32" i="5" s="1"/>
  <c r="AC53" i="5"/>
  <c r="P53" i="5" s="1"/>
  <c r="AF63" i="5"/>
  <c r="AC141" i="5"/>
  <c r="P141" i="5" s="1"/>
  <c r="AF189" i="5"/>
  <c r="AF128" i="5"/>
  <c r="AF152" i="5"/>
  <c r="AF166" i="5"/>
  <c r="P180" i="5"/>
  <c r="R180" i="5" s="1"/>
  <c r="AC195" i="5"/>
  <c r="U195" i="5" s="1"/>
  <c r="V195" i="5" s="1"/>
  <c r="X195" i="5" s="1"/>
  <c r="AC277" i="5"/>
  <c r="U277" i="5" s="1"/>
  <c r="V277" i="5" s="1"/>
  <c r="X277" i="5" s="1"/>
  <c r="AF277" i="5"/>
  <c r="Q286" i="5"/>
  <c r="AC16" i="5"/>
  <c r="P16" i="5" s="1"/>
  <c r="AF16" i="5"/>
  <c r="AF26" i="5"/>
  <c r="AC26" i="5"/>
  <c r="U26" i="5" s="1"/>
  <c r="V26" i="5" s="1"/>
  <c r="X26" i="5" s="1"/>
  <c r="AF54" i="5"/>
  <c r="AC54" i="5"/>
  <c r="P54" i="5" s="1"/>
  <c r="T54" i="5" s="1"/>
  <c r="P61" i="5"/>
  <c r="T61" i="5" s="1"/>
  <c r="P65" i="5"/>
  <c r="T65" i="5" s="1"/>
  <c r="AF67" i="5"/>
  <c r="AC78" i="5"/>
  <c r="U78" i="5" s="1"/>
  <c r="V78" i="5" s="1"/>
  <c r="X78" i="5" s="1"/>
  <c r="P127" i="5"/>
  <c r="AF146" i="5"/>
  <c r="AC146" i="5"/>
  <c r="U146" i="5" s="1"/>
  <c r="V146" i="5" s="1"/>
  <c r="X146" i="5" s="1"/>
  <c r="AC157" i="5"/>
  <c r="U157" i="5" s="1"/>
  <c r="V157" i="5" s="1"/>
  <c r="X157" i="5" s="1"/>
  <c r="P206" i="5"/>
  <c r="T206" i="5" s="1"/>
  <c r="AC273" i="5"/>
  <c r="P273" i="5" s="1"/>
  <c r="AF273" i="5"/>
  <c r="AC23" i="5"/>
  <c r="P23" i="5" s="1"/>
  <c r="AF31" i="5"/>
  <c r="AC37" i="5"/>
  <c r="U37" i="5" s="1"/>
  <c r="V37" i="5" s="1"/>
  <c r="X37" i="5" s="1"/>
  <c r="AF55" i="5"/>
  <c r="AC55" i="5"/>
  <c r="P55" i="5" s="1"/>
  <c r="AC120" i="5"/>
  <c r="U120" i="5" s="1"/>
  <c r="V120" i="5" s="1"/>
  <c r="X120" i="5" s="1"/>
  <c r="P129" i="5"/>
  <c r="T129" i="5" s="1"/>
  <c r="AC132" i="5"/>
  <c r="U132" i="5" s="1"/>
  <c r="V132" i="5" s="1"/>
  <c r="X132" i="5" s="1"/>
  <c r="AC187" i="5"/>
  <c r="U187" i="5" s="1"/>
  <c r="V187" i="5" s="1"/>
  <c r="X187" i="5" s="1"/>
  <c r="P155" i="5"/>
  <c r="AC28" i="5"/>
  <c r="U28" i="5" s="1"/>
  <c r="V28" i="5" s="1"/>
  <c r="X28" i="5" s="1"/>
  <c r="AF28" i="5"/>
  <c r="AF29" i="5"/>
  <c r="AC29" i="5"/>
  <c r="P29" i="5" s="1"/>
  <c r="T29" i="5" s="1"/>
  <c r="AF41" i="5"/>
  <c r="AC41" i="5"/>
  <c r="U41" i="5" s="1"/>
  <c r="V41" i="5" s="1"/>
  <c r="X41" i="5" s="1"/>
  <c r="AF61" i="5"/>
  <c r="AF65" i="5"/>
  <c r="U72" i="5"/>
  <c r="V72" i="5" s="1"/>
  <c r="X72" i="5" s="1"/>
  <c r="AC133" i="5"/>
  <c r="P133" i="5" s="1"/>
  <c r="AC149" i="5"/>
  <c r="P149" i="5" s="1"/>
  <c r="R149" i="5" s="1"/>
  <c r="AC178" i="5"/>
  <c r="U178" i="5" s="1"/>
  <c r="V178" i="5" s="1"/>
  <c r="X178" i="5" s="1"/>
  <c r="P213" i="5"/>
  <c r="T213" i="5" s="1"/>
  <c r="AC271" i="5"/>
  <c r="U271" i="5" s="1"/>
  <c r="V271" i="5" s="1"/>
  <c r="X271" i="5" s="1"/>
  <c r="AF271" i="5"/>
  <c r="AF125" i="5"/>
  <c r="AC125" i="5"/>
  <c r="U125" i="5" s="1"/>
  <c r="V125" i="5" s="1"/>
  <c r="X125" i="5" s="1"/>
  <c r="AF165" i="5"/>
  <c r="AC165" i="5"/>
  <c r="U165" i="5" s="1"/>
  <c r="V165" i="5" s="1"/>
  <c r="X165" i="5" s="1"/>
  <c r="U87" i="5"/>
  <c r="V87" i="5" s="1"/>
  <c r="X87" i="5" s="1"/>
  <c r="AF135" i="5"/>
  <c r="AC135" i="5"/>
  <c r="P135" i="5" s="1"/>
  <c r="AF147" i="5"/>
  <c r="AF180" i="5"/>
  <c r="AF45" i="5"/>
  <c r="AC45" i="5"/>
  <c r="P45" i="5" s="1"/>
  <c r="T45" i="5" s="1"/>
  <c r="O266" i="5"/>
  <c r="U275" i="5"/>
  <c r="V275" i="5" s="1"/>
  <c r="X275" i="5" s="1"/>
  <c r="AF38" i="5"/>
  <c r="AC39" i="5"/>
  <c r="P39" i="5" s="1"/>
  <c r="AF58" i="5"/>
  <c r="AC58" i="5"/>
  <c r="P58" i="5" s="1"/>
  <c r="AF79" i="5"/>
  <c r="AF145" i="5"/>
  <c r="P161" i="5"/>
  <c r="T161" i="5" s="1"/>
  <c r="AC176" i="5"/>
  <c r="P176" i="5" s="1"/>
  <c r="AC181" i="5"/>
  <c r="U181" i="5" s="1"/>
  <c r="V181" i="5" s="1"/>
  <c r="X181" i="5" s="1"/>
  <c r="AF181" i="5"/>
  <c r="AF276" i="5"/>
  <c r="AC276" i="5"/>
  <c r="U276" i="5" s="1"/>
  <c r="V276" i="5" s="1"/>
  <c r="X276" i="5" s="1"/>
  <c r="Q278" i="5"/>
  <c r="N286" i="5"/>
  <c r="AC24" i="5"/>
  <c r="P24" i="5" s="1"/>
  <c r="AF48" i="5"/>
  <c r="AC57" i="5"/>
  <c r="U57" i="5" s="1"/>
  <c r="V57" i="5" s="1"/>
  <c r="X57" i="5" s="1"/>
  <c r="P68" i="5"/>
  <c r="T68" i="5" s="1"/>
  <c r="U75" i="5"/>
  <c r="V75" i="5" s="1"/>
  <c r="X75" i="5" s="1"/>
  <c r="AF123" i="5"/>
  <c r="AC124" i="5"/>
  <c r="P124" i="5" s="1"/>
  <c r="AF126" i="5"/>
  <c r="AC134" i="5"/>
  <c r="P134" i="5" s="1"/>
  <c r="U144" i="5"/>
  <c r="V144" i="5" s="1"/>
  <c r="X144" i="5" s="1"/>
  <c r="AF171" i="5"/>
  <c r="AC179" i="5"/>
  <c r="U179" i="5" s="1"/>
  <c r="V179" i="5" s="1"/>
  <c r="X179" i="5" s="1"/>
  <c r="AC272" i="5"/>
  <c r="P272" i="5" s="1"/>
  <c r="O281" i="5"/>
  <c r="P211" i="5"/>
  <c r="R211" i="5" s="1"/>
  <c r="U38" i="5"/>
  <c r="V38" i="5" s="1"/>
  <c r="X38" i="5" s="1"/>
  <c r="P89" i="5"/>
  <c r="P102" i="5"/>
  <c r="T102" i="5" s="1"/>
  <c r="U152" i="5"/>
  <c r="V152" i="5" s="1"/>
  <c r="X152" i="5" s="1"/>
  <c r="AF263" i="5"/>
  <c r="AC284" i="5"/>
  <c r="U284" i="5" s="1"/>
  <c r="V284" i="5" s="1"/>
  <c r="X284" i="5" s="1"/>
  <c r="P59" i="5"/>
  <c r="T59" i="5" s="1"/>
  <c r="U77" i="5"/>
  <c r="V77" i="5" s="1"/>
  <c r="X77" i="5" s="1"/>
  <c r="P100" i="5"/>
  <c r="T100" i="5" s="1"/>
  <c r="AF115" i="5"/>
  <c r="AC25" i="5"/>
  <c r="P25" i="5" s="1"/>
  <c r="AF18" i="5"/>
  <c r="AC71" i="5"/>
  <c r="U71" i="5" s="1"/>
  <c r="V71" i="5" s="1"/>
  <c r="X71" i="5" s="1"/>
  <c r="AF71" i="5"/>
  <c r="AC83" i="5"/>
  <c r="U83" i="5" s="1"/>
  <c r="V83" i="5" s="1"/>
  <c r="X83" i="5" s="1"/>
  <c r="AF83" i="5"/>
  <c r="U84" i="5"/>
  <c r="V84" i="5" s="1"/>
  <c r="X84" i="5" s="1"/>
  <c r="P84" i="5"/>
  <c r="T84" i="5" s="1"/>
  <c r="P31" i="5"/>
  <c r="P47" i="5"/>
  <c r="AC50" i="5"/>
  <c r="U50" i="5" s="1"/>
  <c r="V50" i="5" s="1"/>
  <c r="X50" i="5" s="1"/>
  <c r="AF50" i="5"/>
  <c r="AF52" i="5"/>
  <c r="AC52" i="5"/>
  <c r="P52" i="5" s="1"/>
  <c r="T52" i="5" s="1"/>
  <c r="U33" i="5"/>
  <c r="V33" i="5" s="1"/>
  <c r="X33" i="5" s="1"/>
  <c r="U63" i="5"/>
  <c r="V63" i="5" s="1"/>
  <c r="X63" i="5" s="1"/>
  <c r="P63" i="5"/>
  <c r="T63" i="5" s="1"/>
  <c r="O106" i="5"/>
  <c r="AF47" i="5"/>
  <c r="P48" i="5"/>
  <c r="T48" i="5" s="1"/>
  <c r="U48" i="5"/>
  <c r="V48" i="5" s="1"/>
  <c r="X48" i="5" s="1"/>
  <c r="U61" i="5"/>
  <c r="V61" i="5" s="1"/>
  <c r="X61" i="5" s="1"/>
  <c r="Y61" i="5" s="1"/>
  <c r="R69" i="5"/>
  <c r="AC74" i="5"/>
  <c r="P74" i="5" s="1"/>
  <c r="AF74" i="5"/>
  <c r="AF82" i="5"/>
  <c r="AF116" i="5"/>
  <c r="AC116" i="5"/>
  <c r="U116" i="5" s="1"/>
  <c r="V116" i="5" s="1"/>
  <c r="X116" i="5" s="1"/>
  <c r="AF129" i="5"/>
  <c r="U207" i="5"/>
  <c r="V207" i="5" s="1"/>
  <c r="X207" i="5" s="1"/>
  <c r="P207" i="5"/>
  <c r="P46" i="5"/>
  <c r="T46" i="5" s="1"/>
  <c r="U46" i="5"/>
  <c r="V46" i="5" s="1"/>
  <c r="X46" i="5" s="1"/>
  <c r="Q106" i="5"/>
  <c r="AF19" i="5"/>
  <c r="AF30" i="5"/>
  <c r="P32" i="5"/>
  <c r="T32" i="5" s="1"/>
  <c r="AF43" i="5"/>
  <c r="P49" i="5"/>
  <c r="T49" i="5" s="1"/>
  <c r="AF49" i="5"/>
  <c r="AF59" i="5"/>
  <c r="P67" i="5"/>
  <c r="T67" i="5" s="1"/>
  <c r="P30" i="5"/>
  <c r="T30" i="5" s="1"/>
  <c r="U30" i="5"/>
  <c r="V30" i="5" s="1"/>
  <c r="X30" i="5" s="1"/>
  <c r="AC34" i="5"/>
  <c r="U34" i="5" s="1"/>
  <c r="V34" i="5" s="1"/>
  <c r="X34" i="5" s="1"/>
  <c r="AF34" i="5"/>
  <c r="AF64" i="5"/>
  <c r="AC64" i="5"/>
  <c r="AC36" i="5"/>
  <c r="U36" i="5" s="1"/>
  <c r="V36" i="5" s="1"/>
  <c r="X36" i="5" s="1"/>
  <c r="AF66" i="5"/>
  <c r="AC66" i="5"/>
  <c r="U66" i="5" s="1"/>
  <c r="V66" i="5" s="1"/>
  <c r="X66" i="5" s="1"/>
  <c r="P85" i="5"/>
  <c r="T85" i="5" s="1"/>
  <c r="U85" i="5"/>
  <c r="V85" i="5" s="1"/>
  <c r="X85" i="5" s="1"/>
  <c r="AF164" i="5"/>
  <c r="AC164" i="5"/>
  <c r="U164" i="5" s="1"/>
  <c r="V164" i="5" s="1"/>
  <c r="X164" i="5" s="1"/>
  <c r="U27" i="5"/>
  <c r="V27" i="5" s="1"/>
  <c r="X27" i="5" s="1"/>
  <c r="P33" i="5"/>
  <c r="T33" i="5" s="1"/>
  <c r="AF33" i="5"/>
  <c r="U44" i="5"/>
  <c r="V44" i="5" s="1"/>
  <c r="X44" i="5" s="1"/>
  <c r="AF46" i="5"/>
  <c r="U123" i="5"/>
  <c r="V123" i="5" s="1"/>
  <c r="X123" i="5" s="1"/>
  <c r="P123" i="5"/>
  <c r="T123" i="5" s="1"/>
  <c r="N184" i="5"/>
  <c r="O184" i="5" s="1"/>
  <c r="O257" i="5" s="1"/>
  <c r="U205" i="5"/>
  <c r="V205" i="5" s="1"/>
  <c r="X205" i="5" s="1"/>
  <c r="P205" i="5"/>
  <c r="T205" i="5" s="1"/>
  <c r="AC109" i="5"/>
  <c r="P109" i="5" s="1"/>
  <c r="AC114" i="5"/>
  <c r="U114" i="5" s="1"/>
  <c r="V114" i="5" s="1"/>
  <c r="X114" i="5" s="1"/>
  <c r="AF114" i="5"/>
  <c r="P142" i="5"/>
  <c r="T142" i="5" s="1"/>
  <c r="AC154" i="5"/>
  <c r="P154" i="5" s="1"/>
  <c r="AF154" i="5"/>
  <c r="AF170" i="5"/>
  <c r="AC170" i="5"/>
  <c r="P170" i="5" s="1"/>
  <c r="U199" i="5"/>
  <c r="V199" i="5" s="1"/>
  <c r="X199" i="5" s="1"/>
  <c r="P199" i="5"/>
  <c r="T199" i="5" s="1"/>
  <c r="U18" i="5"/>
  <c r="V18" i="5" s="1"/>
  <c r="X18" i="5" s="1"/>
  <c r="U19" i="5"/>
  <c r="V19" i="5" s="1"/>
  <c r="X19" i="5" s="1"/>
  <c r="AC35" i="5"/>
  <c r="P35" i="5" s="1"/>
  <c r="T35" i="5" s="1"/>
  <c r="AC51" i="5"/>
  <c r="P51" i="5" s="1"/>
  <c r="AC62" i="5"/>
  <c r="U62" i="5" s="1"/>
  <c r="V62" i="5" s="1"/>
  <c r="X62" i="5" s="1"/>
  <c r="U68" i="5"/>
  <c r="V68" i="5" s="1"/>
  <c r="X68" i="5" s="1"/>
  <c r="Y68" i="5" s="1"/>
  <c r="AF68" i="5"/>
  <c r="AF69" i="5"/>
  <c r="AC73" i="5"/>
  <c r="P73" i="5" s="1"/>
  <c r="AF73" i="5"/>
  <c r="AF75" i="5"/>
  <c r="AF77" i="5"/>
  <c r="AF80" i="5"/>
  <c r="P104" i="5"/>
  <c r="U104" i="5"/>
  <c r="V104" i="5" s="1"/>
  <c r="X104" i="5" s="1"/>
  <c r="L106" i="5"/>
  <c r="AC111" i="5"/>
  <c r="U111" i="5" s="1"/>
  <c r="V111" i="5" s="1"/>
  <c r="X111" i="5" s="1"/>
  <c r="AF111" i="5"/>
  <c r="AF112" i="5"/>
  <c r="U113" i="5"/>
  <c r="V113" i="5" s="1"/>
  <c r="X113" i="5" s="1"/>
  <c r="P113" i="5"/>
  <c r="P122" i="5"/>
  <c r="U148" i="5"/>
  <c r="V148" i="5" s="1"/>
  <c r="X148" i="5" s="1"/>
  <c r="U43" i="5"/>
  <c r="V43" i="5" s="1"/>
  <c r="X43" i="5" s="1"/>
  <c r="U82" i="5"/>
  <c r="V82" i="5" s="1"/>
  <c r="X82" i="5" s="1"/>
  <c r="P128" i="5"/>
  <c r="T128" i="5" s="1"/>
  <c r="U200" i="5"/>
  <c r="V200" i="5" s="1"/>
  <c r="X200" i="5" s="1"/>
  <c r="P200" i="5"/>
  <c r="Q266" i="5"/>
  <c r="U285" i="5"/>
  <c r="V285" i="5" s="1"/>
  <c r="X285" i="5" s="1"/>
  <c r="P285" i="5"/>
  <c r="T285" i="5" s="1"/>
  <c r="AC70" i="5"/>
  <c r="P70" i="5" s="1"/>
  <c r="AF70" i="5"/>
  <c r="P79" i="5"/>
  <c r="U79" i="5"/>
  <c r="V79" i="5" s="1"/>
  <c r="X79" i="5" s="1"/>
  <c r="U80" i="5"/>
  <c r="V80" i="5" s="1"/>
  <c r="X80" i="5" s="1"/>
  <c r="U88" i="5"/>
  <c r="V88" i="5" s="1"/>
  <c r="X88" i="5" s="1"/>
  <c r="U89" i="5"/>
  <c r="V89" i="5" s="1"/>
  <c r="X89" i="5" s="1"/>
  <c r="P103" i="5"/>
  <c r="T103" i="5" s="1"/>
  <c r="AF140" i="5"/>
  <c r="AF142" i="5"/>
  <c r="U147" i="5"/>
  <c r="V147" i="5" s="1"/>
  <c r="X147" i="5" s="1"/>
  <c r="P147" i="5"/>
  <c r="T147" i="5" s="1"/>
  <c r="P191" i="5"/>
  <c r="T191" i="5" s="1"/>
  <c r="U191" i="5"/>
  <c r="V191" i="5" s="1"/>
  <c r="X191" i="5" s="1"/>
  <c r="U215" i="5"/>
  <c r="V215" i="5" s="1"/>
  <c r="X215" i="5" s="1"/>
  <c r="U59" i="5"/>
  <c r="V59" i="5" s="1"/>
  <c r="X59" i="5" s="1"/>
  <c r="AC262" i="5"/>
  <c r="U262" i="5" s="1"/>
  <c r="V262" i="5" s="1"/>
  <c r="X262" i="5" s="1"/>
  <c r="AF262" i="5"/>
  <c r="P18" i="5"/>
  <c r="P19" i="5"/>
  <c r="U31" i="5"/>
  <c r="V31" i="5" s="1"/>
  <c r="X31" i="5" s="1"/>
  <c r="P44" i="5"/>
  <c r="U47" i="5"/>
  <c r="V47" i="5" s="1"/>
  <c r="X47" i="5" s="1"/>
  <c r="U69" i="5"/>
  <c r="V69" i="5" s="1"/>
  <c r="X69" i="5" s="1"/>
  <c r="AC81" i="5"/>
  <c r="P81" i="5" s="1"/>
  <c r="P82" i="5"/>
  <c r="P86" i="5"/>
  <c r="T86" i="5" s="1"/>
  <c r="P101" i="5"/>
  <c r="P112" i="5"/>
  <c r="T112" i="5" s="1"/>
  <c r="U112" i="5"/>
  <c r="V112" i="5" s="1"/>
  <c r="X112" i="5" s="1"/>
  <c r="AF113" i="5"/>
  <c r="P152" i="5"/>
  <c r="AC153" i="5"/>
  <c r="P153" i="5" s="1"/>
  <c r="AF153" i="5"/>
  <c r="P166" i="5"/>
  <c r="T166" i="5" s="1"/>
  <c r="U166" i="5"/>
  <c r="V166" i="5" s="1"/>
  <c r="X166" i="5" s="1"/>
  <c r="AF167" i="5"/>
  <c r="AC167" i="5"/>
  <c r="U167" i="5" s="1"/>
  <c r="V167" i="5" s="1"/>
  <c r="X167" i="5" s="1"/>
  <c r="U189" i="5"/>
  <c r="V189" i="5" s="1"/>
  <c r="X189" i="5" s="1"/>
  <c r="P189" i="5"/>
  <c r="T189" i="5" s="1"/>
  <c r="AC190" i="5"/>
  <c r="AF190" i="5"/>
  <c r="P43" i="5"/>
  <c r="T43" i="5" s="1"/>
  <c r="AC158" i="5"/>
  <c r="P158" i="5" s="1"/>
  <c r="AF158" i="5"/>
  <c r="P38" i="5"/>
  <c r="T38" i="5" s="1"/>
  <c r="P75" i="5"/>
  <c r="T75" i="5" s="1"/>
  <c r="AC76" i="5"/>
  <c r="P76" i="5" s="1"/>
  <c r="T76" i="5" s="1"/>
  <c r="P77" i="5"/>
  <c r="P80" i="5"/>
  <c r="AF159" i="5"/>
  <c r="AC159" i="5"/>
  <c r="U159" i="5" s="1"/>
  <c r="V159" i="5" s="1"/>
  <c r="X159" i="5" s="1"/>
  <c r="P87" i="5"/>
  <c r="U115" i="5"/>
  <c r="V115" i="5" s="1"/>
  <c r="X115" i="5" s="1"/>
  <c r="AF121" i="5"/>
  <c r="AF139" i="5"/>
  <c r="AC196" i="5"/>
  <c r="AF196" i="5"/>
  <c r="U216" i="5"/>
  <c r="V216" i="5" s="1"/>
  <c r="X216" i="5" s="1"/>
  <c r="P216" i="5"/>
  <c r="T216" i="5" s="1"/>
  <c r="P121" i="5"/>
  <c r="AF160" i="5"/>
  <c r="AC160" i="5"/>
  <c r="U160" i="5" s="1"/>
  <c r="V160" i="5" s="1"/>
  <c r="X160" i="5" s="1"/>
  <c r="AF185" i="5"/>
  <c r="AC185" i="5"/>
  <c r="U185" i="5" s="1"/>
  <c r="V185" i="5" s="1"/>
  <c r="X185" i="5" s="1"/>
  <c r="AF197" i="5"/>
  <c r="AC197" i="5"/>
  <c r="U197" i="5" s="1"/>
  <c r="V197" i="5" s="1"/>
  <c r="X197" i="5" s="1"/>
  <c r="T211" i="5"/>
  <c r="U101" i="5"/>
  <c r="V101" i="5" s="1"/>
  <c r="X101" i="5" s="1"/>
  <c r="U86" i="5"/>
  <c r="V86" i="5" s="1"/>
  <c r="X86" i="5" s="1"/>
  <c r="P126" i="5"/>
  <c r="T126" i="5" s="1"/>
  <c r="U126" i="5"/>
  <c r="V126" i="5" s="1"/>
  <c r="X126" i="5" s="1"/>
  <c r="AC130" i="5"/>
  <c r="U130" i="5" s="1"/>
  <c r="V130" i="5" s="1"/>
  <c r="X130" i="5" s="1"/>
  <c r="AF130" i="5"/>
  <c r="AC143" i="5"/>
  <c r="P143" i="5" s="1"/>
  <c r="AF143" i="5"/>
  <c r="AC151" i="5"/>
  <c r="U151" i="5" s="1"/>
  <c r="V151" i="5" s="1"/>
  <c r="X151" i="5" s="1"/>
  <c r="P171" i="5"/>
  <c r="AC183" i="5"/>
  <c r="P183" i="5" s="1"/>
  <c r="AF183" i="5"/>
  <c r="AC193" i="5"/>
  <c r="AF193" i="5"/>
  <c r="Q257" i="5"/>
  <c r="AC131" i="5"/>
  <c r="P131" i="5" s="1"/>
  <c r="AF144" i="5"/>
  <c r="AF161" i="5"/>
  <c r="AC174" i="5"/>
  <c r="P174" i="5" s="1"/>
  <c r="P201" i="5"/>
  <c r="T201" i="5" s="1"/>
  <c r="U127" i="5"/>
  <c r="V127" i="5" s="1"/>
  <c r="X127" i="5" s="1"/>
  <c r="P140" i="5"/>
  <c r="P144" i="5"/>
  <c r="T144" i="5" s="1"/>
  <c r="U145" i="5"/>
  <c r="V145" i="5" s="1"/>
  <c r="X145" i="5" s="1"/>
  <c r="U161" i="5"/>
  <c r="V161" i="5" s="1"/>
  <c r="X161" i="5" s="1"/>
  <c r="U203" i="5"/>
  <c r="V203" i="5" s="1"/>
  <c r="X203" i="5" s="1"/>
  <c r="P203" i="5"/>
  <c r="P215" i="5"/>
  <c r="P118" i="5"/>
  <c r="U121" i="5"/>
  <c r="V121" i="5" s="1"/>
  <c r="X121" i="5" s="1"/>
  <c r="P145" i="5"/>
  <c r="T145" i="5" s="1"/>
  <c r="U155" i="5"/>
  <c r="V155" i="5" s="1"/>
  <c r="X155" i="5" s="1"/>
  <c r="P156" i="5"/>
  <c r="U156" i="5"/>
  <c r="V156" i="5" s="1"/>
  <c r="X156" i="5" s="1"/>
  <c r="AC162" i="5"/>
  <c r="P162" i="5" s="1"/>
  <c r="U171" i="5"/>
  <c r="V171" i="5" s="1"/>
  <c r="X171" i="5" s="1"/>
  <c r="AC184" i="5"/>
  <c r="AF184" i="5"/>
  <c r="AC186" i="5"/>
  <c r="P186" i="5" s="1"/>
  <c r="AF186" i="5"/>
  <c r="AC192" i="5"/>
  <c r="P192" i="5" s="1"/>
  <c r="AF192" i="5"/>
  <c r="AC265" i="5"/>
  <c r="P265" i="5" s="1"/>
  <c r="AF265" i="5"/>
  <c r="P148" i="5"/>
  <c r="T148" i="5" s="1"/>
  <c r="AC163" i="5"/>
  <c r="P163" i="5" s="1"/>
  <c r="AC182" i="5"/>
  <c r="U182" i="5" s="1"/>
  <c r="V182" i="5" s="1"/>
  <c r="X182" i="5" s="1"/>
  <c r="AC188" i="5"/>
  <c r="U188" i="5" s="1"/>
  <c r="V188" i="5" s="1"/>
  <c r="X188" i="5" s="1"/>
  <c r="AF188" i="5"/>
  <c r="AC198" i="5"/>
  <c r="U198" i="5" s="1"/>
  <c r="V198" i="5" s="1"/>
  <c r="X198" i="5" s="1"/>
  <c r="AF198" i="5"/>
  <c r="U209" i="5"/>
  <c r="V209" i="5" s="1"/>
  <c r="X209" i="5" s="1"/>
  <c r="U214" i="5"/>
  <c r="V214" i="5" s="1"/>
  <c r="X214" i="5" s="1"/>
  <c r="AC194" i="5"/>
  <c r="U194" i="5" s="1"/>
  <c r="V194" i="5" s="1"/>
  <c r="X194" i="5" s="1"/>
  <c r="AF194" i="5"/>
  <c r="U210" i="5"/>
  <c r="V210" i="5" s="1"/>
  <c r="X210" i="5" s="1"/>
  <c r="U212" i="5"/>
  <c r="V212" i="5" s="1"/>
  <c r="X212" i="5" s="1"/>
  <c r="P212" i="5"/>
  <c r="P172" i="5"/>
  <c r="L257" i="5"/>
  <c r="U206" i="5"/>
  <c r="V206" i="5" s="1"/>
  <c r="X206" i="5" s="1"/>
  <c r="U208" i="5"/>
  <c r="V208" i="5" s="1"/>
  <c r="X208" i="5" s="1"/>
  <c r="P208" i="5"/>
  <c r="T208" i="5" s="1"/>
  <c r="U180" i="5"/>
  <c r="V180" i="5" s="1"/>
  <c r="X180" i="5" s="1"/>
  <c r="U202" i="5"/>
  <c r="V202" i="5" s="1"/>
  <c r="X202" i="5" s="1"/>
  <c r="U204" i="5"/>
  <c r="V204" i="5" s="1"/>
  <c r="X204" i="5" s="1"/>
  <c r="P204" i="5"/>
  <c r="T204" i="5" s="1"/>
  <c r="P210" i="5"/>
  <c r="AC260" i="5"/>
  <c r="P260" i="5" s="1"/>
  <c r="R260" i="5" s="1"/>
  <c r="AF260" i="5"/>
  <c r="P261" i="5"/>
  <c r="T261" i="5" s="1"/>
  <c r="U261" i="5"/>
  <c r="V261" i="5" s="1"/>
  <c r="X261" i="5" s="1"/>
  <c r="O270" i="5"/>
  <c r="O278" i="5" s="1"/>
  <c r="N278" i="5"/>
  <c r="N266" i="5"/>
  <c r="U270" i="5"/>
  <c r="V270" i="5" s="1"/>
  <c r="X270" i="5" s="1"/>
  <c r="AC264" i="5"/>
  <c r="P264" i="5" s="1"/>
  <c r="AF264" i="5"/>
  <c r="P263" i="5"/>
  <c r="T263" i="5" s="1"/>
  <c r="P275" i="5"/>
  <c r="M67" i="7"/>
  <c r="M68" i="7"/>
  <c r="G68" i="7"/>
  <c r="G67" i="7"/>
  <c r="O68" i="7"/>
  <c r="O67" i="7"/>
  <c r="N67" i="7"/>
  <c r="N68" i="7"/>
  <c r="J67" i="7"/>
  <c r="J68" i="7"/>
  <c r="K67" i="7"/>
  <c r="K68" i="7"/>
  <c r="F67" i="7"/>
  <c r="F68" i="7"/>
  <c r="Q21" i="7"/>
  <c r="Q23" i="7"/>
  <c r="Q34" i="7"/>
  <c r="E66" i="7"/>
  <c r="E67" i="7" s="1"/>
  <c r="L16" i="7"/>
  <c r="E20" i="7"/>
  <c r="M20" i="7"/>
  <c r="I25" i="7"/>
  <c r="Q25" i="7" s="1"/>
  <c r="E31" i="7"/>
  <c r="Q31" i="7" s="1"/>
  <c r="M31" i="7"/>
  <c r="I36" i="7"/>
  <c r="Q36" i="7" s="1"/>
  <c r="E41" i="7"/>
  <c r="M41" i="7"/>
  <c r="I46" i="7"/>
  <c r="Q46" i="7" s="1"/>
  <c r="E51" i="7"/>
  <c r="Q51" i="7" s="1"/>
  <c r="M51" i="7"/>
  <c r="I56" i="7"/>
  <c r="Q56" i="7" s="1"/>
  <c r="E61" i="7"/>
  <c r="M61" i="7"/>
  <c r="Q44" i="7"/>
  <c r="Q54" i="7"/>
  <c r="I65" i="7"/>
  <c r="L66" i="7"/>
  <c r="L67" i="7" s="1"/>
  <c r="E16" i="7"/>
  <c r="M16" i="7"/>
  <c r="I21" i="7"/>
  <c r="E26" i="7"/>
  <c r="M26" i="7"/>
  <c r="I32" i="7"/>
  <c r="Q32" i="7" s="1"/>
  <c r="E37" i="7"/>
  <c r="M37" i="7"/>
  <c r="I42" i="7"/>
  <c r="Q42" i="7" s="1"/>
  <c r="E47" i="7"/>
  <c r="Q47" i="7" s="1"/>
  <c r="M47" i="7"/>
  <c r="I52" i="7"/>
  <c r="Q52" i="7" s="1"/>
  <c r="E57" i="7"/>
  <c r="M57" i="7"/>
  <c r="I62" i="7"/>
  <c r="Q62" i="7" s="1"/>
  <c r="Q13" i="7"/>
  <c r="Q16" i="7" s="1"/>
  <c r="H66" i="7"/>
  <c r="H68" i="7" s="1"/>
  <c r="P66" i="7"/>
  <c r="P68" i="7" s="1"/>
  <c r="H16" i="7"/>
  <c r="P16" i="7"/>
  <c r="Q18" i="7"/>
  <c r="Q29" i="7"/>
  <c r="Q39" i="7"/>
  <c r="Q49" i="7"/>
  <c r="Q59" i="7"/>
  <c r="C11" i="8"/>
  <c r="C10" i="8"/>
  <c r="C9" i="8"/>
  <c r="C8" i="8"/>
  <c r="C7" i="8"/>
  <c r="C6" i="8"/>
  <c r="C109" i="8"/>
  <c r="F96" i="8"/>
  <c r="D96" i="8"/>
  <c r="C96" i="8"/>
  <c r="F95" i="8"/>
  <c r="C95" i="8"/>
  <c r="D96" i="31" s="1"/>
  <c r="F94" i="8"/>
  <c r="C94" i="8"/>
  <c r="D95" i="31" s="1"/>
  <c r="I95" i="31" s="1"/>
  <c r="F93" i="8"/>
  <c r="D93" i="8"/>
  <c r="F92" i="8"/>
  <c r="D92" i="8"/>
  <c r="E92" i="8" s="1"/>
  <c r="F91" i="8"/>
  <c r="D91" i="8"/>
  <c r="F90" i="8"/>
  <c r="D90" i="8"/>
  <c r="F89" i="8"/>
  <c r="D89" i="8"/>
  <c r="E89" i="8" s="1"/>
  <c r="F88" i="8"/>
  <c r="D88" i="8"/>
  <c r="F87" i="8"/>
  <c r="D87" i="8"/>
  <c r="E87" i="8" s="1"/>
  <c r="F86" i="8"/>
  <c r="D86" i="8"/>
  <c r="F85" i="8"/>
  <c r="D85" i="8"/>
  <c r="F84" i="8"/>
  <c r="D84" i="8"/>
  <c r="E84" i="8" s="1"/>
  <c r="F82" i="8"/>
  <c r="D82" i="8"/>
  <c r="E82" i="8" s="1"/>
  <c r="F81" i="8"/>
  <c r="D81" i="8"/>
  <c r="F80" i="8"/>
  <c r="D80" i="8"/>
  <c r="F79" i="8"/>
  <c r="D79" i="8"/>
  <c r="F78" i="8"/>
  <c r="D78" i="8"/>
  <c r="E78" i="8" s="1"/>
  <c r="F77" i="8"/>
  <c r="D77" i="8"/>
  <c r="F76" i="8"/>
  <c r="D76" i="8"/>
  <c r="F75" i="8"/>
  <c r="D75" i="8"/>
  <c r="E75" i="8" s="1"/>
  <c r="F74" i="8"/>
  <c r="D74" i="8"/>
  <c r="E74" i="8" s="1"/>
  <c r="D73" i="8"/>
  <c r="F72" i="8"/>
  <c r="D72" i="8"/>
  <c r="F71" i="8"/>
  <c r="D71" i="8"/>
  <c r="E71" i="8" s="1"/>
  <c r="F63" i="8"/>
  <c r="D63" i="8"/>
  <c r="F62" i="8"/>
  <c r="D62" i="8"/>
  <c r="F61" i="8"/>
  <c r="D61" i="8"/>
  <c r="F60" i="8"/>
  <c r="D60" i="8"/>
  <c r="F59" i="8"/>
  <c r="D59" i="8"/>
  <c r="F57" i="8"/>
  <c r="D57" i="8"/>
  <c r="E57" i="8" s="1"/>
  <c r="F56" i="8"/>
  <c r="D56" i="8"/>
  <c r="E56" i="8" s="1"/>
  <c r="F55" i="8"/>
  <c r="D55" i="8"/>
  <c r="F54" i="8"/>
  <c r="D54" i="8"/>
  <c r="F53" i="8"/>
  <c r="D53" i="8"/>
  <c r="E53" i="8" s="1"/>
  <c r="F51" i="8"/>
  <c r="D51" i="8"/>
  <c r="E51" i="8" s="1"/>
  <c r="F50" i="8"/>
  <c r="D50" i="8"/>
  <c r="E50" i="8" s="1"/>
  <c r="F49" i="8"/>
  <c r="D49" i="8"/>
  <c r="E49" i="8" s="1"/>
  <c r="F48" i="8"/>
  <c r="D48" i="8"/>
  <c r="E48" i="8" s="1"/>
  <c r="F47" i="8"/>
  <c r="D47" i="8"/>
  <c r="E47" i="8" s="1"/>
  <c r="F46" i="8"/>
  <c r="D46" i="8"/>
  <c r="F45" i="8"/>
  <c r="D45" i="8"/>
  <c r="F44" i="8"/>
  <c r="D44" i="8"/>
  <c r="E44" i="8" s="1"/>
  <c r="F43" i="8"/>
  <c r="D43" i="8"/>
  <c r="E43" i="8" s="1"/>
  <c r="F42" i="8"/>
  <c r="D42" i="8"/>
  <c r="E42" i="8" s="1"/>
  <c r="F40" i="8"/>
  <c r="D40" i="8"/>
  <c r="E40" i="8" s="1"/>
  <c r="F39" i="8"/>
  <c r="D39" i="8"/>
  <c r="E39" i="8" s="1"/>
  <c r="F38" i="8"/>
  <c r="D38" i="8"/>
  <c r="E38" i="8" s="1"/>
  <c r="F37" i="8"/>
  <c r="D37" i="8"/>
  <c r="F36" i="8"/>
  <c r="D36" i="8"/>
  <c r="F35" i="8"/>
  <c r="D35" i="8"/>
  <c r="E35" i="8" s="1"/>
  <c r="F34" i="8"/>
  <c r="D34" i="8"/>
  <c r="E34" i="8" s="1"/>
  <c r="F33" i="8"/>
  <c r="D33" i="8"/>
  <c r="E33" i="8" s="1"/>
  <c r="F32" i="8"/>
  <c r="D32" i="8"/>
  <c r="E32" i="8" s="1"/>
  <c r="F31" i="8"/>
  <c r="D31" i="8"/>
  <c r="E31" i="8" s="1"/>
  <c r="F30" i="8"/>
  <c r="D30" i="8"/>
  <c r="E30" i="8" s="1"/>
  <c r="F29" i="8"/>
  <c r="D29" i="8"/>
  <c r="F28" i="8"/>
  <c r="D28" i="8"/>
  <c r="F26" i="8"/>
  <c r="D26" i="8"/>
  <c r="E26" i="8" s="1"/>
  <c r="F25" i="8"/>
  <c r="D25" i="8"/>
  <c r="E25" i="8" s="1"/>
  <c r="F24" i="8"/>
  <c r="D24" i="8"/>
  <c r="E24" i="8" s="1"/>
  <c r="D23" i="8"/>
  <c r="E23" i="8" s="1"/>
  <c r="F22" i="8"/>
  <c r="D22" i="8"/>
  <c r="E22" i="8" s="1"/>
  <c r="F21" i="8"/>
  <c r="D21" i="8"/>
  <c r="E21" i="8" s="1"/>
  <c r="F20" i="8"/>
  <c r="D20" i="8"/>
  <c r="E20" i="8" s="1"/>
  <c r="F19" i="8"/>
  <c r="D19" i="8"/>
  <c r="E19" i="8" s="1"/>
  <c r="F18" i="8"/>
  <c r="D18" i="8"/>
  <c r="E18" i="8" s="1"/>
  <c r="F17" i="8"/>
  <c r="D17" i="8"/>
  <c r="E17" i="8" s="1"/>
  <c r="C105" i="8"/>
  <c r="J13" i="8"/>
  <c r="J17" i="8" s="1"/>
  <c r="J98" i="8" s="1"/>
  <c r="J100" i="8" s="1"/>
  <c r="F12" i="8"/>
  <c r="D12" i="8"/>
  <c r="E12" i="8" s="1"/>
  <c r="F11" i="8"/>
  <c r="D11" i="8"/>
  <c r="F10" i="8"/>
  <c r="D10" i="8"/>
  <c r="F9" i="8"/>
  <c r="D9" i="8"/>
  <c r="F8" i="8"/>
  <c r="D8" i="8"/>
  <c r="F7" i="8"/>
  <c r="D7" i="8"/>
  <c r="F6" i="8"/>
  <c r="D6" i="8"/>
  <c r="I96" i="31" l="1"/>
  <c r="D95" i="8" s="1"/>
  <c r="E95" i="8" s="1"/>
  <c r="G95" i="8" s="1"/>
  <c r="D99" i="31"/>
  <c r="E11" i="8"/>
  <c r="G11" i="8" s="1"/>
  <c r="H11" i="8" s="1"/>
  <c r="G19" i="8"/>
  <c r="E24" i="15" s="1"/>
  <c r="G38" i="8"/>
  <c r="E43" i="15" s="1"/>
  <c r="C13" i="8"/>
  <c r="C104" i="8" s="1"/>
  <c r="E6" i="8"/>
  <c r="G82" i="8"/>
  <c r="E88" i="15" s="1"/>
  <c r="E10" i="8"/>
  <c r="G10" i="8" s="1"/>
  <c r="G34" i="8"/>
  <c r="E39" i="15" s="1"/>
  <c r="G74" i="8"/>
  <c r="E80" i="15" s="1"/>
  <c r="G84" i="8"/>
  <c r="G21" i="8"/>
  <c r="E26" i="15" s="1"/>
  <c r="G50" i="8"/>
  <c r="E55" i="15" s="1"/>
  <c r="T55" i="15" s="1"/>
  <c r="G42" i="8"/>
  <c r="E47" i="15" s="1"/>
  <c r="T47" i="15" s="1"/>
  <c r="E93" i="8"/>
  <c r="G93" i="8" s="1"/>
  <c r="E99" i="15" s="1"/>
  <c r="E85" i="8"/>
  <c r="G85" i="8" s="1"/>
  <c r="E91" i="15" s="1"/>
  <c r="T91" i="15" s="1"/>
  <c r="E76" i="8"/>
  <c r="G76" i="8" s="1"/>
  <c r="E82" i="15" s="1"/>
  <c r="T82" i="15" s="1"/>
  <c r="E96" i="8"/>
  <c r="G96" i="8" s="1"/>
  <c r="E86" i="8"/>
  <c r="G86" i="8" s="1"/>
  <c r="E92" i="15" s="1"/>
  <c r="T92" i="15" s="1"/>
  <c r="E9" i="8"/>
  <c r="G9" i="8" s="1"/>
  <c r="G43" i="8"/>
  <c r="E48" i="15" s="1"/>
  <c r="T48" i="15" s="1"/>
  <c r="E88" i="8"/>
  <c r="G88" i="8" s="1"/>
  <c r="E8" i="8"/>
  <c r="E77" i="8"/>
  <c r="G77" i="8" s="1"/>
  <c r="E83" i="15" s="1"/>
  <c r="E79" i="8"/>
  <c r="G79" i="8" s="1"/>
  <c r="E85" i="15" s="1"/>
  <c r="T85" i="15" s="1"/>
  <c r="G92" i="8"/>
  <c r="F13" i="8"/>
  <c r="G17" i="8"/>
  <c r="E22" i="15" s="1"/>
  <c r="G56" i="8"/>
  <c r="E61" i="15" s="1"/>
  <c r="G47" i="8"/>
  <c r="E52" i="15" s="1"/>
  <c r="G30" i="8"/>
  <c r="E35" i="15" s="1"/>
  <c r="G22" i="8"/>
  <c r="E27" i="15" s="1"/>
  <c r="G20" i="8"/>
  <c r="E25" i="15" s="1"/>
  <c r="P20" i="5"/>
  <c r="T20" i="5" s="1"/>
  <c r="T27" i="5"/>
  <c r="Y263" i="5"/>
  <c r="Z263" i="5" s="1"/>
  <c r="U53" i="5"/>
  <c r="V53" i="5" s="1"/>
  <c r="X53" i="5" s="1"/>
  <c r="Y67" i="5"/>
  <c r="Z67" i="5" s="1"/>
  <c r="U274" i="5"/>
  <c r="V274" i="5" s="1"/>
  <c r="X274" i="5" s="1"/>
  <c r="P116" i="5"/>
  <c r="T116" i="5" s="1"/>
  <c r="Y116" i="5" s="1"/>
  <c r="Z116" i="5" s="1"/>
  <c r="P150" i="5"/>
  <c r="T150" i="5" s="1"/>
  <c r="Y150" i="5" s="1"/>
  <c r="Z150" i="5" s="1"/>
  <c r="P42" i="5"/>
  <c r="P187" i="5"/>
  <c r="T187" i="5" s="1"/>
  <c r="P50" i="5"/>
  <c r="R50" i="5" s="1"/>
  <c r="U236" i="5"/>
  <c r="V236" i="5" s="1"/>
  <c r="X236" i="5" s="1"/>
  <c r="P236" i="5"/>
  <c r="U241" i="5"/>
  <c r="V241" i="5" s="1"/>
  <c r="X241" i="5" s="1"/>
  <c r="P241" i="5"/>
  <c r="P245" i="5"/>
  <c r="U245" i="5"/>
  <c r="V245" i="5" s="1"/>
  <c r="X245" i="5" s="1"/>
  <c r="P271" i="5"/>
  <c r="P184" i="5"/>
  <c r="T184" i="5" s="1"/>
  <c r="P175" i="5"/>
  <c r="R175" i="5" s="1"/>
  <c r="R270" i="5"/>
  <c r="P78" i="5"/>
  <c r="T78" i="5" s="1"/>
  <c r="P248" i="5"/>
  <c r="U248" i="5"/>
  <c r="V248" i="5" s="1"/>
  <c r="X248" i="5" s="1"/>
  <c r="P232" i="5"/>
  <c r="U232" i="5"/>
  <c r="V232" i="5" s="1"/>
  <c r="X232" i="5" s="1"/>
  <c r="U249" i="5"/>
  <c r="V249" i="5" s="1"/>
  <c r="X249" i="5" s="1"/>
  <c r="P249" i="5"/>
  <c r="U221" i="5"/>
  <c r="V221" i="5" s="1"/>
  <c r="X221" i="5" s="1"/>
  <c r="P221" i="5"/>
  <c r="P242" i="5"/>
  <c r="U242" i="5"/>
  <c r="V242" i="5" s="1"/>
  <c r="X242" i="5" s="1"/>
  <c r="U217" i="5"/>
  <c r="V217" i="5" s="1"/>
  <c r="X217" i="5" s="1"/>
  <c r="P217" i="5"/>
  <c r="U233" i="5"/>
  <c r="V233" i="5" s="1"/>
  <c r="X233" i="5" s="1"/>
  <c r="P233" i="5"/>
  <c r="U230" i="5"/>
  <c r="V230" i="5" s="1"/>
  <c r="X230" i="5" s="1"/>
  <c r="P230" i="5"/>
  <c r="P228" i="5"/>
  <c r="U228" i="5"/>
  <c r="V228" i="5" s="1"/>
  <c r="X228" i="5" s="1"/>
  <c r="U255" i="5"/>
  <c r="V255" i="5" s="1"/>
  <c r="X255" i="5" s="1"/>
  <c r="P255" i="5"/>
  <c r="U239" i="5"/>
  <c r="V239" i="5" s="1"/>
  <c r="X239" i="5" s="1"/>
  <c r="P239" i="5"/>
  <c r="T223" i="5"/>
  <c r="R223" i="5"/>
  <c r="U223" i="5" s="1"/>
  <c r="V223" i="5" s="1"/>
  <c r="X223" i="5" s="1"/>
  <c r="P237" i="5"/>
  <c r="U237" i="5"/>
  <c r="V237" i="5" s="1"/>
  <c r="X237" i="5" s="1"/>
  <c r="P244" i="5"/>
  <c r="U244" i="5"/>
  <c r="V244" i="5" s="1"/>
  <c r="X244" i="5" s="1"/>
  <c r="U220" i="5"/>
  <c r="V220" i="5" s="1"/>
  <c r="X220" i="5" s="1"/>
  <c r="P220" i="5"/>
  <c r="P243" i="5"/>
  <c r="U243" i="5"/>
  <c r="V243" i="5" s="1"/>
  <c r="X243" i="5" s="1"/>
  <c r="U246" i="5"/>
  <c r="V246" i="5" s="1"/>
  <c r="X246" i="5" s="1"/>
  <c r="P246" i="5"/>
  <c r="P256" i="5"/>
  <c r="U240" i="5"/>
  <c r="V240" i="5" s="1"/>
  <c r="X240" i="5" s="1"/>
  <c r="P240" i="5"/>
  <c r="P224" i="5"/>
  <c r="U229" i="5"/>
  <c r="V229" i="5" s="1"/>
  <c r="X229" i="5" s="1"/>
  <c r="P229" i="5"/>
  <c r="P251" i="5"/>
  <c r="U251" i="5"/>
  <c r="V251" i="5" s="1"/>
  <c r="X251" i="5" s="1"/>
  <c r="P235" i="5"/>
  <c r="U235" i="5"/>
  <c r="V235" i="5" s="1"/>
  <c r="X235" i="5" s="1"/>
  <c r="U219" i="5"/>
  <c r="V219" i="5" s="1"/>
  <c r="X219" i="5" s="1"/>
  <c r="P219" i="5"/>
  <c r="U254" i="5"/>
  <c r="V254" i="5" s="1"/>
  <c r="X254" i="5" s="1"/>
  <c r="P254" i="5"/>
  <c r="U238" i="5"/>
  <c r="V238" i="5" s="1"/>
  <c r="X238" i="5" s="1"/>
  <c r="P238" i="5"/>
  <c r="U222" i="5"/>
  <c r="V222" i="5" s="1"/>
  <c r="X222" i="5" s="1"/>
  <c r="P222" i="5"/>
  <c r="T225" i="5"/>
  <c r="R225" i="5"/>
  <c r="U225" i="5" s="1"/>
  <c r="V225" i="5" s="1"/>
  <c r="X225" i="5" s="1"/>
  <c r="Y225" i="5" s="1"/>
  <c r="Z225" i="5" s="1"/>
  <c r="U252" i="5"/>
  <c r="V252" i="5" s="1"/>
  <c r="X252" i="5" s="1"/>
  <c r="P252" i="5"/>
  <c r="U227" i="5"/>
  <c r="V227" i="5" s="1"/>
  <c r="X227" i="5" s="1"/>
  <c r="P227" i="5"/>
  <c r="Y32" i="5"/>
  <c r="Z32" i="5" s="1"/>
  <c r="T226" i="5"/>
  <c r="R226" i="5"/>
  <c r="U226" i="5" s="1"/>
  <c r="V226" i="5" s="1"/>
  <c r="X226" i="5" s="1"/>
  <c r="R139" i="5"/>
  <c r="U139" i="5" s="1"/>
  <c r="V139" i="5" s="1"/>
  <c r="X139" i="5" s="1"/>
  <c r="Y139" i="5" s="1"/>
  <c r="Z139" i="5" s="1"/>
  <c r="R48" i="5"/>
  <c r="U58" i="5"/>
  <c r="V58" i="5" s="1"/>
  <c r="X58" i="5" s="1"/>
  <c r="P247" i="5"/>
  <c r="U247" i="5"/>
  <c r="V247" i="5" s="1"/>
  <c r="X247" i="5" s="1"/>
  <c r="U231" i="5"/>
  <c r="V231" i="5" s="1"/>
  <c r="X231" i="5" s="1"/>
  <c r="P231" i="5"/>
  <c r="P253" i="5"/>
  <c r="U253" i="5"/>
  <c r="V253" i="5" s="1"/>
  <c r="X253" i="5" s="1"/>
  <c r="U250" i="5"/>
  <c r="V250" i="5" s="1"/>
  <c r="X250" i="5" s="1"/>
  <c r="P250" i="5"/>
  <c r="U234" i="5"/>
  <c r="V234" i="5" s="1"/>
  <c r="X234" i="5" s="1"/>
  <c r="P234" i="5"/>
  <c r="U218" i="5"/>
  <c r="V218" i="5" s="1"/>
  <c r="X218" i="5" s="1"/>
  <c r="P218" i="5"/>
  <c r="U45" i="5"/>
  <c r="V45" i="5" s="1"/>
  <c r="X45" i="5" s="1"/>
  <c r="Y45" i="5" s="1"/>
  <c r="Z45" i="5" s="1"/>
  <c r="P98" i="5"/>
  <c r="U98" i="5"/>
  <c r="V98" i="5" s="1"/>
  <c r="X98" i="5" s="1"/>
  <c r="U168" i="5"/>
  <c r="V168" i="5" s="1"/>
  <c r="X168" i="5" s="1"/>
  <c r="Y213" i="5"/>
  <c r="Z213" i="5" s="1"/>
  <c r="P282" i="5"/>
  <c r="T282" i="5" s="1"/>
  <c r="Y282" i="5" s="1"/>
  <c r="Z282" i="5" s="1"/>
  <c r="U119" i="5"/>
  <c r="V119" i="5" s="1"/>
  <c r="X119" i="5" s="1"/>
  <c r="Y119" i="5" s="1"/>
  <c r="Z119" i="5" s="1"/>
  <c r="P165" i="5"/>
  <c r="U40" i="5"/>
  <c r="V40" i="5" s="1"/>
  <c r="X40" i="5" s="1"/>
  <c r="Y40" i="5" s="1"/>
  <c r="Z40" i="5" s="1"/>
  <c r="Y48" i="5"/>
  <c r="Z48" i="5" s="1"/>
  <c r="U94" i="5"/>
  <c r="V94" i="5" s="1"/>
  <c r="X94" i="5" s="1"/>
  <c r="P94" i="5"/>
  <c r="U92" i="5"/>
  <c r="V92" i="5" s="1"/>
  <c r="X92" i="5" s="1"/>
  <c r="P92" i="5"/>
  <c r="U97" i="5"/>
  <c r="V97" i="5" s="1"/>
  <c r="X97" i="5" s="1"/>
  <c r="P97" i="5"/>
  <c r="P99" i="5"/>
  <c r="U99" i="5"/>
  <c r="V99" i="5" s="1"/>
  <c r="X99" i="5" s="1"/>
  <c r="Y209" i="5"/>
  <c r="Z209" i="5" s="1"/>
  <c r="U273" i="5"/>
  <c r="V273" i="5" s="1"/>
  <c r="X273" i="5" s="1"/>
  <c r="Y69" i="5"/>
  <c r="Z69" i="5" s="1"/>
  <c r="U55" i="5"/>
  <c r="V55" i="5" s="1"/>
  <c r="X55" i="5" s="1"/>
  <c r="U124" i="5"/>
  <c r="V124" i="5" s="1"/>
  <c r="X124" i="5" s="1"/>
  <c r="Y102" i="5"/>
  <c r="Z102" i="5" s="1"/>
  <c r="U93" i="5"/>
  <c r="V93" i="5" s="1"/>
  <c r="X93" i="5" s="1"/>
  <c r="P93" i="5"/>
  <c r="P91" i="5"/>
  <c r="U91" i="5"/>
  <c r="V91" i="5" s="1"/>
  <c r="X91" i="5" s="1"/>
  <c r="P96" i="5"/>
  <c r="U96" i="5"/>
  <c r="V96" i="5" s="1"/>
  <c r="X96" i="5" s="1"/>
  <c r="P159" i="5"/>
  <c r="T159" i="5" s="1"/>
  <c r="R72" i="5"/>
  <c r="P90" i="5"/>
  <c r="U90" i="5"/>
  <c r="V90" i="5" s="1"/>
  <c r="X90" i="5" s="1"/>
  <c r="Y112" i="5"/>
  <c r="Z112" i="5" s="1"/>
  <c r="P21" i="5"/>
  <c r="R21" i="5" s="1"/>
  <c r="P95" i="5"/>
  <c r="U95" i="5"/>
  <c r="V95" i="5" s="1"/>
  <c r="X95" i="5" s="1"/>
  <c r="U169" i="5"/>
  <c r="V169" i="5" s="1"/>
  <c r="X169" i="5" s="1"/>
  <c r="Y169" i="5" s="1"/>
  <c r="T214" i="5"/>
  <c r="Y214" i="5" s="1"/>
  <c r="Z214" i="5" s="1"/>
  <c r="P57" i="5"/>
  <c r="T57" i="5" s="1"/>
  <c r="Y57" i="5" s="1"/>
  <c r="Z57" i="5" s="1"/>
  <c r="U177" i="5"/>
  <c r="V177" i="5" s="1"/>
  <c r="X177" i="5" s="1"/>
  <c r="Y177" i="5" s="1"/>
  <c r="Z177" i="5" s="1"/>
  <c r="Y144" i="5"/>
  <c r="Z144" i="5" s="1"/>
  <c r="U109" i="5"/>
  <c r="V109" i="5" s="1"/>
  <c r="R274" i="5"/>
  <c r="U24" i="5"/>
  <c r="V24" i="5" s="1"/>
  <c r="X24" i="5" s="1"/>
  <c r="R209" i="5"/>
  <c r="Y72" i="5"/>
  <c r="Z72" i="5" s="1"/>
  <c r="P178" i="5"/>
  <c r="T178" i="5" s="1"/>
  <c r="Y178" i="5" s="1"/>
  <c r="Z178" i="5" s="1"/>
  <c r="U60" i="5"/>
  <c r="V60" i="5" s="1"/>
  <c r="X60" i="5" s="1"/>
  <c r="R173" i="5"/>
  <c r="T173" i="5"/>
  <c r="Y161" i="5"/>
  <c r="Z161" i="5" s="1"/>
  <c r="P185" i="5"/>
  <c r="T185" i="5" s="1"/>
  <c r="Y185" i="5" s="1"/>
  <c r="Z185" i="5" s="1"/>
  <c r="R88" i="5"/>
  <c r="U16" i="5"/>
  <c r="V16" i="5" s="1"/>
  <c r="X16" i="5" s="1"/>
  <c r="P283" i="5"/>
  <c r="T283" i="5" s="1"/>
  <c r="Y283" i="5" s="1"/>
  <c r="Z283" i="5" s="1"/>
  <c r="Y126" i="5"/>
  <c r="Z126" i="5" s="1"/>
  <c r="R75" i="5"/>
  <c r="R161" i="5"/>
  <c r="U149" i="5"/>
  <c r="V149" i="5" s="1"/>
  <c r="X149" i="5" s="1"/>
  <c r="U192" i="5"/>
  <c r="V192" i="5" s="1"/>
  <c r="X192" i="5" s="1"/>
  <c r="T202" i="5"/>
  <c r="Y202" i="5" s="1"/>
  <c r="Z202" i="5" s="1"/>
  <c r="R84" i="5"/>
  <c r="U162" i="5"/>
  <c r="V162" i="5" s="1"/>
  <c r="X162" i="5" s="1"/>
  <c r="P15" i="5"/>
  <c r="T15" i="5" s="1"/>
  <c r="Y15" i="5" s="1"/>
  <c r="Z15" i="5" s="1"/>
  <c r="R29" i="5"/>
  <c r="P37" i="5"/>
  <c r="T37" i="5" s="1"/>
  <c r="Y37" i="5" s="1"/>
  <c r="Z37" i="5" s="1"/>
  <c r="U269" i="5"/>
  <c r="V269" i="5" s="1"/>
  <c r="R204" i="5"/>
  <c r="U173" i="5"/>
  <c r="V173" i="5" s="1"/>
  <c r="X173" i="5" s="1"/>
  <c r="Y38" i="5"/>
  <c r="Z38" i="5" s="1"/>
  <c r="R61" i="5"/>
  <c r="P71" i="5"/>
  <c r="T71" i="5" s="1"/>
  <c r="Y71" i="5" s="1"/>
  <c r="Z71" i="5" s="1"/>
  <c r="P41" i="5"/>
  <c r="T41" i="5" s="1"/>
  <c r="Y41" i="5" s="1"/>
  <c r="Z41" i="5" s="1"/>
  <c r="Y88" i="5"/>
  <c r="Z88" i="5" s="1"/>
  <c r="P167" i="5"/>
  <c r="T167" i="5" s="1"/>
  <c r="Y167" i="5" s="1"/>
  <c r="Z167" i="5" s="1"/>
  <c r="U135" i="5"/>
  <c r="V135" i="5" s="1"/>
  <c r="X135" i="5" s="1"/>
  <c r="P22" i="5"/>
  <c r="T22" i="5" s="1"/>
  <c r="Y22" i="5" s="1"/>
  <c r="Z22" i="5" s="1"/>
  <c r="Y103" i="5"/>
  <c r="Z103" i="5" s="1"/>
  <c r="T180" i="5"/>
  <c r="Y180" i="5" s="1"/>
  <c r="Z180" i="5" s="1"/>
  <c r="R53" i="5"/>
  <c r="T53" i="5"/>
  <c r="Y53" i="5" s="1"/>
  <c r="Z53" i="5" s="1"/>
  <c r="R112" i="5"/>
  <c r="R43" i="5"/>
  <c r="Y78" i="5"/>
  <c r="Z78" i="5" s="1"/>
  <c r="P179" i="5"/>
  <c r="R179" i="5" s="1"/>
  <c r="R169" i="5"/>
  <c r="Y211" i="5"/>
  <c r="Z211" i="5" s="1"/>
  <c r="U153" i="5"/>
  <c r="V153" i="5" s="1"/>
  <c r="X153" i="5" s="1"/>
  <c r="P28" i="5"/>
  <c r="T28" i="5" s="1"/>
  <c r="Y28" i="5" s="1"/>
  <c r="Z28" i="5" s="1"/>
  <c r="R85" i="5"/>
  <c r="P157" i="5"/>
  <c r="T157" i="5" s="1"/>
  <c r="Y157" i="5" s="1"/>
  <c r="Z157" i="5" s="1"/>
  <c r="U117" i="5"/>
  <c r="V117" i="5" s="1"/>
  <c r="X117" i="5" s="1"/>
  <c r="Y117" i="5" s="1"/>
  <c r="Z117" i="5" s="1"/>
  <c r="R49" i="5"/>
  <c r="U49" i="5" s="1"/>
  <c r="V49" i="5" s="1"/>
  <c r="X49" i="5" s="1"/>
  <c r="Y49" i="5" s="1"/>
  <c r="Y46" i="5"/>
  <c r="Z46" i="5" s="1"/>
  <c r="N106" i="5"/>
  <c r="R191" i="5"/>
  <c r="R187" i="5"/>
  <c r="P181" i="5"/>
  <c r="T181" i="5" s="1"/>
  <c r="Y181" i="5" s="1"/>
  <c r="Z181" i="5" s="1"/>
  <c r="R129" i="5"/>
  <c r="U129" i="5" s="1"/>
  <c r="V129" i="5" s="1"/>
  <c r="X129" i="5" s="1"/>
  <c r="Y75" i="5"/>
  <c r="Z75" i="5" s="1"/>
  <c r="Y148" i="5"/>
  <c r="Z148" i="5" s="1"/>
  <c r="Y85" i="5"/>
  <c r="Z85" i="5" s="1"/>
  <c r="Y30" i="5"/>
  <c r="Z30" i="5" s="1"/>
  <c r="R59" i="5"/>
  <c r="R119" i="5"/>
  <c r="R68" i="5"/>
  <c r="Y100" i="5"/>
  <c r="Z100" i="5" s="1"/>
  <c r="Y201" i="5"/>
  <c r="Z201" i="5" s="1"/>
  <c r="R201" i="5"/>
  <c r="P17" i="5"/>
  <c r="T17" i="5" s="1"/>
  <c r="Y17" i="5" s="1"/>
  <c r="Z17" i="5" s="1"/>
  <c r="P160" i="5"/>
  <c r="T160" i="5" s="1"/>
  <c r="Y160" i="5" s="1"/>
  <c r="Z160" i="5" s="1"/>
  <c r="U174" i="5"/>
  <c r="V174" i="5" s="1"/>
  <c r="X174" i="5" s="1"/>
  <c r="U54" i="5"/>
  <c r="V54" i="5" s="1"/>
  <c r="X54" i="5" s="1"/>
  <c r="Y54" i="5" s="1"/>
  <c r="Z54" i="5" s="1"/>
  <c r="R177" i="5"/>
  <c r="T115" i="5"/>
  <c r="Y115" i="5" s="1"/>
  <c r="Z115" i="5" s="1"/>
  <c r="U23" i="5"/>
  <c r="V23" i="5" s="1"/>
  <c r="X23" i="5" s="1"/>
  <c r="U110" i="5"/>
  <c r="V110" i="5" s="1"/>
  <c r="X110" i="5" s="1"/>
  <c r="Y110" i="5" s="1"/>
  <c r="Z110" i="5" s="1"/>
  <c r="Z68" i="5"/>
  <c r="Y65" i="5"/>
  <c r="Z65" i="5" s="1"/>
  <c r="Y145" i="5"/>
  <c r="Z145" i="5" s="1"/>
  <c r="P132" i="5"/>
  <c r="R132" i="5" s="1"/>
  <c r="P277" i="5"/>
  <c r="T277" i="5" s="1"/>
  <c r="Y277" i="5" s="1"/>
  <c r="Z277" i="5" s="1"/>
  <c r="P146" i="5"/>
  <c r="T146" i="5" s="1"/>
  <c r="Y146" i="5" s="1"/>
  <c r="Z146" i="5" s="1"/>
  <c r="P120" i="5"/>
  <c r="T120" i="5" s="1"/>
  <c r="Y120" i="5" s="1"/>
  <c r="Z120" i="5" s="1"/>
  <c r="P26" i="5"/>
  <c r="R26" i="5" s="1"/>
  <c r="P276" i="5"/>
  <c r="T24" i="5"/>
  <c r="R24" i="5"/>
  <c r="R272" i="5"/>
  <c r="T272" i="5"/>
  <c r="T23" i="5"/>
  <c r="R23" i="5"/>
  <c r="R39" i="5"/>
  <c r="T39" i="5"/>
  <c r="T135" i="5"/>
  <c r="R135" i="5"/>
  <c r="T55" i="5"/>
  <c r="R55" i="5"/>
  <c r="T176" i="5"/>
  <c r="R176" i="5"/>
  <c r="T133" i="5"/>
  <c r="R133" i="5"/>
  <c r="P281" i="5"/>
  <c r="O286" i="5"/>
  <c r="Y274" i="5"/>
  <c r="Z274" i="5" s="1"/>
  <c r="P111" i="5"/>
  <c r="R111" i="5" s="1"/>
  <c r="R89" i="5"/>
  <c r="T89" i="5"/>
  <c r="Y89" i="5" s="1"/>
  <c r="Z89" i="5" s="1"/>
  <c r="R127" i="5"/>
  <c r="T127" i="5"/>
  <c r="Y127" i="5" s="1"/>
  <c r="Z127" i="5" s="1"/>
  <c r="P151" i="5"/>
  <c r="T151" i="5" s="1"/>
  <c r="Y151" i="5" s="1"/>
  <c r="Z151" i="5" s="1"/>
  <c r="P125" i="5"/>
  <c r="R125" i="5" s="1"/>
  <c r="T149" i="5"/>
  <c r="R110" i="5"/>
  <c r="R206" i="5"/>
  <c r="R65" i="5"/>
  <c r="P195" i="5"/>
  <c r="U272" i="5"/>
  <c r="V272" i="5" s="1"/>
  <c r="X272" i="5" s="1"/>
  <c r="R261" i="5"/>
  <c r="R205" i="5"/>
  <c r="U184" i="5"/>
  <c r="V184" i="5" s="1"/>
  <c r="X184" i="5" s="1"/>
  <c r="R199" i="5"/>
  <c r="R67" i="5"/>
  <c r="U39" i="5"/>
  <c r="V39" i="5" s="1"/>
  <c r="X39" i="5" s="1"/>
  <c r="R45" i="5"/>
  <c r="P66" i="5"/>
  <c r="T66" i="5" s="1"/>
  <c r="Y66" i="5" s="1"/>
  <c r="Z66" i="5" s="1"/>
  <c r="U176" i="5"/>
  <c r="V176" i="5" s="1"/>
  <c r="X176" i="5" s="1"/>
  <c r="U281" i="5"/>
  <c r="V281" i="5" s="1"/>
  <c r="U134" i="5"/>
  <c r="V134" i="5" s="1"/>
  <c r="X134" i="5" s="1"/>
  <c r="P188" i="5"/>
  <c r="R188" i="5" s="1"/>
  <c r="R102" i="5"/>
  <c r="R285" i="5"/>
  <c r="U133" i="5"/>
  <c r="V133" i="5" s="1"/>
  <c r="X133" i="5" s="1"/>
  <c r="R216" i="5"/>
  <c r="Y86" i="5"/>
  <c r="Z86" i="5" s="1"/>
  <c r="Y199" i="5"/>
  <c r="Z199" i="5" s="1"/>
  <c r="R30" i="5"/>
  <c r="R100" i="5"/>
  <c r="U29" i="5"/>
  <c r="V29" i="5" s="1"/>
  <c r="X29" i="5" s="1"/>
  <c r="Y29" i="5" s="1"/>
  <c r="Z29" i="5" s="1"/>
  <c r="R213" i="5"/>
  <c r="U170" i="5"/>
  <c r="V170" i="5" s="1"/>
  <c r="X170" i="5" s="1"/>
  <c r="R155" i="5"/>
  <c r="T155" i="5"/>
  <c r="Y155" i="5" s="1"/>
  <c r="Z155" i="5" s="1"/>
  <c r="Y204" i="5"/>
  <c r="Z204" i="5" s="1"/>
  <c r="P130" i="5"/>
  <c r="T130" i="5" s="1"/>
  <c r="Y130" i="5" s="1"/>
  <c r="Z130" i="5" s="1"/>
  <c r="P83" i="5"/>
  <c r="T83" i="5" s="1"/>
  <c r="Y83" i="5" s="1"/>
  <c r="Z83" i="5" s="1"/>
  <c r="U183" i="5"/>
  <c r="V183" i="5" s="1"/>
  <c r="X183" i="5" s="1"/>
  <c r="Y84" i="5"/>
  <c r="Z84" i="5" s="1"/>
  <c r="P284" i="5"/>
  <c r="C98" i="8"/>
  <c r="E62" i="8"/>
  <c r="G62" i="8" s="1"/>
  <c r="E67" i="15" s="1"/>
  <c r="T67" i="15" s="1"/>
  <c r="E60" i="8"/>
  <c r="G60" i="8" s="1"/>
  <c r="E65" i="15" s="1"/>
  <c r="T65" i="15" s="1"/>
  <c r="E61" i="8"/>
  <c r="G61" i="8" s="1"/>
  <c r="E66" i="15" s="1"/>
  <c r="T66" i="15" s="1"/>
  <c r="E59" i="8"/>
  <c r="G59" i="8" s="1"/>
  <c r="E64" i="15" s="1"/>
  <c r="T64" i="15" s="1"/>
  <c r="T170" i="5"/>
  <c r="R170" i="5"/>
  <c r="T74" i="5"/>
  <c r="R74" i="5"/>
  <c r="T51" i="5"/>
  <c r="R51" i="5"/>
  <c r="U51" i="5" s="1"/>
  <c r="V51" i="5" s="1"/>
  <c r="X51" i="5" s="1"/>
  <c r="T163" i="5"/>
  <c r="R163" i="5"/>
  <c r="T143" i="5"/>
  <c r="R143" i="5"/>
  <c r="U143" i="5" s="1"/>
  <c r="V143" i="5" s="1"/>
  <c r="X143" i="5" s="1"/>
  <c r="T158" i="5"/>
  <c r="R158" i="5"/>
  <c r="T186" i="5"/>
  <c r="R186" i="5"/>
  <c r="T131" i="5"/>
  <c r="R131" i="5"/>
  <c r="T73" i="5"/>
  <c r="R73" i="5"/>
  <c r="T264" i="5"/>
  <c r="R264" i="5"/>
  <c r="T174" i="5"/>
  <c r="R174" i="5"/>
  <c r="T183" i="5"/>
  <c r="R183" i="5"/>
  <c r="T265" i="5"/>
  <c r="R265" i="5"/>
  <c r="T162" i="5"/>
  <c r="R162" i="5"/>
  <c r="T81" i="5"/>
  <c r="R81" i="5"/>
  <c r="T70" i="5"/>
  <c r="R70" i="5"/>
  <c r="T154" i="5"/>
  <c r="R154" i="5"/>
  <c r="T25" i="5"/>
  <c r="R25" i="5"/>
  <c r="R87" i="5"/>
  <c r="T87" i="5"/>
  <c r="Y87" i="5" s="1"/>
  <c r="Z87" i="5" s="1"/>
  <c r="R104" i="5"/>
  <c r="T104" i="5"/>
  <c r="Y104" i="5" s="1"/>
  <c r="Z104" i="5" s="1"/>
  <c r="U264" i="5"/>
  <c r="V264" i="5" s="1"/>
  <c r="X264" i="5" s="1"/>
  <c r="P262" i="5"/>
  <c r="P266" i="5" s="1"/>
  <c r="T210" i="5"/>
  <c r="Y210" i="5" s="1"/>
  <c r="Z210" i="5" s="1"/>
  <c r="R210" i="5"/>
  <c r="T212" i="5"/>
  <c r="Y212" i="5" s="1"/>
  <c r="Z212" i="5" s="1"/>
  <c r="R212" i="5"/>
  <c r="P164" i="5"/>
  <c r="T134" i="5"/>
  <c r="R134" i="5"/>
  <c r="T215" i="5"/>
  <c r="Y215" i="5" s="1"/>
  <c r="Z215" i="5" s="1"/>
  <c r="R215" i="5"/>
  <c r="R140" i="5"/>
  <c r="U140" i="5" s="1"/>
  <c r="V140" i="5" s="1"/>
  <c r="X140" i="5" s="1"/>
  <c r="T140" i="5"/>
  <c r="T165" i="5"/>
  <c r="Y165" i="5" s="1"/>
  <c r="Z165" i="5" s="1"/>
  <c r="R165" i="5"/>
  <c r="U158" i="5"/>
  <c r="V158" i="5" s="1"/>
  <c r="X158" i="5" s="1"/>
  <c r="P196" i="5"/>
  <c r="U196" i="5"/>
  <c r="V196" i="5" s="1"/>
  <c r="X196" i="5" s="1"/>
  <c r="R148" i="5"/>
  <c r="P114" i="5"/>
  <c r="Y191" i="5"/>
  <c r="Z191" i="5" s="1"/>
  <c r="R168" i="5"/>
  <c r="T168" i="5"/>
  <c r="Y168" i="5" s="1"/>
  <c r="Z168" i="5" s="1"/>
  <c r="T122" i="5"/>
  <c r="Y122" i="5" s="1"/>
  <c r="Z122" i="5" s="1"/>
  <c r="R122" i="5"/>
  <c r="U73" i="5"/>
  <c r="V73" i="5" s="1"/>
  <c r="X73" i="5" s="1"/>
  <c r="T207" i="5"/>
  <c r="Y207" i="5" s="1"/>
  <c r="Z207" i="5" s="1"/>
  <c r="R207" i="5"/>
  <c r="T42" i="5"/>
  <c r="Y42" i="5" s="1"/>
  <c r="Z42" i="5" s="1"/>
  <c r="R42" i="5"/>
  <c r="Y33" i="5"/>
  <c r="Z33" i="5" s="1"/>
  <c r="R31" i="5"/>
  <c r="T31" i="5"/>
  <c r="Y31" i="5" s="1"/>
  <c r="Z31" i="5" s="1"/>
  <c r="Y187" i="5"/>
  <c r="Z187" i="5" s="1"/>
  <c r="T275" i="5"/>
  <c r="Y275" i="5" s="1"/>
  <c r="Z275" i="5" s="1"/>
  <c r="R275" i="5"/>
  <c r="T156" i="5"/>
  <c r="Y156" i="5" s="1"/>
  <c r="Z156" i="5" s="1"/>
  <c r="R156" i="5"/>
  <c r="U186" i="5"/>
  <c r="V186" i="5" s="1"/>
  <c r="X186" i="5" s="1"/>
  <c r="P197" i="5"/>
  <c r="R144" i="5"/>
  <c r="R117" i="5"/>
  <c r="U25" i="5"/>
  <c r="V25" i="5" s="1"/>
  <c r="X25" i="5" s="1"/>
  <c r="P190" i="5"/>
  <c r="U190" i="5"/>
  <c r="V190" i="5" s="1"/>
  <c r="X190" i="5" s="1"/>
  <c r="Y166" i="5"/>
  <c r="Z166" i="5" s="1"/>
  <c r="T141" i="5"/>
  <c r="R141" i="5"/>
  <c r="U141" i="5" s="1"/>
  <c r="V141" i="5" s="1"/>
  <c r="X141" i="5" s="1"/>
  <c r="R82" i="5"/>
  <c r="T82" i="5"/>
  <c r="Y82" i="5" s="1"/>
  <c r="Z82" i="5" s="1"/>
  <c r="Y59" i="5"/>
  <c r="Z59" i="5" s="1"/>
  <c r="R123" i="5"/>
  <c r="T200" i="5"/>
  <c r="Y200" i="5" s="1"/>
  <c r="Z200" i="5" s="1"/>
  <c r="R200" i="5"/>
  <c r="U64" i="5"/>
  <c r="V64" i="5" s="1"/>
  <c r="X64" i="5" s="1"/>
  <c r="P64" i="5"/>
  <c r="R145" i="5"/>
  <c r="R76" i="5"/>
  <c r="R60" i="5"/>
  <c r="T60" i="5"/>
  <c r="R46" i="5"/>
  <c r="R38" i="5"/>
  <c r="T121" i="5"/>
  <c r="Y121" i="5" s="1"/>
  <c r="Z121" i="5" s="1"/>
  <c r="R121" i="5"/>
  <c r="R113" i="5"/>
  <c r="T113" i="5"/>
  <c r="Y113" i="5" s="1"/>
  <c r="Z113" i="5" s="1"/>
  <c r="T203" i="5"/>
  <c r="Y203" i="5" s="1"/>
  <c r="Z203" i="5" s="1"/>
  <c r="R203" i="5"/>
  <c r="T124" i="5"/>
  <c r="R124" i="5"/>
  <c r="Y20" i="5"/>
  <c r="Z20" i="5" s="1"/>
  <c r="R33" i="5"/>
  <c r="R273" i="5"/>
  <c r="T273" i="5"/>
  <c r="Y159" i="5"/>
  <c r="Z159" i="5" s="1"/>
  <c r="R103" i="5"/>
  <c r="R142" i="5"/>
  <c r="U142" i="5" s="1"/>
  <c r="V142" i="5" s="1"/>
  <c r="X142" i="5" s="1"/>
  <c r="T50" i="5"/>
  <c r="Y50" i="5" s="1"/>
  <c r="Z50" i="5" s="1"/>
  <c r="U70" i="5"/>
  <c r="V70" i="5" s="1"/>
  <c r="X70" i="5" s="1"/>
  <c r="Y123" i="5"/>
  <c r="Z123" i="5" s="1"/>
  <c r="R189" i="5"/>
  <c r="N257" i="5"/>
  <c r="U163" i="5"/>
  <c r="V163" i="5" s="1"/>
  <c r="X163" i="5" s="1"/>
  <c r="R116" i="5"/>
  <c r="P198" i="5"/>
  <c r="Y216" i="5"/>
  <c r="Z216" i="5" s="1"/>
  <c r="P182" i="5"/>
  <c r="P194" i="5"/>
  <c r="U131" i="5"/>
  <c r="V131" i="5" s="1"/>
  <c r="X131" i="5" s="1"/>
  <c r="R18" i="5"/>
  <c r="T18" i="5"/>
  <c r="Y18" i="5" s="1"/>
  <c r="Z18" i="5" s="1"/>
  <c r="Y147" i="5"/>
  <c r="Z147" i="5" s="1"/>
  <c r="R79" i="5"/>
  <c r="T79" i="5"/>
  <c r="Y79" i="5" s="1"/>
  <c r="Z79" i="5" s="1"/>
  <c r="Y43" i="5"/>
  <c r="Z43" i="5" s="1"/>
  <c r="R35" i="5"/>
  <c r="R56" i="5"/>
  <c r="U56" i="5" s="1"/>
  <c r="V56" i="5" s="1"/>
  <c r="X56" i="5" s="1"/>
  <c r="R137" i="5"/>
  <c r="U137" i="5" s="1"/>
  <c r="V137" i="5" s="1"/>
  <c r="X137" i="5" s="1"/>
  <c r="R86" i="5"/>
  <c r="T58" i="5"/>
  <c r="R58" i="5"/>
  <c r="R63" i="5"/>
  <c r="U74" i="5"/>
  <c r="V74" i="5" s="1"/>
  <c r="X74" i="5" s="1"/>
  <c r="R54" i="5"/>
  <c r="T260" i="5"/>
  <c r="R28" i="5"/>
  <c r="R166" i="5"/>
  <c r="T118" i="5"/>
  <c r="Y118" i="5" s="1"/>
  <c r="Z118" i="5" s="1"/>
  <c r="R118" i="5"/>
  <c r="R52" i="5"/>
  <c r="U52" i="5" s="1"/>
  <c r="Y63" i="5"/>
  <c r="Z63" i="5" s="1"/>
  <c r="Y189" i="5"/>
  <c r="Z189" i="5" s="1"/>
  <c r="T19" i="5"/>
  <c r="Y19" i="5" s="1"/>
  <c r="Z19" i="5" s="1"/>
  <c r="R19" i="5"/>
  <c r="Z61" i="5"/>
  <c r="P62" i="5"/>
  <c r="R269" i="5"/>
  <c r="T269" i="5"/>
  <c r="Y261" i="5"/>
  <c r="Z261" i="5" s="1"/>
  <c r="U265" i="5"/>
  <c r="V265" i="5" s="1"/>
  <c r="X265" i="5" s="1"/>
  <c r="Y208" i="5"/>
  <c r="Z208" i="5" s="1"/>
  <c r="R172" i="5"/>
  <c r="T172" i="5"/>
  <c r="Y172" i="5" s="1"/>
  <c r="Z172" i="5" s="1"/>
  <c r="U154" i="5"/>
  <c r="V154" i="5" s="1"/>
  <c r="X154" i="5" s="1"/>
  <c r="R147" i="5"/>
  <c r="T171" i="5"/>
  <c r="Y171" i="5" s="1"/>
  <c r="Z171" i="5" s="1"/>
  <c r="R171" i="5"/>
  <c r="R208" i="5"/>
  <c r="T80" i="5"/>
  <c r="Y80" i="5" s="1"/>
  <c r="Z80" i="5" s="1"/>
  <c r="R80" i="5"/>
  <c r="T152" i="5"/>
  <c r="Y152" i="5" s="1"/>
  <c r="Z152" i="5" s="1"/>
  <c r="R152" i="5"/>
  <c r="T101" i="5"/>
  <c r="Y101" i="5" s="1"/>
  <c r="Z101" i="5" s="1"/>
  <c r="R101" i="5"/>
  <c r="U81" i="5"/>
  <c r="V81" i="5" s="1"/>
  <c r="X81" i="5" s="1"/>
  <c r="P36" i="5"/>
  <c r="R136" i="5"/>
  <c r="U136" i="5" s="1"/>
  <c r="V136" i="5" s="1"/>
  <c r="X136" i="5" s="1"/>
  <c r="Y205" i="5"/>
  <c r="Z205" i="5" s="1"/>
  <c r="R20" i="5"/>
  <c r="P193" i="5"/>
  <c r="U193" i="5"/>
  <c r="V193" i="5" s="1"/>
  <c r="X193" i="5" s="1"/>
  <c r="U260" i="5"/>
  <c r="Y285" i="5"/>
  <c r="Z285" i="5" s="1"/>
  <c r="Y27" i="5"/>
  <c r="Z27" i="5" s="1"/>
  <c r="R40" i="5"/>
  <c r="Y270" i="5"/>
  <c r="Z270" i="5" s="1"/>
  <c r="R263" i="5"/>
  <c r="Y206" i="5"/>
  <c r="Z206" i="5" s="1"/>
  <c r="T192" i="5"/>
  <c r="R192" i="5"/>
  <c r="T138" i="5"/>
  <c r="R138" i="5"/>
  <c r="U138" i="5" s="1"/>
  <c r="V138" i="5" s="1"/>
  <c r="X138" i="5" s="1"/>
  <c r="T153" i="5"/>
  <c r="R153" i="5"/>
  <c r="T77" i="5"/>
  <c r="Y77" i="5" s="1"/>
  <c r="Z77" i="5" s="1"/>
  <c r="R77" i="5"/>
  <c r="R44" i="5"/>
  <c r="T44" i="5"/>
  <c r="Y44" i="5" s="1"/>
  <c r="Z44" i="5" s="1"/>
  <c r="T16" i="5"/>
  <c r="R16" i="5"/>
  <c r="U76" i="5"/>
  <c r="V76" i="5" s="1"/>
  <c r="X76" i="5" s="1"/>
  <c r="P34" i="5"/>
  <c r="R128" i="5"/>
  <c r="U128" i="5" s="1"/>
  <c r="V128" i="5" s="1"/>
  <c r="X128" i="5" s="1"/>
  <c r="R126" i="5"/>
  <c r="T109" i="5"/>
  <c r="R109" i="5"/>
  <c r="U35" i="5"/>
  <c r="V35" i="5" s="1"/>
  <c r="X35" i="5" s="1"/>
  <c r="R32" i="5"/>
  <c r="T47" i="5"/>
  <c r="Y47" i="5" s="1"/>
  <c r="Z47" i="5" s="1"/>
  <c r="R47" i="5"/>
  <c r="L68" i="7"/>
  <c r="Q37" i="7"/>
  <c r="I68" i="7"/>
  <c r="I67" i="7"/>
  <c r="Q20" i="7"/>
  <c r="P67" i="7"/>
  <c r="Q66" i="7"/>
  <c r="H67" i="7"/>
  <c r="Q26" i="7"/>
  <c r="Q65" i="7"/>
  <c r="Q57" i="7"/>
  <c r="Q41" i="7"/>
  <c r="Q61" i="7"/>
  <c r="E68" i="7"/>
  <c r="G12" i="8"/>
  <c r="H12" i="8" s="1"/>
  <c r="E7" i="8"/>
  <c r="E272" i="21" s="1"/>
  <c r="G25" i="8"/>
  <c r="E30" i="15" s="1"/>
  <c r="G39" i="8"/>
  <c r="E44" i="15" s="1"/>
  <c r="G87" i="8"/>
  <c r="G31" i="8"/>
  <c r="E36" i="15" s="1"/>
  <c r="G33" i="8"/>
  <c r="E38" i="15" s="1"/>
  <c r="G49" i="8"/>
  <c r="E54" i="15" s="1"/>
  <c r="T54" i="15" s="1"/>
  <c r="G78" i="8"/>
  <c r="E84" i="15" s="1"/>
  <c r="G57" i="8"/>
  <c r="G48" i="8"/>
  <c r="E53" i="15" s="1"/>
  <c r="T53" i="15" s="1"/>
  <c r="G24" i="8"/>
  <c r="E29" i="15" s="1"/>
  <c r="G40" i="8"/>
  <c r="E45" i="15" s="1"/>
  <c r="T45" i="15" s="1"/>
  <c r="G32" i="8"/>
  <c r="E37" i="15" s="1"/>
  <c r="G26" i="8"/>
  <c r="E31" i="15" s="1"/>
  <c r="G51" i="8"/>
  <c r="E56" i="15" s="1"/>
  <c r="T56" i="15" s="1"/>
  <c r="G75" i="8"/>
  <c r="E81" i="15" s="1"/>
  <c r="G89" i="8"/>
  <c r="E95" i="15" s="1"/>
  <c r="T95" i="15" s="1"/>
  <c r="G35" i="8"/>
  <c r="E40" i="15" s="1"/>
  <c r="G44" i="8"/>
  <c r="E49" i="15" s="1"/>
  <c r="T49" i="15" s="1"/>
  <c r="G53" i="8"/>
  <c r="E58" i="15" s="1"/>
  <c r="E90" i="8"/>
  <c r="G90" i="8" s="1"/>
  <c r="E96" i="15" s="1"/>
  <c r="T96" i="15" s="1"/>
  <c r="F23" i="8"/>
  <c r="G23" i="8" s="1"/>
  <c r="E28" i="15" s="1"/>
  <c r="E45" i="8"/>
  <c r="G45" i="8" s="1"/>
  <c r="E50" i="15" s="1"/>
  <c r="T50" i="15" s="1"/>
  <c r="E63" i="8"/>
  <c r="G63" i="8" s="1"/>
  <c r="E72" i="8"/>
  <c r="G72" i="8" s="1"/>
  <c r="E78" i="15" s="1"/>
  <c r="E80" i="8"/>
  <c r="G80" i="8" s="1"/>
  <c r="E86" i="15" s="1"/>
  <c r="E91" i="8"/>
  <c r="G91" i="8" s="1"/>
  <c r="C106" i="8"/>
  <c r="G71" i="8"/>
  <c r="E77" i="15" s="1"/>
  <c r="E54" i="8"/>
  <c r="G54" i="8" s="1"/>
  <c r="E59" i="15" s="1"/>
  <c r="E29" i="8"/>
  <c r="G29" i="8" s="1"/>
  <c r="E34" i="15" s="1"/>
  <c r="E37" i="8"/>
  <c r="G37" i="8" s="1"/>
  <c r="E42" i="15" s="1"/>
  <c r="E46" i="8"/>
  <c r="G46" i="8" s="1"/>
  <c r="E51" i="15" s="1"/>
  <c r="T51" i="15" s="1"/>
  <c r="E55" i="8"/>
  <c r="G55" i="8" s="1"/>
  <c r="E60" i="15" s="1"/>
  <c r="E73" i="8"/>
  <c r="E81" i="8"/>
  <c r="G81" i="8" s="1"/>
  <c r="E87" i="15" s="1"/>
  <c r="T87" i="15" s="1"/>
  <c r="G18" i="8"/>
  <c r="E23" i="15" s="1"/>
  <c r="D13" i="8"/>
  <c r="D15" i="8"/>
  <c r="E28" i="8"/>
  <c r="G28" i="8" s="1"/>
  <c r="E33" i="15" s="1"/>
  <c r="E36" i="8"/>
  <c r="G36" i="8" s="1"/>
  <c r="E41" i="15" s="1"/>
  <c r="I99" i="31" l="1"/>
  <c r="D94" i="8"/>
  <c r="E94" i="8" s="1"/>
  <c r="G94" i="8" s="1"/>
  <c r="E100" i="15" s="1"/>
  <c r="C100" i="8"/>
  <c r="C102" i="8" s="1"/>
  <c r="H13" i="8"/>
  <c r="E93" i="15"/>
  <c r="T93" i="15" s="1"/>
  <c r="E101" i="15"/>
  <c r="E94" i="15"/>
  <c r="T94" i="15" s="1"/>
  <c r="E98" i="15"/>
  <c r="E90" i="15"/>
  <c r="T90" i="15" s="1"/>
  <c r="E97" i="15"/>
  <c r="T97" i="15" s="1"/>
  <c r="U87" i="15"/>
  <c r="H81" i="8"/>
  <c r="I81" i="8" s="1"/>
  <c r="K81" i="8" s="1"/>
  <c r="G8" i="8"/>
  <c r="I8" i="8" s="1"/>
  <c r="K8" i="8" s="1"/>
  <c r="E273" i="21"/>
  <c r="G6" i="8"/>
  <c r="I6" i="8" s="1"/>
  <c r="K6" i="8" s="1"/>
  <c r="E271" i="21"/>
  <c r="I10" i="8"/>
  <c r="K10" i="8" s="1"/>
  <c r="E10" i="15"/>
  <c r="J41" i="15"/>
  <c r="K41" i="15"/>
  <c r="T41" i="15"/>
  <c r="O41" i="15"/>
  <c r="R41" i="15"/>
  <c r="H41" i="15"/>
  <c r="N41" i="15"/>
  <c r="M41" i="15"/>
  <c r="P41" i="15"/>
  <c r="I41" i="15"/>
  <c r="L41" i="15"/>
  <c r="Q41" i="15"/>
  <c r="H29" i="15"/>
  <c r="M29" i="15"/>
  <c r="Q29" i="15"/>
  <c r="I29" i="15"/>
  <c r="T29" i="15"/>
  <c r="K29" i="15"/>
  <c r="O29" i="15"/>
  <c r="J29" i="15"/>
  <c r="P29" i="15"/>
  <c r="N29" i="15"/>
  <c r="L29" i="15"/>
  <c r="R29" i="15"/>
  <c r="T42" i="15"/>
  <c r="H42" i="15"/>
  <c r="K42" i="15"/>
  <c r="P42" i="15"/>
  <c r="N42" i="15"/>
  <c r="I42" i="15"/>
  <c r="L42" i="15"/>
  <c r="M42" i="15"/>
  <c r="Q42" i="15"/>
  <c r="J42" i="15"/>
  <c r="O42" i="15"/>
  <c r="R42" i="15"/>
  <c r="L22" i="15"/>
  <c r="M22" i="15"/>
  <c r="P22" i="15"/>
  <c r="Q22" i="15"/>
  <c r="N22" i="15"/>
  <c r="I22" i="15"/>
  <c r="T22" i="15"/>
  <c r="K22" i="15"/>
  <c r="J22" i="15"/>
  <c r="H22" i="15"/>
  <c r="R22" i="15"/>
  <c r="O22" i="15"/>
  <c r="R34" i="15"/>
  <c r="M34" i="15"/>
  <c r="J34" i="15"/>
  <c r="H34" i="15"/>
  <c r="T34" i="15"/>
  <c r="I34" i="15"/>
  <c r="O34" i="15"/>
  <c r="P34" i="15"/>
  <c r="N34" i="15"/>
  <c r="K34" i="15"/>
  <c r="Q34" i="15"/>
  <c r="L34" i="15"/>
  <c r="I11" i="8"/>
  <c r="K11" i="8" s="1"/>
  <c r="E11" i="15"/>
  <c r="O88" i="15"/>
  <c r="N88" i="15"/>
  <c r="Q88" i="15"/>
  <c r="M88" i="15"/>
  <c r="R88" i="15"/>
  <c r="P88" i="15"/>
  <c r="L88" i="15"/>
  <c r="I88" i="15"/>
  <c r="T88" i="15"/>
  <c r="K88" i="15"/>
  <c r="J88" i="15"/>
  <c r="H88" i="15"/>
  <c r="K33" i="15"/>
  <c r="T33" i="15"/>
  <c r="J33" i="15"/>
  <c r="M33" i="15"/>
  <c r="O33" i="15"/>
  <c r="H33" i="15"/>
  <c r="N33" i="15"/>
  <c r="L33" i="15"/>
  <c r="Q33" i="15"/>
  <c r="R33" i="15"/>
  <c r="P33" i="15"/>
  <c r="I33" i="15"/>
  <c r="T40" i="15"/>
  <c r="Q40" i="15"/>
  <c r="I40" i="15"/>
  <c r="R40" i="15"/>
  <c r="O40" i="15"/>
  <c r="N40" i="15"/>
  <c r="L40" i="15"/>
  <c r="M40" i="15"/>
  <c r="J40" i="15"/>
  <c r="H40" i="15"/>
  <c r="K40" i="15"/>
  <c r="P40" i="15"/>
  <c r="L26" i="15"/>
  <c r="R26" i="15"/>
  <c r="O26" i="15"/>
  <c r="T26" i="15"/>
  <c r="N26" i="15"/>
  <c r="J26" i="15"/>
  <c r="K26" i="15"/>
  <c r="Q26" i="15"/>
  <c r="P26" i="15"/>
  <c r="M26" i="15"/>
  <c r="I26" i="15"/>
  <c r="H26" i="15"/>
  <c r="I31" i="15"/>
  <c r="P31" i="15"/>
  <c r="R31" i="15"/>
  <c r="O31" i="15"/>
  <c r="J31" i="15"/>
  <c r="M31" i="15"/>
  <c r="H31" i="15"/>
  <c r="N31" i="15"/>
  <c r="Q31" i="15"/>
  <c r="L31" i="15"/>
  <c r="T31" i="15"/>
  <c r="K31" i="15"/>
  <c r="N25" i="15"/>
  <c r="J25" i="15"/>
  <c r="L25" i="15"/>
  <c r="K25" i="15"/>
  <c r="R25" i="15"/>
  <c r="H25" i="15"/>
  <c r="T25" i="15"/>
  <c r="O25" i="15"/>
  <c r="M25" i="15"/>
  <c r="P25" i="15"/>
  <c r="I25" i="15"/>
  <c r="Q25" i="15"/>
  <c r="M36" i="15"/>
  <c r="N36" i="15"/>
  <c r="L36" i="15"/>
  <c r="P36" i="15"/>
  <c r="Q36" i="15"/>
  <c r="T36" i="15"/>
  <c r="R36" i="15"/>
  <c r="I36" i="15"/>
  <c r="O36" i="15"/>
  <c r="H36" i="15"/>
  <c r="K36" i="15"/>
  <c r="J36" i="15"/>
  <c r="L52" i="15"/>
  <c r="K52" i="15"/>
  <c r="H52" i="15"/>
  <c r="M52" i="15"/>
  <c r="Q52" i="15"/>
  <c r="J52" i="15"/>
  <c r="I52" i="15"/>
  <c r="P52" i="15"/>
  <c r="O52" i="15"/>
  <c r="N52" i="15"/>
  <c r="O39" i="15"/>
  <c r="R39" i="15"/>
  <c r="L39" i="15"/>
  <c r="T39" i="15"/>
  <c r="I39" i="15"/>
  <c r="N39" i="15"/>
  <c r="J39" i="15"/>
  <c r="P39" i="15"/>
  <c r="Q39" i="15"/>
  <c r="K39" i="15"/>
  <c r="H39" i="15"/>
  <c r="M39" i="15"/>
  <c r="I99" i="15"/>
  <c r="R99" i="15"/>
  <c r="L44" i="15"/>
  <c r="T44" i="15"/>
  <c r="N44" i="15"/>
  <c r="J44" i="15"/>
  <c r="H44" i="15"/>
  <c r="M44" i="15"/>
  <c r="R44" i="15"/>
  <c r="I44" i="15"/>
  <c r="P44" i="15"/>
  <c r="O44" i="15"/>
  <c r="Q44" i="15"/>
  <c r="K44" i="15"/>
  <c r="Q23" i="15"/>
  <c r="H23" i="15"/>
  <c r="I23" i="15"/>
  <c r="T23" i="15"/>
  <c r="J23" i="15"/>
  <c r="K23" i="15"/>
  <c r="N23" i="15"/>
  <c r="L23" i="15"/>
  <c r="R23" i="15"/>
  <c r="M23" i="15"/>
  <c r="P23" i="15"/>
  <c r="O23" i="15"/>
  <c r="I12" i="8"/>
  <c r="K12" i="8" s="1"/>
  <c r="E12" i="15"/>
  <c r="U12" i="15" s="1"/>
  <c r="R27" i="15"/>
  <c r="J27" i="15"/>
  <c r="O27" i="15"/>
  <c r="H27" i="15"/>
  <c r="N27" i="15"/>
  <c r="Q27" i="15"/>
  <c r="K27" i="15"/>
  <c r="T27" i="15"/>
  <c r="M27" i="15"/>
  <c r="P27" i="15"/>
  <c r="L27" i="15"/>
  <c r="I27" i="15"/>
  <c r="J43" i="15"/>
  <c r="H43" i="15"/>
  <c r="P43" i="15"/>
  <c r="I43" i="15"/>
  <c r="R43" i="15"/>
  <c r="T43" i="15"/>
  <c r="L43" i="15"/>
  <c r="M43" i="15"/>
  <c r="K43" i="15"/>
  <c r="Q43" i="15"/>
  <c r="O43" i="15"/>
  <c r="N43" i="15"/>
  <c r="Q37" i="15"/>
  <c r="R37" i="15"/>
  <c r="L37" i="15"/>
  <c r="M37" i="15"/>
  <c r="O37" i="15"/>
  <c r="K37" i="15"/>
  <c r="H37" i="15"/>
  <c r="N37" i="15"/>
  <c r="T37" i="15"/>
  <c r="I37" i="15"/>
  <c r="J37" i="15"/>
  <c r="P37" i="15"/>
  <c r="J38" i="15"/>
  <c r="H38" i="15"/>
  <c r="Q38" i="15"/>
  <c r="P38" i="15"/>
  <c r="K38" i="15"/>
  <c r="R38" i="15"/>
  <c r="L38" i="15"/>
  <c r="N38" i="15"/>
  <c r="I38" i="15"/>
  <c r="M38" i="15"/>
  <c r="O38" i="15"/>
  <c r="T38" i="15"/>
  <c r="N35" i="15"/>
  <c r="P35" i="15"/>
  <c r="Q35" i="15"/>
  <c r="J35" i="15"/>
  <c r="O35" i="15"/>
  <c r="L35" i="15"/>
  <c r="R35" i="15"/>
  <c r="I35" i="15"/>
  <c r="T35" i="15"/>
  <c r="M35" i="15"/>
  <c r="H35" i="15"/>
  <c r="K35" i="15"/>
  <c r="P24" i="15"/>
  <c r="Q24" i="15"/>
  <c r="N24" i="15"/>
  <c r="I24" i="15"/>
  <c r="M24" i="15"/>
  <c r="R24" i="15"/>
  <c r="H24" i="15"/>
  <c r="K24" i="15"/>
  <c r="J24" i="15"/>
  <c r="T24" i="15"/>
  <c r="O24" i="15"/>
  <c r="L24" i="15"/>
  <c r="N30" i="15"/>
  <c r="T30" i="15"/>
  <c r="H30" i="15"/>
  <c r="Q30" i="15"/>
  <c r="L30" i="15"/>
  <c r="M30" i="15"/>
  <c r="O30" i="15"/>
  <c r="P30" i="15"/>
  <c r="R30" i="15"/>
  <c r="J30" i="15"/>
  <c r="K30" i="15"/>
  <c r="I30" i="15"/>
  <c r="E18" i="15"/>
  <c r="O28" i="15"/>
  <c r="T28" i="15"/>
  <c r="R28" i="15"/>
  <c r="N28" i="15"/>
  <c r="J28" i="15"/>
  <c r="L28" i="15"/>
  <c r="H28" i="15"/>
  <c r="M28" i="15"/>
  <c r="P28" i="15"/>
  <c r="I28" i="15"/>
  <c r="Q28" i="15"/>
  <c r="K28" i="15"/>
  <c r="I9" i="8"/>
  <c r="K9" i="8" s="1"/>
  <c r="E9" i="15"/>
  <c r="E13" i="8"/>
  <c r="G13" i="8" s="1"/>
  <c r="G7" i="8"/>
  <c r="R150" i="5"/>
  <c r="Y23" i="5"/>
  <c r="Z23" i="5" s="1"/>
  <c r="T175" i="5"/>
  <c r="Y175" i="5" s="1"/>
  <c r="Z175" i="5" s="1"/>
  <c r="Y135" i="5"/>
  <c r="Z135" i="5" s="1"/>
  <c r="R159" i="5"/>
  <c r="Y124" i="5"/>
  <c r="Z124" i="5" s="1"/>
  <c r="R178" i="5"/>
  <c r="R78" i="5"/>
  <c r="R71" i="5"/>
  <c r="Y58" i="5"/>
  <c r="Z58" i="5" s="1"/>
  <c r="P278" i="5"/>
  <c r="R227" i="5"/>
  <c r="T227" i="5"/>
  <c r="Y227" i="5" s="1"/>
  <c r="Z227" i="5" s="1"/>
  <c r="T238" i="5"/>
  <c r="Y238" i="5" s="1"/>
  <c r="Z238" i="5" s="1"/>
  <c r="R238" i="5"/>
  <c r="R282" i="5"/>
  <c r="R247" i="5"/>
  <c r="T247" i="5"/>
  <c r="Y247" i="5" s="1"/>
  <c r="Z247" i="5" s="1"/>
  <c r="T251" i="5"/>
  <c r="Y251" i="5" s="1"/>
  <c r="Z251" i="5" s="1"/>
  <c r="R251" i="5"/>
  <c r="T244" i="5"/>
  <c r="Y244" i="5" s="1"/>
  <c r="Z244" i="5" s="1"/>
  <c r="R244" i="5"/>
  <c r="T232" i="5"/>
  <c r="Y232" i="5" s="1"/>
  <c r="Z232" i="5" s="1"/>
  <c r="R232" i="5"/>
  <c r="T250" i="5"/>
  <c r="R250" i="5"/>
  <c r="T252" i="5"/>
  <c r="Y252" i="5" s="1"/>
  <c r="Z252" i="5" s="1"/>
  <c r="R252" i="5"/>
  <c r="T254" i="5"/>
  <c r="Y254" i="5" s="1"/>
  <c r="Z254" i="5" s="1"/>
  <c r="R254" i="5"/>
  <c r="T229" i="5"/>
  <c r="Y229" i="5" s="1"/>
  <c r="Z229" i="5" s="1"/>
  <c r="R229" i="5"/>
  <c r="T246" i="5"/>
  <c r="Y246" i="5" s="1"/>
  <c r="Z246" i="5" s="1"/>
  <c r="R246" i="5"/>
  <c r="T245" i="5"/>
  <c r="Y245" i="5" s="1"/>
  <c r="Z245" i="5" s="1"/>
  <c r="R245" i="5"/>
  <c r="T234" i="5"/>
  <c r="Y234" i="5" s="1"/>
  <c r="Z234" i="5" s="1"/>
  <c r="R234" i="5"/>
  <c r="T217" i="5"/>
  <c r="Y217" i="5" s="1"/>
  <c r="Z217" i="5" s="1"/>
  <c r="R217" i="5"/>
  <c r="R184" i="5"/>
  <c r="Y250" i="5"/>
  <c r="Z250" i="5" s="1"/>
  <c r="T237" i="5"/>
  <c r="Y237" i="5" s="1"/>
  <c r="Z237" i="5" s="1"/>
  <c r="R237" i="5"/>
  <c r="T242" i="5"/>
  <c r="Y242" i="5" s="1"/>
  <c r="Z242" i="5" s="1"/>
  <c r="R242" i="5"/>
  <c r="T248" i="5"/>
  <c r="Y248" i="5" s="1"/>
  <c r="Z248" i="5" s="1"/>
  <c r="R248" i="5"/>
  <c r="R271" i="5"/>
  <c r="Y273" i="5"/>
  <c r="Z273" i="5" s="1"/>
  <c r="Y149" i="5"/>
  <c r="Z149" i="5" s="1"/>
  <c r="T219" i="5"/>
  <c r="Y219" i="5" s="1"/>
  <c r="Z219" i="5" s="1"/>
  <c r="R219" i="5"/>
  <c r="T224" i="5"/>
  <c r="R224" i="5"/>
  <c r="U224" i="5" s="1"/>
  <c r="V224" i="5" s="1"/>
  <c r="X224" i="5" s="1"/>
  <c r="Y223" i="5"/>
  <c r="Z223" i="5" s="1"/>
  <c r="T230" i="5"/>
  <c r="Y230" i="5" s="1"/>
  <c r="Z230" i="5" s="1"/>
  <c r="R230" i="5"/>
  <c r="T221" i="5"/>
  <c r="Y221" i="5" s="1"/>
  <c r="Z221" i="5" s="1"/>
  <c r="R221" i="5"/>
  <c r="T235" i="5"/>
  <c r="Y235" i="5" s="1"/>
  <c r="Z235" i="5" s="1"/>
  <c r="R235" i="5"/>
  <c r="T256" i="5"/>
  <c r="R256" i="5"/>
  <c r="U256" i="5" s="1"/>
  <c r="V256" i="5" s="1"/>
  <c r="X256" i="5" s="1"/>
  <c r="T228" i="5"/>
  <c r="Y228" i="5" s="1"/>
  <c r="Z228" i="5" s="1"/>
  <c r="R228" i="5"/>
  <c r="T241" i="5"/>
  <c r="Y241" i="5" s="1"/>
  <c r="Z241" i="5" s="1"/>
  <c r="R241" i="5"/>
  <c r="T271" i="5"/>
  <c r="Y271" i="5" s="1"/>
  <c r="Z271" i="5" s="1"/>
  <c r="T188" i="5"/>
  <c r="Y188" i="5" s="1"/>
  <c r="Z188" i="5" s="1"/>
  <c r="Y173" i="5"/>
  <c r="Z173" i="5" s="1"/>
  <c r="T253" i="5"/>
  <c r="Y253" i="5" s="1"/>
  <c r="Z253" i="5" s="1"/>
  <c r="R253" i="5"/>
  <c r="Y226" i="5"/>
  <c r="Z226" i="5" s="1"/>
  <c r="T243" i="5"/>
  <c r="Y243" i="5" s="1"/>
  <c r="Z243" i="5" s="1"/>
  <c r="R243" i="5"/>
  <c r="T236" i="5"/>
  <c r="Y236" i="5" s="1"/>
  <c r="Z236" i="5" s="1"/>
  <c r="R236" i="5"/>
  <c r="R255" i="5"/>
  <c r="T255" i="5"/>
  <c r="Y255" i="5" s="1"/>
  <c r="Z255" i="5" s="1"/>
  <c r="Y184" i="5"/>
  <c r="Z184" i="5" s="1"/>
  <c r="Y55" i="5"/>
  <c r="Z55" i="5" s="1"/>
  <c r="T218" i="5"/>
  <c r="Y218" i="5" s="1"/>
  <c r="Z218" i="5" s="1"/>
  <c r="R218" i="5"/>
  <c r="T231" i="5"/>
  <c r="Y231" i="5" s="1"/>
  <c r="Z231" i="5" s="1"/>
  <c r="R231" i="5"/>
  <c r="T222" i="5"/>
  <c r="Y222" i="5" s="1"/>
  <c r="Z222" i="5" s="1"/>
  <c r="R222" i="5"/>
  <c r="T240" i="5"/>
  <c r="Y240" i="5" s="1"/>
  <c r="Z240" i="5" s="1"/>
  <c r="R240" i="5"/>
  <c r="T220" i="5"/>
  <c r="Y220" i="5" s="1"/>
  <c r="Z220" i="5" s="1"/>
  <c r="R220" i="5"/>
  <c r="T239" i="5"/>
  <c r="Y239" i="5" s="1"/>
  <c r="Z239" i="5" s="1"/>
  <c r="R239" i="5"/>
  <c r="T233" i="5"/>
  <c r="Y233" i="5" s="1"/>
  <c r="Z233" i="5" s="1"/>
  <c r="R233" i="5"/>
  <c r="T249" i="5"/>
  <c r="Y249" i="5" s="1"/>
  <c r="Z249" i="5" s="1"/>
  <c r="R249" i="5"/>
  <c r="T92" i="5"/>
  <c r="Y92" i="5" s="1"/>
  <c r="Z92" i="5" s="1"/>
  <c r="R92" i="5"/>
  <c r="T91" i="5"/>
  <c r="Y91" i="5" s="1"/>
  <c r="Z91" i="5" s="1"/>
  <c r="R91" i="5"/>
  <c r="T94" i="5"/>
  <c r="Y94" i="5" s="1"/>
  <c r="Z94" i="5" s="1"/>
  <c r="R94" i="5"/>
  <c r="Y16" i="5"/>
  <c r="Z16" i="5" s="1"/>
  <c r="T90" i="5"/>
  <c r="Y90" i="5" s="1"/>
  <c r="Z90" i="5" s="1"/>
  <c r="R90" i="5"/>
  <c r="T26" i="5"/>
  <c r="Y26" i="5" s="1"/>
  <c r="Z26" i="5" s="1"/>
  <c r="T93" i="5"/>
  <c r="Y93" i="5" s="1"/>
  <c r="Z93" i="5" s="1"/>
  <c r="R93" i="5"/>
  <c r="T99" i="5"/>
  <c r="Y99" i="5" s="1"/>
  <c r="Z99" i="5" s="1"/>
  <c r="R99" i="5"/>
  <c r="Y162" i="5"/>
  <c r="Z162" i="5" s="1"/>
  <c r="T21" i="5"/>
  <c r="Y21" i="5" s="1"/>
  <c r="Z21" i="5" s="1"/>
  <c r="Z49" i="5"/>
  <c r="T97" i="5"/>
  <c r="Y97" i="5" s="1"/>
  <c r="Z97" i="5" s="1"/>
  <c r="R97" i="5"/>
  <c r="R98" i="5"/>
  <c r="T98" i="5"/>
  <c r="Y98" i="5" s="1"/>
  <c r="Z98" i="5" s="1"/>
  <c r="Z169" i="5"/>
  <c r="T95" i="5"/>
  <c r="Y95" i="5" s="1"/>
  <c r="Z95" i="5" s="1"/>
  <c r="R95" i="5"/>
  <c r="T96" i="5"/>
  <c r="Y96" i="5" s="1"/>
  <c r="Z96" i="5" s="1"/>
  <c r="R96" i="5"/>
  <c r="Y192" i="5"/>
  <c r="Z192" i="5" s="1"/>
  <c r="R167" i="5"/>
  <c r="R66" i="5"/>
  <c r="T179" i="5"/>
  <c r="Y179" i="5" s="1"/>
  <c r="Z179" i="5" s="1"/>
  <c r="R15" i="5"/>
  <c r="Y60" i="5"/>
  <c r="Z60" i="5" s="1"/>
  <c r="T132" i="5"/>
  <c r="Y132" i="5" s="1"/>
  <c r="Z132" i="5" s="1"/>
  <c r="U286" i="5"/>
  <c r="Y24" i="5"/>
  <c r="Z24" i="5" s="1"/>
  <c r="R57" i="5"/>
  <c r="R37" i="5"/>
  <c r="T125" i="5"/>
  <c r="Y125" i="5" s="1"/>
  <c r="Z125" i="5" s="1"/>
  <c r="R146" i="5"/>
  <c r="R17" i="5"/>
  <c r="R22" i="5"/>
  <c r="R185" i="5"/>
  <c r="Y272" i="5"/>
  <c r="Z272" i="5" s="1"/>
  <c r="R283" i="5"/>
  <c r="T111" i="5"/>
  <c r="Y111" i="5" s="1"/>
  <c r="Z111" i="5" s="1"/>
  <c r="U278" i="5"/>
  <c r="Y133" i="5"/>
  <c r="Z133" i="5" s="1"/>
  <c r="R151" i="5"/>
  <c r="R41" i="5"/>
  <c r="Y174" i="5"/>
  <c r="Z174" i="5" s="1"/>
  <c r="R120" i="5"/>
  <c r="R181" i="5"/>
  <c r="Y39" i="5"/>
  <c r="Z39" i="5" s="1"/>
  <c r="T276" i="5"/>
  <c r="Y276" i="5" s="1"/>
  <c r="Z276" i="5" s="1"/>
  <c r="R276" i="5"/>
  <c r="Y129" i="5"/>
  <c r="Z129" i="5" s="1"/>
  <c r="Y176" i="5"/>
  <c r="Z176" i="5" s="1"/>
  <c r="R83" i="5"/>
  <c r="Y153" i="5"/>
  <c r="Z153" i="5" s="1"/>
  <c r="R157" i="5"/>
  <c r="Y170" i="5"/>
  <c r="Z170" i="5" s="1"/>
  <c r="R160" i="5"/>
  <c r="R277" i="5"/>
  <c r="Y264" i="5"/>
  <c r="Z264" i="5" s="1"/>
  <c r="Y183" i="5"/>
  <c r="Z183" i="5" s="1"/>
  <c r="R130" i="5"/>
  <c r="T281" i="5"/>
  <c r="R281" i="5"/>
  <c r="T195" i="5"/>
  <c r="Y195" i="5" s="1"/>
  <c r="Z195" i="5" s="1"/>
  <c r="R195" i="5"/>
  <c r="T284" i="5"/>
  <c r="Y284" i="5" s="1"/>
  <c r="Z284" i="5" s="1"/>
  <c r="R284" i="5"/>
  <c r="P286" i="5"/>
  <c r="Y134" i="5"/>
  <c r="Z134" i="5" s="1"/>
  <c r="Q67" i="7"/>
  <c r="C107" i="8"/>
  <c r="C110" i="8" s="1"/>
  <c r="V52" i="5"/>
  <c r="X52" i="5" s="1"/>
  <c r="U106" i="5"/>
  <c r="Y143" i="5"/>
  <c r="Z143" i="5" s="1"/>
  <c r="Y70" i="5"/>
  <c r="Z70" i="5" s="1"/>
  <c r="Y138" i="5"/>
  <c r="Z138" i="5" s="1"/>
  <c r="Y158" i="5"/>
  <c r="Z158" i="5" s="1"/>
  <c r="Y128" i="5"/>
  <c r="Z128" i="5" s="1"/>
  <c r="T193" i="5"/>
  <c r="Y193" i="5" s="1"/>
  <c r="Z193" i="5" s="1"/>
  <c r="R193" i="5"/>
  <c r="T62" i="5"/>
  <c r="Y62" i="5" s="1"/>
  <c r="Z62" i="5" s="1"/>
  <c r="R62" i="5"/>
  <c r="Y74" i="5"/>
  <c r="Z74" i="5" s="1"/>
  <c r="T198" i="5"/>
  <c r="Y198" i="5" s="1"/>
  <c r="Z198" i="5" s="1"/>
  <c r="R198" i="5"/>
  <c r="Y142" i="5"/>
  <c r="Z142" i="5" s="1"/>
  <c r="Y51" i="5"/>
  <c r="Z51" i="5" s="1"/>
  <c r="Y136" i="5"/>
  <c r="Z136" i="5" s="1"/>
  <c r="Y137" i="5"/>
  <c r="Z137" i="5" s="1"/>
  <c r="Y163" i="5"/>
  <c r="Z163" i="5" s="1"/>
  <c r="Y73" i="5"/>
  <c r="Z73" i="5" s="1"/>
  <c r="Y141" i="5"/>
  <c r="Z141" i="5" s="1"/>
  <c r="Y56" i="5"/>
  <c r="Z56" i="5" s="1"/>
  <c r="V286" i="5"/>
  <c r="X281" i="5"/>
  <c r="R64" i="5"/>
  <c r="T64" i="5"/>
  <c r="Y64" i="5" s="1"/>
  <c r="Z64" i="5" s="1"/>
  <c r="Y81" i="5"/>
  <c r="Z81" i="5" s="1"/>
  <c r="Y35" i="5"/>
  <c r="Z35" i="5" s="1"/>
  <c r="T36" i="5"/>
  <c r="Y36" i="5" s="1"/>
  <c r="Z36" i="5" s="1"/>
  <c r="R36" i="5"/>
  <c r="Y186" i="5"/>
  <c r="Z186" i="5" s="1"/>
  <c r="Y140" i="5"/>
  <c r="Z140" i="5" s="1"/>
  <c r="T164" i="5"/>
  <c r="Y164" i="5" s="1"/>
  <c r="Z164" i="5" s="1"/>
  <c r="R164" i="5"/>
  <c r="Y265" i="5"/>
  <c r="Z265" i="5" s="1"/>
  <c r="X109" i="5"/>
  <c r="T114" i="5"/>
  <c r="Y114" i="5" s="1"/>
  <c r="Z114" i="5" s="1"/>
  <c r="R114" i="5"/>
  <c r="Y154" i="5"/>
  <c r="Z154" i="5" s="1"/>
  <c r="T182" i="5"/>
  <c r="Y182" i="5" s="1"/>
  <c r="Z182" i="5" s="1"/>
  <c r="R182" i="5"/>
  <c r="P257" i="5"/>
  <c r="X269" i="5"/>
  <c r="V278" i="5"/>
  <c r="T190" i="5"/>
  <c r="Y190" i="5" s="1"/>
  <c r="Z190" i="5" s="1"/>
  <c r="R190" i="5"/>
  <c r="R34" i="5"/>
  <c r="T34" i="5"/>
  <c r="Y34" i="5" s="1"/>
  <c r="Z34" i="5" s="1"/>
  <c r="Y131" i="5"/>
  <c r="Z131" i="5" s="1"/>
  <c r="T197" i="5"/>
  <c r="Y197" i="5" s="1"/>
  <c r="Z197" i="5" s="1"/>
  <c r="R197" i="5"/>
  <c r="T196" i="5"/>
  <c r="Y196" i="5" s="1"/>
  <c r="Z196" i="5" s="1"/>
  <c r="R196" i="5"/>
  <c r="Y76" i="5"/>
  <c r="Z76" i="5" s="1"/>
  <c r="T194" i="5"/>
  <c r="Y194" i="5" s="1"/>
  <c r="Z194" i="5" s="1"/>
  <c r="R194" i="5"/>
  <c r="P106" i="5"/>
  <c r="U266" i="5"/>
  <c r="V260" i="5"/>
  <c r="Y25" i="5"/>
  <c r="Z25" i="5" s="1"/>
  <c r="T262" i="5"/>
  <c r="Y262" i="5" s="1"/>
  <c r="Z262" i="5" s="1"/>
  <c r="R262" i="5"/>
  <c r="R266" i="5" s="1"/>
  <c r="M3" i="7"/>
  <c r="M15" i="15" s="1"/>
  <c r="F3" i="7"/>
  <c r="N15" i="15" s="1"/>
  <c r="Q68" i="7"/>
  <c r="L3" i="7" s="1"/>
  <c r="L15" i="15" s="1"/>
  <c r="D98" i="8"/>
  <c r="D100" i="8" s="1"/>
  <c r="E15" i="8"/>
  <c r="I13" i="8" l="1"/>
  <c r="N74" i="32" s="1"/>
  <c r="E8" i="15"/>
  <c r="H8" i="15" s="1"/>
  <c r="U8" i="15" s="1"/>
  <c r="T101" i="15"/>
  <c r="H95" i="8" s="1"/>
  <c r="I95" i="8" s="1"/>
  <c r="K95" i="8" s="1"/>
  <c r="U11" i="15"/>
  <c r="S77" i="15"/>
  <c r="K77" i="15"/>
  <c r="O77" i="15"/>
  <c r="L77" i="15"/>
  <c r="R77" i="15"/>
  <c r="J77" i="15"/>
  <c r="N77" i="15"/>
  <c r="Q77" i="15"/>
  <c r="I77" i="15"/>
  <c r="P77" i="15"/>
  <c r="M77" i="15"/>
  <c r="T77" i="15"/>
  <c r="H47" i="8"/>
  <c r="I47" i="8" s="1"/>
  <c r="K47" i="8" s="1"/>
  <c r="E6" i="15"/>
  <c r="H6" i="15" s="1"/>
  <c r="U101" i="15"/>
  <c r="T18" i="15"/>
  <c r="T98" i="15" s="1"/>
  <c r="E274" i="21"/>
  <c r="F277" i="21" s="1"/>
  <c r="U52" i="15"/>
  <c r="H10" i="15"/>
  <c r="U10" i="15" s="1"/>
  <c r="H9" i="15"/>
  <c r="U9" i="15" s="1"/>
  <c r="I7" i="8"/>
  <c r="K7" i="8" s="1"/>
  <c r="K13" i="8" s="1"/>
  <c r="E7" i="15"/>
  <c r="M45" i="15"/>
  <c r="M93" i="15"/>
  <c r="L45" i="15"/>
  <c r="L93" i="15"/>
  <c r="N45" i="15"/>
  <c r="N93" i="15"/>
  <c r="U257" i="5"/>
  <c r="R278" i="5"/>
  <c r="Y224" i="5"/>
  <c r="Z224" i="5" s="1"/>
  <c r="V257" i="5"/>
  <c r="Y256" i="5"/>
  <c r="Z256" i="5" s="1"/>
  <c r="R286" i="5"/>
  <c r="T286" i="5"/>
  <c r="T278" i="5"/>
  <c r="R257" i="5"/>
  <c r="R106" i="5"/>
  <c r="V106" i="5"/>
  <c r="M95" i="15"/>
  <c r="M53" i="15"/>
  <c r="M92" i="15"/>
  <c r="M85" i="15"/>
  <c r="M65" i="15"/>
  <c r="M54" i="15"/>
  <c r="M56" i="15"/>
  <c r="M67" i="15"/>
  <c r="M94" i="15"/>
  <c r="M91" i="15"/>
  <c r="M64" i="15"/>
  <c r="M97" i="15"/>
  <c r="M47" i="15"/>
  <c r="M68" i="15"/>
  <c r="M96" i="15"/>
  <c r="M82" i="15"/>
  <c r="M66" i="15"/>
  <c r="M50" i="15"/>
  <c r="M55" i="15"/>
  <c r="M48" i="15"/>
  <c r="M90" i="15"/>
  <c r="M49" i="15"/>
  <c r="M51" i="15"/>
  <c r="L65" i="15"/>
  <c r="L82" i="15"/>
  <c r="L97" i="15"/>
  <c r="L68" i="15"/>
  <c r="L92" i="15"/>
  <c r="L53" i="15"/>
  <c r="L94" i="15"/>
  <c r="L50" i="15"/>
  <c r="L49" i="15"/>
  <c r="L67" i="15"/>
  <c r="L91" i="15"/>
  <c r="L95" i="15"/>
  <c r="L85" i="15"/>
  <c r="L96" i="15"/>
  <c r="L66" i="15"/>
  <c r="L56" i="15"/>
  <c r="L47" i="15"/>
  <c r="L90" i="15"/>
  <c r="L55" i="15"/>
  <c r="L54" i="15"/>
  <c r="L64" i="15"/>
  <c r="L48" i="15"/>
  <c r="L51" i="15"/>
  <c r="N91" i="15"/>
  <c r="N66" i="15"/>
  <c r="N65" i="15"/>
  <c r="N55" i="15"/>
  <c r="N53" i="15"/>
  <c r="N85" i="15"/>
  <c r="N90" i="15"/>
  <c r="N96" i="15"/>
  <c r="N54" i="15"/>
  <c r="N67" i="15"/>
  <c r="N48" i="15"/>
  <c r="N49" i="15"/>
  <c r="N82" i="15"/>
  <c r="N97" i="15"/>
  <c r="N50" i="15"/>
  <c r="N47" i="15"/>
  <c r="N64" i="15"/>
  <c r="N68" i="15"/>
  <c r="N56" i="15"/>
  <c r="N94" i="15"/>
  <c r="N92" i="15"/>
  <c r="N95" i="15"/>
  <c r="N51" i="15"/>
  <c r="X278" i="5"/>
  <c r="Y269" i="5"/>
  <c r="Y278" i="5" s="1"/>
  <c r="T106" i="5"/>
  <c r="T257" i="5"/>
  <c r="X257" i="5"/>
  <c r="Y109" i="5"/>
  <c r="Y257" i="5" s="1"/>
  <c r="V266" i="5"/>
  <c r="X260" i="5"/>
  <c r="Y281" i="5"/>
  <c r="Y286" i="5" s="1"/>
  <c r="X286" i="5"/>
  <c r="T266" i="5"/>
  <c r="X106" i="5"/>
  <c r="Y52" i="5"/>
  <c r="Y106" i="5" s="1"/>
  <c r="N3" i="7"/>
  <c r="I3" i="7"/>
  <c r="K15" i="15" s="1"/>
  <c r="H3" i="7"/>
  <c r="P15" i="15" s="1"/>
  <c r="J3" i="7"/>
  <c r="G3" i="7"/>
  <c r="O15" i="15" s="1"/>
  <c r="K3" i="7"/>
  <c r="J15" i="15" s="1"/>
  <c r="E3" i="7"/>
  <c r="I15" i="15" s="1"/>
  <c r="O3" i="7"/>
  <c r="H15" i="15" s="1"/>
  <c r="E98" i="8"/>
  <c r="E100" i="8" s="1"/>
  <c r="U77" i="15" l="1"/>
  <c r="H71" i="8"/>
  <c r="I71" i="8" s="1"/>
  <c r="K71" i="8" s="1"/>
  <c r="E13" i="15"/>
  <c r="P14" i="15" s="1"/>
  <c r="K14" i="8"/>
  <c r="U98" i="15"/>
  <c r="H92" i="8"/>
  <c r="I92" i="8" s="1"/>
  <c r="K92" i="8" s="1"/>
  <c r="T60" i="15"/>
  <c r="T72" i="15"/>
  <c r="T81" i="15"/>
  <c r="T59" i="15"/>
  <c r="T62" i="15"/>
  <c r="T70" i="15"/>
  <c r="T71" i="15"/>
  <c r="T58" i="15"/>
  <c r="T80" i="15"/>
  <c r="T74" i="15"/>
  <c r="T84" i="15"/>
  <c r="T83" i="15"/>
  <c r="T61" i="15"/>
  <c r="T73" i="15"/>
  <c r="H7" i="15"/>
  <c r="H13" i="15" s="1"/>
  <c r="E5" i="1" s="1"/>
  <c r="U6" i="15"/>
  <c r="H45" i="15"/>
  <c r="H93" i="15"/>
  <c r="I45" i="15"/>
  <c r="I93" i="15"/>
  <c r="J45" i="15"/>
  <c r="J93" i="15"/>
  <c r="P45" i="15"/>
  <c r="P93" i="15"/>
  <c r="O45" i="15"/>
  <c r="O93" i="15"/>
  <c r="K45" i="15"/>
  <c r="K93" i="15"/>
  <c r="Z281" i="5"/>
  <c r="Z286" i="5" s="1"/>
  <c r="Z52" i="5"/>
  <c r="Z106" i="5" s="1"/>
  <c r="Z269" i="5"/>
  <c r="Z278" i="5" s="1"/>
  <c r="H56" i="15"/>
  <c r="H50" i="15"/>
  <c r="H94" i="15"/>
  <c r="H65" i="15"/>
  <c r="H97" i="15"/>
  <c r="H96" i="15"/>
  <c r="H82" i="15"/>
  <c r="H51" i="15"/>
  <c r="H47" i="15"/>
  <c r="H64" i="15"/>
  <c r="H92" i="15"/>
  <c r="H54" i="15"/>
  <c r="H48" i="15"/>
  <c r="H91" i="15"/>
  <c r="H53" i="15"/>
  <c r="H55" i="15"/>
  <c r="H66" i="15"/>
  <c r="H68" i="15"/>
  <c r="H67" i="15"/>
  <c r="H85" i="15"/>
  <c r="H95" i="15"/>
  <c r="H90" i="15"/>
  <c r="H49" i="15"/>
  <c r="P85" i="15"/>
  <c r="P48" i="15"/>
  <c r="P47" i="15"/>
  <c r="P92" i="15"/>
  <c r="P97" i="15"/>
  <c r="P49" i="15"/>
  <c r="P53" i="15"/>
  <c r="P82" i="15"/>
  <c r="P50" i="15"/>
  <c r="P91" i="15"/>
  <c r="P64" i="15"/>
  <c r="P55" i="15"/>
  <c r="P90" i="15"/>
  <c r="P56" i="15"/>
  <c r="P94" i="15"/>
  <c r="P67" i="15"/>
  <c r="P68" i="15"/>
  <c r="P51" i="15"/>
  <c r="P65" i="15"/>
  <c r="P54" i="15"/>
  <c r="P95" i="15"/>
  <c r="P96" i="15"/>
  <c r="P66" i="15"/>
  <c r="L18" i="15"/>
  <c r="M18" i="15"/>
  <c r="K92" i="15"/>
  <c r="K82" i="15"/>
  <c r="K50" i="15"/>
  <c r="K96" i="15"/>
  <c r="K94" i="15"/>
  <c r="K97" i="15"/>
  <c r="K85" i="15"/>
  <c r="K56" i="15"/>
  <c r="K55" i="15"/>
  <c r="K48" i="15"/>
  <c r="K95" i="15"/>
  <c r="K90" i="15"/>
  <c r="K66" i="15"/>
  <c r="K49" i="15"/>
  <c r="K54" i="15"/>
  <c r="K91" i="15"/>
  <c r="K47" i="15"/>
  <c r="K51" i="15"/>
  <c r="K68" i="15"/>
  <c r="K64" i="15"/>
  <c r="K53" i="15"/>
  <c r="K67" i="15"/>
  <c r="K65" i="15"/>
  <c r="I47" i="15"/>
  <c r="I55" i="15"/>
  <c r="I95" i="15"/>
  <c r="I67" i="15"/>
  <c r="I53" i="15"/>
  <c r="I94" i="15"/>
  <c r="I49" i="15"/>
  <c r="I50" i="15"/>
  <c r="I66" i="15"/>
  <c r="I48" i="15"/>
  <c r="I85" i="15"/>
  <c r="I82" i="15"/>
  <c r="I97" i="15"/>
  <c r="I65" i="15"/>
  <c r="I56" i="15"/>
  <c r="I54" i="15"/>
  <c r="I90" i="15"/>
  <c r="I96" i="15"/>
  <c r="I51" i="15"/>
  <c r="I68" i="15"/>
  <c r="I64" i="15"/>
  <c r="I92" i="15"/>
  <c r="I91" i="15"/>
  <c r="J91" i="15"/>
  <c r="J64" i="15"/>
  <c r="J94" i="15"/>
  <c r="J53" i="15"/>
  <c r="J85" i="15"/>
  <c r="J48" i="15"/>
  <c r="J96" i="15"/>
  <c r="J97" i="15"/>
  <c r="J68" i="15"/>
  <c r="J67" i="15"/>
  <c r="J54" i="15"/>
  <c r="J95" i="15"/>
  <c r="J56" i="15"/>
  <c r="J51" i="15"/>
  <c r="J47" i="15"/>
  <c r="J55" i="15"/>
  <c r="J65" i="15"/>
  <c r="J82" i="15"/>
  <c r="J49" i="15"/>
  <c r="J66" i="15"/>
  <c r="J92" i="15"/>
  <c r="J90" i="15"/>
  <c r="J50" i="15"/>
  <c r="O67" i="15"/>
  <c r="O95" i="15"/>
  <c r="O56" i="15"/>
  <c r="O55" i="15"/>
  <c r="O97" i="15"/>
  <c r="O53" i="15"/>
  <c r="O54" i="15"/>
  <c r="O85" i="15"/>
  <c r="O96" i="15"/>
  <c r="O50" i="15"/>
  <c r="O92" i="15"/>
  <c r="O49" i="15"/>
  <c r="O65" i="15"/>
  <c r="O47" i="15"/>
  <c r="O82" i="15"/>
  <c r="O48" i="15"/>
  <c r="O68" i="15"/>
  <c r="O94" i="15"/>
  <c r="O91" i="15"/>
  <c r="O90" i="15"/>
  <c r="O51" i="15"/>
  <c r="O64" i="15"/>
  <c r="O66" i="15"/>
  <c r="Q15" i="15"/>
  <c r="R15" i="15"/>
  <c r="N18" i="15"/>
  <c r="Y260" i="5"/>
  <c r="Y266" i="5" s="1"/>
  <c r="X266" i="5"/>
  <c r="Z109" i="5"/>
  <c r="Z257" i="5" s="1"/>
  <c r="P3" i="7"/>
  <c r="N189" i="9"/>
  <c r="M189" i="9"/>
  <c r="L189" i="9"/>
  <c r="K189" i="9"/>
  <c r="J189" i="9"/>
  <c r="I189" i="9"/>
  <c r="H189" i="9"/>
  <c r="G189" i="9"/>
  <c r="F189" i="9"/>
  <c r="E189" i="9"/>
  <c r="D189" i="9"/>
  <c r="C189" i="9"/>
  <c r="O189" i="9" s="1"/>
  <c r="O188" i="9"/>
  <c r="O187" i="9"/>
  <c r="O186" i="9"/>
  <c r="O185" i="9"/>
  <c r="O184" i="9"/>
  <c r="O183" i="9"/>
  <c r="C179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O177" i="9" s="1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N156" i="9"/>
  <c r="M156" i="9"/>
  <c r="L156" i="9"/>
  <c r="K156" i="9"/>
  <c r="J156" i="9"/>
  <c r="I156" i="9"/>
  <c r="H156" i="9"/>
  <c r="G156" i="9"/>
  <c r="O156" i="9" s="1"/>
  <c r="F156" i="9"/>
  <c r="E156" i="9"/>
  <c r="D156" i="9"/>
  <c r="C156" i="9"/>
  <c r="O155" i="9"/>
  <c r="O154" i="9"/>
  <c r="O153" i="9"/>
  <c r="O152" i="9"/>
  <c r="O151" i="9"/>
  <c r="O150" i="9"/>
  <c r="O149" i="9"/>
  <c r="O148" i="9"/>
  <c r="N145" i="9"/>
  <c r="N179" i="9" s="1"/>
  <c r="M145" i="9"/>
  <c r="M179" i="9" s="1"/>
  <c r="L145" i="9"/>
  <c r="L179" i="9" s="1"/>
  <c r="K145" i="9"/>
  <c r="K179" i="9" s="1"/>
  <c r="J145" i="9"/>
  <c r="J179" i="9" s="1"/>
  <c r="I145" i="9"/>
  <c r="I179" i="9" s="1"/>
  <c r="H145" i="9"/>
  <c r="H179" i="9" s="1"/>
  <c r="G145" i="9"/>
  <c r="G179" i="9" s="1"/>
  <c r="F145" i="9"/>
  <c r="F179" i="9" s="1"/>
  <c r="E145" i="9"/>
  <c r="E179" i="9" s="1"/>
  <c r="D145" i="9"/>
  <c r="D179" i="9" s="1"/>
  <c r="C145" i="9"/>
  <c r="O144" i="9"/>
  <c r="O143" i="9"/>
  <c r="O142" i="9"/>
  <c r="O141" i="9"/>
  <c r="O140" i="9"/>
  <c r="O139" i="9"/>
  <c r="O138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O128" i="9"/>
  <c r="O127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3" i="9" s="1"/>
  <c r="O122" i="9"/>
  <c r="O121" i="9"/>
  <c r="O120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7" i="9" s="1"/>
  <c r="O116" i="9"/>
  <c r="O115" i="9"/>
  <c r="O114" i="9"/>
  <c r="O113" i="9"/>
  <c r="O112" i="9"/>
  <c r="O111" i="9"/>
  <c r="N109" i="9"/>
  <c r="M109" i="9"/>
  <c r="L109" i="9"/>
  <c r="K109" i="9"/>
  <c r="J109" i="9"/>
  <c r="I109" i="9"/>
  <c r="H109" i="9"/>
  <c r="G109" i="9"/>
  <c r="F109" i="9"/>
  <c r="O109" i="9" s="1"/>
  <c r="E109" i="9"/>
  <c r="D109" i="9"/>
  <c r="C109" i="9"/>
  <c r="O108" i="9"/>
  <c r="O107" i="9"/>
  <c r="O106" i="9"/>
  <c r="N103" i="9"/>
  <c r="M103" i="9"/>
  <c r="L103" i="9"/>
  <c r="K103" i="9"/>
  <c r="J103" i="9"/>
  <c r="I103" i="9"/>
  <c r="H103" i="9"/>
  <c r="G103" i="9"/>
  <c r="F103" i="9"/>
  <c r="O103" i="9" s="1"/>
  <c r="E103" i="9"/>
  <c r="D103" i="9"/>
  <c r="C103" i="9"/>
  <c r="O102" i="9"/>
  <c r="O101" i="9"/>
  <c r="O100" i="9"/>
  <c r="O99" i="9"/>
  <c r="O98" i="9"/>
  <c r="O97" i="9"/>
  <c r="O96" i="9"/>
  <c r="O95" i="9"/>
  <c r="F92" i="9"/>
  <c r="C92" i="9"/>
  <c r="O91" i="9"/>
  <c r="O90" i="9"/>
  <c r="O89" i="9"/>
  <c r="O88" i="9"/>
  <c r="O87" i="9"/>
  <c r="O86" i="9"/>
  <c r="O85" i="9"/>
  <c r="O84" i="9"/>
  <c r="O83" i="9"/>
  <c r="N92" i="9"/>
  <c r="M92" i="9"/>
  <c r="L92" i="9"/>
  <c r="K92" i="9"/>
  <c r="J92" i="9"/>
  <c r="I92" i="9"/>
  <c r="H92" i="9"/>
  <c r="G92" i="9"/>
  <c r="E92" i="9"/>
  <c r="D92" i="9"/>
  <c r="O82" i="9"/>
  <c r="N79" i="9"/>
  <c r="M79" i="9"/>
  <c r="L79" i="9"/>
  <c r="K79" i="9"/>
  <c r="J79" i="9"/>
  <c r="I79" i="9"/>
  <c r="H79" i="9"/>
  <c r="G79" i="9"/>
  <c r="F79" i="9"/>
  <c r="O79" i="9" s="1"/>
  <c r="E79" i="9"/>
  <c r="D79" i="9"/>
  <c r="C79" i="9"/>
  <c r="O78" i="9"/>
  <c r="O77" i="9"/>
  <c r="O76" i="9"/>
  <c r="O75" i="9"/>
  <c r="O74" i="9"/>
  <c r="O73" i="9"/>
  <c r="N70" i="9"/>
  <c r="M70" i="9"/>
  <c r="L70" i="9"/>
  <c r="K70" i="9"/>
  <c r="J70" i="9"/>
  <c r="I70" i="9"/>
  <c r="H70" i="9"/>
  <c r="G70" i="9"/>
  <c r="F70" i="9"/>
  <c r="E70" i="9"/>
  <c r="D70" i="9"/>
  <c r="C70" i="9"/>
  <c r="O70" i="9" s="1"/>
  <c r="O69" i="9"/>
  <c r="O68" i="9"/>
  <c r="O67" i="9"/>
  <c r="O66" i="9"/>
  <c r="O65" i="9"/>
  <c r="O64" i="9"/>
  <c r="O63" i="9"/>
  <c r="O62" i="9"/>
  <c r="N59" i="9"/>
  <c r="M59" i="9"/>
  <c r="L59" i="9"/>
  <c r="K59" i="9"/>
  <c r="J59" i="9"/>
  <c r="J132" i="9" s="1"/>
  <c r="I59" i="9"/>
  <c r="I132" i="9" s="1"/>
  <c r="H59" i="9"/>
  <c r="G59" i="9"/>
  <c r="F59" i="9"/>
  <c r="E59" i="9"/>
  <c r="D59" i="9"/>
  <c r="C59" i="9"/>
  <c r="O58" i="9"/>
  <c r="O57" i="9"/>
  <c r="O56" i="9"/>
  <c r="O55" i="9"/>
  <c r="O54" i="9"/>
  <c r="O53" i="9"/>
  <c r="O52" i="9"/>
  <c r="O51" i="9"/>
  <c r="O50" i="9"/>
  <c r="O47" i="9"/>
  <c r="N46" i="9"/>
  <c r="M46" i="9"/>
  <c r="F46" i="9"/>
  <c r="E46" i="9"/>
  <c r="N43" i="9"/>
  <c r="M43" i="9"/>
  <c r="L43" i="9"/>
  <c r="K43" i="9"/>
  <c r="J43" i="9"/>
  <c r="I43" i="9"/>
  <c r="H43" i="9"/>
  <c r="G43" i="9"/>
  <c r="F43" i="9"/>
  <c r="E43" i="9"/>
  <c r="D43" i="9"/>
  <c r="C43" i="9"/>
  <c r="O43" i="9" s="1"/>
  <c r="O42" i="9"/>
  <c r="O41" i="9"/>
  <c r="O40" i="9"/>
  <c r="N37" i="9"/>
  <c r="M37" i="9"/>
  <c r="K37" i="9"/>
  <c r="K46" i="9" s="1"/>
  <c r="J37" i="9"/>
  <c r="J46" i="9" s="1"/>
  <c r="F37" i="9"/>
  <c r="E37" i="9"/>
  <c r="C37" i="9"/>
  <c r="C46" i="9" s="1"/>
  <c r="N35" i="9"/>
  <c r="M35" i="9"/>
  <c r="L35" i="9"/>
  <c r="K35" i="9"/>
  <c r="J35" i="9"/>
  <c r="I35" i="9"/>
  <c r="H35" i="9"/>
  <c r="G35" i="9"/>
  <c r="O35" i="9" s="1"/>
  <c r="F35" i="9"/>
  <c r="E35" i="9"/>
  <c r="D35" i="9"/>
  <c r="C35" i="9"/>
  <c r="O34" i="9"/>
  <c r="O33" i="9"/>
  <c r="O32" i="9"/>
  <c r="N30" i="9"/>
  <c r="M30" i="9"/>
  <c r="L30" i="9"/>
  <c r="K30" i="9"/>
  <c r="J30" i="9"/>
  <c r="I30" i="9"/>
  <c r="H30" i="9"/>
  <c r="G30" i="9"/>
  <c r="G37" i="9" s="1"/>
  <c r="G46" i="9" s="1"/>
  <c r="F30" i="9"/>
  <c r="E30" i="9"/>
  <c r="D30" i="9"/>
  <c r="C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N14" i="9"/>
  <c r="M14" i="9"/>
  <c r="L14" i="9"/>
  <c r="L37" i="9" s="1"/>
  <c r="L46" i="9" s="1"/>
  <c r="K14" i="9"/>
  <c r="J14" i="9"/>
  <c r="I14" i="9"/>
  <c r="I37" i="9" s="1"/>
  <c r="I46" i="9" s="1"/>
  <c r="H14" i="9"/>
  <c r="H37" i="9" s="1"/>
  <c r="H46" i="9" s="1"/>
  <c r="G14" i="9"/>
  <c r="F14" i="9"/>
  <c r="E14" i="9"/>
  <c r="D14" i="9"/>
  <c r="D37" i="9" s="1"/>
  <c r="D46" i="9" s="1"/>
  <c r="C14" i="9"/>
  <c r="O14" i="9" s="1"/>
  <c r="O13" i="9"/>
  <c r="O12" i="9"/>
  <c r="O11" i="9"/>
  <c r="O10" i="9"/>
  <c r="O9" i="9"/>
  <c r="I14" i="15" l="1"/>
  <c r="I102" i="15" s="1"/>
  <c r="M14" i="15"/>
  <c r="M78" i="15" s="1"/>
  <c r="J14" i="15"/>
  <c r="J102" i="15" s="1"/>
  <c r="Q14" i="15"/>
  <c r="Q78" i="15" s="1"/>
  <c r="N14" i="15"/>
  <c r="N78" i="15" s="1"/>
  <c r="O14" i="15"/>
  <c r="R14" i="15"/>
  <c r="R78" i="15" s="1"/>
  <c r="K14" i="15"/>
  <c r="K102" i="15" s="1"/>
  <c r="L14" i="15"/>
  <c r="L102" i="15" s="1"/>
  <c r="T14" i="15"/>
  <c r="T102" i="15" s="1"/>
  <c r="S14" i="15"/>
  <c r="S15" i="15" s="1"/>
  <c r="U15" i="15" s="1"/>
  <c r="U13" i="15"/>
  <c r="H14" i="15"/>
  <c r="U7" i="15"/>
  <c r="O78" i="15"/>
  <c r="O102" i="15"/>
  <c r="L78" i="15"/>
  <c r="J78" i="15"/>
  <c r="M102" i="15"/>
  <c r="P78" i="15"/>
  <c r="P102" i="15"/>
  <c r="Q45" i="15"/>
  <c r="Q93" i="15"/>
  <c r="R45" i="15"/>
  <c r="R93" i="15"/>
  <c r="O130" i="9"/>
  <c r="M132" i="9"/>
  <c r="M134" i="9" s="1"/>
  <c r="M191" i="9" s="1"/>
  <c r="H132" i="9"/>
  <c r="H134" i="9" s="1"/>
  <c r="H191" i="9" s="1"/>
  <c r="E132" i="9"/>
  <c r="E134" i="9" s="1"/>
  <c r="E191" i="9" s="1"/>
  <c r="Z260" i="5"/>
  <c r="Z266" i="5" s="1"/>
  <c r="K18" i="15"/>
  <c r="Q50" i="15"/>
  <c r="Q55" i="15"/>
  <c r="Q95" i="15"/>
  <c r="Q85" i="15"/>
  <c r="Q82" i="15"/>
  <c r="Q66" i="15"/>
  <c r="Q64" i="15"/>
  <c r="Q94" i="15"/>
  <c r="Q65" i="15"/>
  <c r="Q54" i="15"/>
  <c r="Q68" i="15"/>
  <c r="Q86" i="15"/>
  <c r="Q96" i="15"/>
  <c r="Q90" i="15"/>
  <c r="Q56" i="15"/>
  <c r="Q48" i="15"/>
  <c r="Q47" i="15"/>
  <c r="Q51" i="15"/>
  <c r="Q53" i="15"/>
  <c r="Q92" i="15"/>
  <c r="Q91" i="15"/>
  <c r="Q67" i="15"/>
  <c r="Q49" i="15"/>
  <c r="Q97" i="15"/>
  <c r="L71" i="15"/>
  <c r="L72" i="15"/>
  <c r="L58" i="15"/>
  <c r="L60" i="15"/>
  <c r="L73" i="15"/>
  <c r="L80" i="15"/>
  <c r="L74" i="15"/>
  <c r="L70" i="15"/>
  <c r="L59" i="15"/>
  <c r="L81" i="15"/>
  <c r="L61" i="15"/>
  <c r="L62" i="15"/>
  <c r="L83" i="15"/>
  <c r="L84" i="15"/>
  <c r="I18" i="15"/>
  <c r="P18" i="15"/>
  <c r="O18" i="15"/>
  <c r="J18" i="15"/>
  <c r="N73" i="15"/>
  <c r="N58" i="15"/>
  <c r="N72" i="15"/>
  <c r="N74" i="15"/>
  <c r="N80" i="15"/>
  <c r="N60" i="15"/>
  <c r="N81" i="15"/>
  <c r="N71" i="15"/>
  <c r="N62" i="15"/>
  <c r="N59" i="15"/>
  <c r="N61" i="15"/>
  <c r="N70" i="15"/>
  <c r="N84" i="15"/>
  <c r="N83" i="15"/>
  <c r="M72" i="15"/>
  <c r="M80" i="15"/>
  <c r="M81" i="15"/>
  <c r="M83" i="15"/>
  <c r="M71" i="15"/>
  <c r="M62" i="15"/>
  <c r="M70" i="15"/>
  <c r="M73" i="15"/>
  <c r="M60" i="15"/>
  <c r="M61" i="15"/>
  <c r="M84" i="15"/>
  <c r="M58" i="15"/>
  <c r="M74" i="15"/>
  <c r="M59" i="15"/>
  <c r="H18" i="15"/>
  <c r="R91" i="15"/>
  <c r="R67" i="15"/>
  <c r="R65" i="15"/>
  <c r="R55" i="15"/>
  <c r="R48" i="15"/>
  <c r="R97" i="15"/>
  <c r="R90" i="15"/>
  <c r="R56" i="15"/>
  <c r="R94" i="15"/>
  <c r="R96" i="15"/>
  <c r="R86" i="15"/>
  <c r="R50" i="15"/>
  <c r="R49" i="15"/>
  <c r="R64" i="15"/>
  <c r="R47" i="15"/>
  <c r="R54" i="15"/>
  <c r="R53" i="15"/>
  <c r="R85" i="15"/>
  <c r="R66" i="15"/>
  <c r="R51" i="15"/>
  <c r="R92" i="15"/>
  <c r="R82" i="15"/>
  <c r="R68" i="15"/>
  <c r="R95" i="15"/>
  <c r="I134" i="9"/>
  <c r="I191" i="9" s="1"/>
  <c r="J134" i="9"/>
  <c r="J191" i="9" s="1"/>
  <c r="K132" i="9"/>
  <c r="K134" i="9" s="1"/>
  <c r="K191" i="9" s="1"/>
  <c r="F132" i="9"/>
  <c r="F134" i="9" s="1"/>
  <c r="F191" i="9" s="1"/>
  <c r="N132" i="9"/>
  <c r="N134" i="9" s="1"/>
  <c r="N191" i="9" s="1"/>
  <c r="G132" i="9"/>
  <c r="G134" i="9" s="1"/>
  <c r="G191" i="9" s="1"/>
  <c r="C132" i="9"/>
  <c r="C134" i="9" s="1"/>
  <c r="C191" i="9" s="1"/>
  <c r="O179" i="9"/>
  <c r="O92" i="9"/>
  <c r="D132" i="9"/>
  <c r="L132" i="9"/>
  <c r="L134" i="9" s="1"/>
  <c r="L191" i="9" s="1"/>
  <c r="O30" i="9"/>
  <c r="O37" i="9" s="1"/>
  <c r="O46" i="9" s="1"/>
  <c r="O145" i="9"/>
  <c r="O59" i="9"/>
  <c r="E16" i="1"/>
  <c r="H21" i="1"/>
  <c r="I78" i="15" l="1"/>
  <c r="N102" i="15"/>
  <c r="Q102" i="15"/>
  <c r="K78" i="15"/>
  <c r="S78" i="15"/>
  <c r="S16" i="15"/>
  <c r="U16" i="15" s="1"/>
  <c r="S17" i="15"/>
  <c r="U17" i="15" s="1"/>
  <c r="U14" i="15"/>
  <c r="T78" i="15"/>
  <c r="R18" i="15"/>
  <c r="H102" i="15"/>
  <c r="H78" i="15"/>
  <c r="S88" i="15"/>
  <c r="S45" i="15"/>
  <c r="U45" i="15" s="1"/>
  <c r="S56" i="15"/>
  <c r="S97" i="15"/>
  <c r="U97" i="15" s="1"/>
  <c r="S64" i="15"/>
  <c r="U64" i="15" s="1"/>
  <c r="S65" i="15"/>
  <c r="U65" i="15" s="1"/>
  <c r="S93" i="15"/>
  <c r="S85" i="15"/>
  <c r="S66" i="15"/>
  <c r="U66" i="15" s="1"/>
  <c r="S55" i="15"/>
  <c r="S86" i="15"/>
  <c r="U86" i="15" s="1"/>
  <c r="S82" i="15"/>
  <c r="U82" i="15" s="1"/>
  <c r="S53" i="15"/>
  <c r="S50" i="15"/>
  <c r="S51" i="15"/>
  <c r="U51" i="15" s="1"/>
  <c r="S96" i="15"/>
  <c r="U96" i="15" s="1"/>
  <c r="S90" i="15"/>
  <c r="U90" i="15" s="1"/>
  <c r="S68" i="15"/>
  <c r="S54" i="15"/>
  <c r="U54" i="15" s="1"/>
  <c r="S92" i="15"/>
  <c r="U92" i="15" s="1"/>
  <c r="S48" i="15"/>
  <c r="U48" i="15" s="1"/>
  <c r="S94" i="15"/>
  <c r="S91" i="15"/>
  <c r="U91" i="15" s="1"/>
  <c r="S95" i="15"/>
  <c r="S49" i="15"/>
  <c r="U49" i="15" s="1"/>
  <c r="S67" i="15"/>
  <c r="U67" i="15" s="1"/>
  <c r="S47" i="15"/>
  <c r="U47" i="15" s="1"/>
  <c r="P60" i="15"/>
  <c r="P83" i="15"/>
  <c r="P59" i="15"/>
  <c r="P70" i="15"/>
  <c r="P71" i="15"/>
  <c r="P58" i="15"/>
  <c r="P84" i="15"/>
  <c r="P61" i="15"/>
  <c r="P62" i="15"/>
  <c r="P80" i="15"/>
  <c r="P73" i="15"/>
  <c r="P81" i="15"/>
  <c r="P74" i="15"/>
  <c r="P72" i="15"/>
  <c r="O61" i="15"/>
  <c r="O62" i="15"/>
  <c r="O72" i="15"/>
  <c r="O83" i="15"/>
  <c r="O71" i="15"/>
  <c r="O59" i="15"/>
  <c r="O80" i="15"/>
  <c r="O70" i="15"/>
  <c r="O81" i="15"/>
  <c r="O73" i="15"/>
  <c r="O84" i="15"/>
  <c r="O60" i="15"/>
  <c r="O74" i="15"/>
  <c r="O58" i="15"/>
  <c r="Q18" i="15"/>
  <c r="J61" i="15"/>
  <c r="J73" i="15"/>
  <c r="J81" i="15"/>
  <c r="J74" i="15"/>
  <c r="J83" i="15"/>
  <c r="J60" i="15"/>
  <c r="J80" i="15"/>
  <c r="J70" i="15"/>
  <c r="J72" i="15"/>
  <c r="J71" i="15"/>
  <c r="J59" i="15"/>
  <c r="J84" i="15"/>
  <c r="J62" i="15"/>
  <c r="J58" i="15"/>
  <c r="H70" i="15"/>
  <c r="H74" i="15"/>
  <c r="H62" i="15"/>
  <c r="H59" i="15"/>
  <c r="H71" i="15"/>
  <c r="H58" i="15"/>
  <c r="H84" i="15"/>
  <c r="H83" i="15"/>
  <c r="H61" i="15"/>
  <c r="H73" i="15"/>
  <c r="H81" i="15"/>
  <c r="H60" i="15"/>
  <c r="H80" i="15"/>
  <c r="H72" i="15"/>
  <c r="I74" i="15"/>
  <c r="I72" i="15"/>
  <c r="I61" i="15"/>
  <c r="I59" i="15"/>
  <c r="I84" i="15"/>
  <c r="I80" i="15"/>
  <c r="I83" i="15"/>
  <c r="I73" i="15"/>
  <c r="I70" i="15"/>
  <c r="I60" i="15"/>
  <c r="I58" i="15"/>
  <c r="I71" i="15"/>
  <c r="I81" i="15"/>
  <c r="I62" i="15"/>
  <c r="K61" i="15"/>
  <c r="K74" i="15"/>
  <c r="K62" i="15"/>
  <c r="K59" i="15"/>
  <c r="K80" i="15"/>
  <c r="K71" i="15"/>
  <c r="K58" i="15"/>
  <c r="K60" i="15"/>
  <c r="K84" i="15"/>
  <c r="K70" i="15"/>
  <c r="K83" i="15"/>
  <c r="K72" i="15"/>
  <c r="K81" i="15"/>
  <c r="K73" i="15"/>
  <c r="O132" i="9"/>
  <c r="D134" i="9"/>
  <c r="S41" i="15" l="1"/>
  <c r="S43" i="15"/>
  <c r="S40" i="15"/>
  <c r="U40" i="15" s="1"/>
  <c r="S29" i="15"/>
  <c r="U29" i="15" s="1"/>
  <c r="S24" i="15"/>
  <c r="H19" i="8" s="1"/>
  <c r="I19" i="8" s="1"/>
  <c r="K19" i="8" s="1"/>
  <c r="S30" i="15"/>
  <c r="H25" i="8" s="1"/>
  <c r="I25" i="8" s="1"/>
  <c r="K25" i="8" s="1"/>
  <c r="S28" i="15"/>
  <c r="U28" i="15" s="1"/>
  <c r="S39" i="15"/>
  <c r="U39" i="15" s="1"/>
  <c r="S44" i="15"/>
  <c r="U44" i="15" s="1"/>
  <c r="S37" i="15"/>
  <c r="U37" i="15" s="1"/>
  <c r="S42" i="15"/>
  <c r="U42" i="15" s="1"/>
  <c r="S34" i="15"/>
  <c r="H29" i="8" s="1"/>
  <c r="I29" i="8" s="1"/>
  <c r="K29" i="8" s="1"/>
  <c r="S26" i="15"/>
  <c r="H21" i="8" s="1"/>
  <c r="I21" i="8" s="1"/>
  <c r="K21" i="8" s="1"/>
  <c r="S35" i="15"/>
  <c r="U35" i="15" s="1"/>
  <c r="S33" i="15"/>
  <c r="U33" i="15" s="1"/>
  <c r="H72" i="8"/>
  <c r="I72" i="8" s="1"/>
  <c r="K72" i="8" s="1"/>
  <c r="S23" i="15"/>
  <c r="U23" i="15" s="1"/>
  <c r="S99" i="15"/>
  <c r="U99" i="15" s="1"/>
  <c r="S25" i="15"/>
  <c r="U25" i="15" s="1"/>
  <c r="S22" i="15"/>
  <c r="H17" i="8" s="1"/>
  <c r="I17" i="8" s="1"/>
  <c r="K17" i="8" s="1"/>
  <c r="S38" i="15"/>
  <c r="U38" i="15" s="1"/>
  <c r="S31" i="15"/>
  <c r="H26" i="8" s="1"/>
  <c r="I26" i="8" s="1"/>
  <c r="K26" i="8" s="1"/>
  <c r="S27" i="15"/>
  <c r="U27" i="15" s="1"/>
  <c r="S36" i="15"/>
  <c r="H31" i="8" s="1"/>
  <c r="I31" i="8" s="1"/>
  <c r="K31" i="8" s="1"/>
  <c r="U78" i="15"/>
  <c r="H40" i="8"/>
  <c r="I40" i="8" s="1"/>
  <c r="K40" i="8" s="1"/>
  <c r="H60" i="8"/>
  <c r="I60" i="8" s="1"/>
  <c r="K60" i="8" s="1"/>
  <c r="H46" i="8"/>
  <c r="I46" i="8" s="1"/>
  <c r="K46" i="8" s="1"/>
  <c r="H59" i="8"/>
  <c r="I59" i="8" s="1"/>
  <c r="K59" i="8" s="1"/>
  <c r="U26" i="15"/>
  <c r="H43" i="8"/>
  <c r="I43" i="8" s="1"/>
  <c r="K43" i="8" s="1"/>
  <c r="H44" i="8"/>
  <c r="I44" i="8" s="1"/>
  <c r="K44" i="8" s="1"/>
  <c r="U68" i="15"/>
  <c r="H63" i="8"/>
  <c r="I63" i="8" s="1"/>
  <c r="K63" i="8" s="1"/>
  <c r="U55" i="15"/>
  <c r="H50" i="8"/>
  <c r="I50" i="8" s="1"/>
  <c r="K50" i="8" s="1"/>
  <c r="H91" i="8"/>
  <c r="I91" i="8" s="1"/>
  <c r="K91" i="8" s="1"/>
  <c r="H76" i="8"/>
  <c r="I76" i="8" s="1"/>
  <c r="K76" i="8" s="1"/>
  <c r="U53" i="15"/>
  <c r="H48" i="8"/>
  <c r="I48" i="8" s="1"/>
  <c r="K48" i="8" s="1"/>
  <c r="U43" i="15"/>
  <c r="H38" i="8"/>
  <c r="I38" i="8" s="1"/>
  <c r="K38" i="8" s="1"/>
  <c r="U88" i="15"/>
  <c r="H82" i="8"/>
  <c r="I82" i="8" s="1"/>
  <c r="K82" i="8" s="1"/>
  <c r="H49" i="8"/>
  <c r="I49" i="8" s="1"/>
  <c r="K49" i="8" s="1"/>
  <c r="U95" i="15"/>
  <c r="H89" i="8"/>
  <c r="I89" i="8" s="1"/>
  <c r="K89" i="8" s="1"/>
  <c r="U85" i="15"/>
  <c r="H79" i="8"/>
  <c r="I79" i="8" s="1"/>
  <c r="K79" i="8" s="1"/>
  <c r="H86" i="8"/>
  <c r="I86" i="8" s="1"/>
  <c r="K86" i="8" s="1"/>
  <c r="H90" i="8"/>
  <c r="I90" i="8" s="1"/>
  <c r="K90" i="8" s="1"/>
  <c r="U56" i="15"/>
  <c r="H51" i="8"/>
  <c r="I51" i="8" s="1"/>
  <c r="K51" i="8" s="1"/>
  <c r="H61" i="8"/>
  <c r="I61" i="8" s="1"/>
  <c r="K61" i="8" s="1"/>
  <c r="U93" i="15"/>
  <c r="H87" i="8"/>
  <c r="I87" i="8" s="1"/>
  <c r="K87" i="8" s="1"/>
  <c r="U41" i="15"/>
  <c r="H36" i="8"/>
  <c r="I36" i="8" s="1"/>
  <c r="K36" i="8" s="1"/>
  <c r="H85" i="8"/>
  <c r="I85" i="8" s="1"/>
  <c r="K85" i="8" s="1"/>
  <c r="H84" i="8"/>
  <c r="I84" i="8" s="1"/>
  <c r="K84" i="8" s="1"/>
  <c r="U94" i="15"/>
  <c r="H88" i="8"/>
  <c r="I88" i="8" s="1"/>
  <c r="K88" i="8" s="1"/>
  <c r="U50" i="15"/>
  <c r="H45" i="8"/>
  <c r="I45" i="8" s="1"/>
  <c r="K45" i="8" s="1"/>
  <c r="H80" i="8"/>
  <c r="I80" i="8" s="1"/>
  <c r="K80" i="8" s="1"/>
  <c r="H62" i="8"/>
  <c r="I62" i="8" s="1"/>
  <c r="K62" i="8" s="1"/>
  <c r="H42" i="8"/>
  <c r="I42" i="8" s="1"/>
  <c r="K42" i="8" s="1"/>
  <c r="R102" i="15"/>
  <c r="R62" i="15"/>
  <c r="R84" i="15"/>
  <c r="R59" i="15"/>
  <c r="R80" i="15"/>
  <c r="R71" i="15"/>
  <c r="R74" i="15"/>
  <c r="R61" i="15"/>
  <c r="R72" i="15"/>
  <c r="R60" i="15"/>
  <c r="R73" i="15"/>
  <c r="R70" i="15"/>
  <c r="R58" i="15"/>
  <c r="R81" i="15"/>
  <c r="R83" i="15"/>
  <c r="Q72" i="15"/>
  <c r="Q70" i="15"/>
  <c r="Q60" i="15"/>
  <c r="Q61" i="15"/>
  <c r="Q59" i="15"/>
  <c r="Q83" i="15"/>
  <c r="Q71" i="15"/>
  <c r="Q81" i="15"/>
  <c r="Q73" i="15"/>
  <c r="Q80" i="15"/>
  <c r="Q74" i="15"/>
  <c r="Q84" i="15"/>
  <c r="Q62" i="15"/>
  <c r="Q58" i="15"/>
  <c r="D191" i="9"/>
  <c r="O191" i="9" s="1"/>
  <c r="O134" i="9"/>
  <c r="U24" i="15" l="1"/>
  <c r="H35" i="8"/>
  <c r="I35" i="8" s="1"/>
  <c r="K35" i="8" s="1"/>
  <c r="H20" i="8"/>
  <c r="I20" i="8" s="1"/>
  <c r="K20" i="8" s="1"/>
  <c r="U30" i="15"/>
  <c r="H24" i="8"/>
  <c r="I24" i="8" s="1"/>
  <c r="K24" i="8" s="1"/>
  <c r="H30" i="8"/>
  <c r="I30" i="8" s="1"/>
  <c r="K30" i="8" s="1"/>
  <c r="H23" i="8"/>
  <c r="I23" i="8" s="1"/>
  <c r="K23" i="8" s="1"/>
  <c r="U34" i="15"/>
  <c r="H34" i="8"/>
  <c r="I34" i="8" s="1"/>
  <c r="K34" i="8" s="1"/>
  <c r="U22" i="15"/>
  <c r="H32" i="8"/>
  <c r="I32" i="8" s="1"/>
  <c r="K32" i="8" s="1"/>
  <c r="H39" i="8"/>
  <c r="I39" i="8" s="1"/>
  <c r="K39" i="8" s="1"/>
  <c r="H37" i="8"/>
  <c r="I37" i="8" s="1"/>
  <c r="K37" i="8" s="1"/>
  <c r="H28" i="8"/>
  <c r="I28" i="8" s="1"/>
  <c r="K28" i="8" s="1"/>
  <c r="H93" i="8"/>
  <c r="I93" i="8" s="1"/>
  <c r="K93" i="8" s="1"/>
  <c r="U36" i="15"/>
  <c r="H22" i="8"/>
  <c r="I22" i="8" s="1"/>
  <c r="K22" i="8" s="1"/>
  <c r="U31" i="15"/>
  <c r="H18" i="8"/>
  <c r="I18" i="8" s="1"/>
  <c r="K18" i="8" s="1"/>
  <c r="H33" i="8"/>
  <c r="I33" i="8" s="1"/>
  <c r="K33" i="8" s="1"/>
  <c r="S18" i="15"/>
  <c r="U18" i="15" s="1"/>
  <c r="S102" i="15"/>
  <c r="U102" i="15" s="1"/>
  <c r="S80" i="15" l="1"/>
  <c r="U80" i="15" s="1"/>
  <c r="S83" i="15"/>
  <c r="U83" i="15" s="1"/>
  <c r="S73" i="15"/>
  <c r="U73" i="15" s="1"/>
  <c r="S84" i="15"/>
  <c r="U84" i="15" s="1"/>
  <c r="S72" i="15"/>
  <c r="U72" i="15" s="1"/>
  <c r="S59" i="15"/>
  <c r="U59" i="15" s="1"/>
  <c r="S58" i="15"/>
  <c r="H53" i="8" s="1"/>
  <c r="I53" i="8" s="1"/>
  <c r="K53" i="8" s="1"/>
  <c r="S74" i="15"/>
  <c r="U74" i="15" s="1"/>
  <c r="S62" i="15"/>
  <c r="U62" i="15" s="1"/>
  <c r="S61" i="15"/>
  <c r="U61" i="15" s="1"/>
  <c r="S70" i="15"/>
  <c r="U70" i="15" s="1"/>
  <c r="S71" i="15"/>
  <c r="U71" i="15" s="1"/>
  <c r="S81" i="15"/>
  <c r="U81" i="15" s="1"/>
  <c r="S60" i="15"/>
  <c r="U60" i="15" s="1"/>
  <c r="H96" i="8"/>
  <c r="I96" i="8" s="1"/>
  <c r="K96" i="8" s="1"/>
  <c r="F15" i="8"/>
  <c r="H78" i="8" l="1"/>
  <c r="I78" i="8" s="1"/>
  <c r="K78" i="8" s="1"/>
  <c r="H57" i="8"/>
  <c r="I57" i="8" s="1"/>
  <c r="K57" i="8" s="1"/>
  <c r="H68" i="8"/>
  <c r="I68" i="8" s="1"/>
  <c r="K68" i="8" s="1"/>
  <c r="H74" i="8"/>
  <c r="I74" i="8" s="1"/>
  <c r="K74" i="8" s="1"/>
  <c r="H67" i="8"/>
  <c r="I67" i="8" s="1"/>
  <c r="K67" i="8" s="1"/>
  <c r="H77" i="8"/>
  <c r="I77" i="8" s="1"/>
  <c r="K77" i="8" s="1"/>
  <c r="H69" i="8"/>
  <c r="I69" i="8" s="1"/>
  <c r="K69" i="8" s="1"/>
  <c r="U58" i="15"/>
  <c r="H54" i="8"/>
  <c r="I54" i="8" s="1"/>
  <c r="K54" i="8" s="1"/>
  <c r="H66" i="8"/>
  <c r="I66" i="8" s="1"/>
  <c r="K66" i="8" s="1"/>
  <c r="H65" i="8"/>
  <c r="I65" i="8" s="1"/>
  <c r="K65" i="8" s="1"/>
  <c r="H55" i="8"/>
  <c r="I55" i="8" s="1"/>
  <c r="K55" i="8" s="1"/>
  <c r="H75" i="8"/>
  <c r="I75" i="8" s="1"/>
  <c r="K75" i="8" s="1"/>
  <c r="H56" i="8"/>
  <c r="I56" i="8" s="1"/>
  <c r="K56" i="8" s="1"/>
  <c r="G15" i="8"/>
  <c r="E20" i="15" l="1"/>
  <c r="O20" i="15" l="1"/>
  <c r="O104" i="15" s="1"/>
  <c r="O106" i="15" s="1"/>
  <c r="O108" i="15" s="1"/>
  <c r="H20" i="15"/>
  <c r="P20" i="15"/>
  <c r="P104" i="15" s="1"/>
  <c r="P106" i="15" s="1"/>
  <c r="P108" i="15" s="1"/>
  <c r="I20" i="15"/>
  <c r="Q20" i="15"/>
  <c r="Q104" i="15" s="1"/>
  <c r="Q106" i="15" s="1"/>
  <c r="Q108" i="15" s="1"/>
  <c r="K20" i="15"/>
  <c r="K104" i="15" s="1"/>
  <c r="K106" i="15" s="1"/>
  <c r="K108" i="15" s="1"/>
  <c r="S20" i="15"/>
  <c r="S104" i="15" s="1"/>
  <c r="S106" i="15" s="1"/>
  <c r="S108" i="15" s="1"/>
  <c r="L20" i="15"/>
  <c r="L104" i="15" s="1"/>
  <c r="L106" i="15" s="1"/>
  <c r="L108" i="15" s="1"/>
  <c r="T20" i="15"/>
  <c r="J20" i="15"/>
  <c r="J104" i="15" s="1"/>
  <c r="J106" i="15" s="1"/>
  <c r="J108" i="15" s="1"/>
  <c r="M20" i="15"/>
  <c r="M104" i="15" s="1"/>
  <c r="M106" i="15" s="1"/>
  <c r="M108" i="15" s="1"/>
  <c r="R20" i="15"/>
  <c r="R104" i="15" s="1"/>
  <c r="R106" i="15" s="1"/>
  <c r="R108" i="15" s="1"/>
  <c r="N20" i="15"/>
  <c r="N104" i="15" s="1"/>
  <c r="N106" i="15" s="1"/>
  <c r="N108" i="15" s="1"/>
  <c r="U20" i="15" l="1"/>
  <c r="H15" i="8"/>
  <c r="I104" i="15"/>
  <c r="I106" i="15" s="1"/>
  <c r="I108" i="15" s="1"/>
  <c r="T100" i="15"/>
  <c r="U100" i="15" l="1"/>
  <c r="H94" i="8"/>
  <c r="I94" i="8" s="1"/>
  <c r="K94" i="8" s="1"/>
  <c r="I15" i="8"/>
  <c r="K15" i="8" s="1"/>
  <c r="T104" i="15"/>
  <c r="T106" i="15" s="1"/>
  <c r="T108" i="15" s="1"/>
  <c r="N99" i="32"/>
  <c r="O74" i="32"/>
  <c r="O99" i="32" s="1"/>
  <c r="H98" i="8" l="1"/>
  <c r="H100" i="8" s="1"/>
  <c r="F73" i="8"/>
  <c r="F98" i="8" s="1"/>
  <c r="F100" i="8" s="1"/>
  <c r="G73" i="8" l="1"/>
  <c r="G98" i="8" s="1"/>
  <c r="G100" i="8" s="1"/>
  <c r="G103" i="8" s="1"/>
  <c r="I73" i="8" l="1"/>
  <c r="K73" i="8" s="1"/>
  <c r="K98" i="8" s="1"/>
  <c r="K100" i="8" s="1"/>
  <c r="E79" i="15"/>
  <c r="H79" i="15" s="1"/>
  <c r="H104" i="15" s="1"/>
  <c r="E104" i="15"/>
  <c r="E106" i="15" s="1"/>
  <c r="E108" i="15" s="1"/>
  <c r="U79" i="15" l="1"/>
  <c r="U104" i="15" s="1"/>
  <c r="U106" i="15" s="1"/>
  <c r="I98" i="8"/>
  <c r="I100" i="8" s="1"/>
  <c r="E6" i="1"/>
  <c r="H106" i="15"/>
  <c r="H108" i="15" s="1"/>
  <c r="U3" i="1" l="1"/>
  <c r="V3" i="1" s="1"/>
  <c r="U5" i="1"/>
  <c r="V5" i="1" s="1"/>
  <c r="U4" i="1"/>
  <c r="V4" i="1" s="1"/>
  <c r="U6" i="1"/>
  <c r="V6" i="1" s="1"/>
  <c r="AJ28" i="1" l="1"/>
  <c r="W4" i="1"/>
  <c r="X4" i="1" s="1"/>
  <c r="Y4" i="1" s="1"/>
  <c r="AA4" i="1" s="1"/>
  <c r="AB4" i="1" s="1"/>
  <c r="AC4" i="1" s="1"/>
  <c r="E8" i="1"/>
  <c r="E10" i="1" s="1"/>
  <c r="W3" i="1"/>
  <c r="X3" i="1" s="1"/>
  <c r="Y3" i="1" s="1"/>
  <c r="AA3" i="1" s="1"/>
  <c r="AB3" i="1" s="1"/>
  <c r="AC3" i="1" s="1"/>
  <c r="AJ27" i="1"/>
  <c r="W6" i="1"/>
  <c r="X6" i="1" s="1"/>
  <c r="Y6" i="1" s="1"/>
  <c r="AA6" i="1" s="1"/>
  <c r="AB6" i="1" s="1"/>
  <c r="AC6" i="1" s="1"/>
  <c r="AJ30" i="1"/>
  <c r="AJ29" i="1"/>
  <c r="W5" i="1"/>
  <c r="X5" i="1" s="1"/>
  <c r="Y5" i="1" s="1"/>
  <c r="AA5" i="1" s="1"/>
  <c r="AB5" i="1" s="1"/>
  <c r="AC5" i="1" s="1"/>
  <c r="AF5" i="1" l="1"/>
  <c r="AJ20" i="1" s="1"/>
  <c r="AD5" i="1"/>
  <c r="AF6" i="1"/>
  <c r="AJ21" i="1" s="1"/>
  <c r="AD6" i="1"/>
  <c r="AF3" i="1"/>
  <c r="AJ18" i="1" s="1"/>
  <c r="AD3" i="1"/>
  <c r="AF4" i="1"/>
  <c r="AJ19" i="1" s="1"/>
  <c r="AD4" i="1"/>
  <c r="V10" i="1" l="1"/>
  <c r="AJ37" i="1"/>
  <c r="AE4" i="1"/>
  <c r="AJ13" i="1" s="1"/>
  <c r="AJ36" i="1"/>
  <c r="AE3" i="1"/>
  <c r="AJ12" i="1" s="1"/>
  <c r="V9" i="1"/>
  <c r="V12" i="1"/>
  <c r="AE6" i="1"/>
  <c r="AJ15" i="1" s="1"/>
  <c r="AJ39" i="1"/>
  <c r="AE5" i="1"/>
  <c r="AJ14" i="1" s="1"/>
  <c r="V11" i="1"/>
  <c r="AJ38" i="1"/>
  <c r="W10" i="1" l="1"/>
  <c r="X10" i="1" s="1"/>
  <c r="Y10" i="1" s="1"/>
  <c r="AA10" i="1" s="1"/>
  <c r="AB10" i="1" s="1"/>
  <c r="AC10" i="1" s="1"/>
  <c r="AK28" i="1"/>
  <c r="AK30" i="1"/>
  <c r="W12" i="1"/>
  <c r="X12" i="1" s="1"/>
  <c r="Y12" i="1" s="1"/>
  <c r="AA12" i="1" s="1"/>
  <c r="AB12" i="1" s="1"/>
  <c r="AC12" i="1" s="1"/>
  <c r="AK27" i="1"/>
  <c r="W9" i="1"/>
  <c r="X9" i="1" s="1"/>
  <c r="Y9" i="1" s="1"/>
  <c r="AA9" i="1" s="1"/>
  <c r="AB9" i="1" s="1"/>
  <c r="AC9" i="1" s="1"/>
  <c r="AK29" i="1"/>
  <c r="W11" i="1"/>
  <c r="X11" i="1" s="1"/>
  <c r="Y11" i="1" s="1"/>
  <c r="AA11" i="1" s="1"/>
  <c r="AB11" i="1" s="1"/>
  <c r="AC11" i="1" s="1"/>
  <c r="AJ35" i="1"/>
  <c r="AJ26" i="1"/>
  <c r="AJ17" i="1"/>
  <c r="AF10" i="1" l="1"/>
  <c r="AK19" i="1" s="1"/>
  <c r="AD10" i="1"/>
  <c r="AF9" i="1"/>
  <c r="AK18" i="1" s="1"/>
  <c r="AD9" i="1"/>
  <c r="AF11" i="1"/>
  <c r="AK20" i="1" s="1"/>
  <c r="AD11" i="1"/>
  <c r="AF12" i="1"/>
  <c r="AK21" i="1" s="1"/>
  <c r="AD12" i="1"/>
  <c r="AE11" i="1" l="1"/>
  <c r="AK14" i="1" s="1"/>
  <c r="AK38" i="1"/>
  <c r="V17" i="1"/>
  <c r="AK36" i="1"/>
  <c r="AE9" i="1"/>
  <c r="AK12" i="1" s="1"/>
  <c r="V15" i="1"/>
  <c r="AK39" i="1"/>
  <c r="AE12" i="1"/>
  <c r="AK15" i="1" s="1"/>
  <c r="V18" i="1"/>
  <c r="AE10" i="1"/>
  <c r="AK13" i="1" s="1"/>
  <c r="V16" i="1"/>
  <c r="AK37" i="1"/>
  <c r="AL30" i="1" l="1"/>
  <c r="W18" i="1"/>
  <c r="X18" i="1" s="1"/>
  <c r="Y18" i="1" s="1"/>
  <c r="AA18" i="1" s="1"/>
  <c r="AB18" i="1" s="1"/>
  <c r="AC18" i="1" s="1"/>
  <c r="AL28" i="1"/>
  <c r="W16" i="1"/>
  <c r="X16" i="1" s="1"/>
  <c r="Y16" i="1" s="1"/>
  <c r="AA16" i="1" s="1"/>
  <c r="AB16" i="1" s="1"/>
  <c r="AC16" i="1" s="1"/>
  <c r="AL29" i="1"/>
  <c r="W17" i="1"/>
  <c r="X17" i="1" s="1"/>
  <c r="Y17" i="1" s="1"/>
  <c r="AA17" i="1" s="1"/>
  <c r="AB17" i="1" s="1"/>
  <c r="AC17" i="1" s="1"/>
  <c r="AL27" i="1"/>
  <c r="W15" i="1"/>
  <c r="X15" i="1" s="1"/>
  <c r="Y15" i="1" s="1"/>
  <c r="AA15" i="1" s="1"/>
  <c r="AB15" i="1" s="1"/>
  <c r="AC15" i="1" s="1"/>
  <c r="AK17" i="1"/>
  <c r="AK26" i="1"/>
  <c r="AK35" i="1"/>
  <c r="AF15" i="1" l="1"/>
  <c r="AL18" i="1" s="1"/>
  <c r="AD15" i="1"/>
  <c r="AF17" i="1"/>
  <c r="AL20" i="1" s="1"/>
  <c r="AD17" i="1"/>
  <c r="AF16" i="1"/>
  <c r="AL19" i="1" s="1"/>
  <c r="AD16" i="1"/>
  <c r="AF18" i="1"/>
  <c r="AL21" i="1" s="1"/>
  <c r="AD18" i="1"/>
  <c r="AE16" i="1" l="1"/>
  <c r="AL13" i="1" s="1"/>
  <c r="V22" i="1"/>
  <c r="AL37" i="1"/>
  <c r="AL39" i="1"/>
  <c r="AE18" i="1"/>
  <c r="AL15" i="1" s="1"/>
  <c r="V24" i="1"/>
  <c r="V23" i="1"/>
  <c r="AL38" i="1"/>
  <c r="AE17" i="1"/>
  <c r="AL14" i="1" s="1"/>
  <c r="V21" i="1"/>
  <c r="AE15" i="1"/>
  <c r="AL12" i="1" s="1"/>
  <c r="AL36" i="1"/>
  <c r="AL26" i="1" l="1"/>
  <c r="AL17" i="1"/>
  <c r="AL35" i="1"/>
  <c r="AM29" i="1"/>
  <c r="W23" i="1"/>
  <c r="X23" i="1" s="1"/>
  <c r="Y23" i="1" s="1"/>
  <c r="AA23" i="1" s="1"/>
  <c r="AB23" i="1" s="1"/>
  <c r="AC23" i="1" s="1"/>
  <c r="AM30" i="1"/>
  <c r="W24" i="1"/>
  <c r="X24" i="1" s="1"/>
  <c r="Y24" i="1" s="1"/>
  <c r="AA24" i="1" s="1"/>
  <c r="AB24" i="1" s="1"/>
  <c r="AC24" i="1" s="1"/>
  <c r="AM27" i="1"/>
  <c r="W21" i="1"/>
  <c r="X21" i="1" s="1"/>
  <c r="Y21" i="1" s="1"/>
  <c r="AA21" i="1" s="1"/>
  <c r="AB21" i="1" s="1"/>
  <c r="AC21" i="1" s="1"/>
  <c r="AM28" i="1"/>
  <c r="W22" i="1"/>
  <c r="X22" i="1" s="1"/>
  <c r="Y22" i="1" s="1"/>
  <c r="AA22" i="1" s="1"/>
  <c r="AB22" i="1" s="1"/>
  <c r="AC22" i="1" s="1"/>
  <c r="AF21" i="1" l="1"/>
  <c r="AM18" i="1" s="1"/>
  <c r="AD21" i="1"/>
  <c r="AF23" i="1"/>
  <c r="AM20" i="1" s="1"/>
  <c r="AD23" i="1"/>
  <c r="AF24" i="1"/>
  <c r="AM21" i="1" s="1"/>
  <c r="AD24" i="1"/>
  <c r="AF22" i="1"/>
  <c r="AM19" i="1" s="1"/>
  <c r="AD22" i="1"/>
  <c r="AE21" i="1" l="1"/>
  <c r="AM12" i="1" s="1"/>
  <c r="V27" i="1"/>
  <c r="AM36" i="1"/>
  <c r="AM37" i="1"/>
  <c r="AE22" i="1"/>
  <c r="AM13" i="1" s="1"/>
  <c r="V28" i="1"/>
  <c r="V30" i="1"/>
  <c r="AM39" i="1"/>
  <c r="AE24" i="1"/>
  <c r="AM15" i="1" s="1"/>
  <c r="AM38" i="1"/>
  <c r="AE23" i="1"/>
  <c r="AM14" i="1" s="1"/>
  <c r="V29" i="1"/>
  <c r="AN30" i="1" l="1"/>
  <c r="W30" i="1"/>
  <c r="X30" i="1" s="1"/>
  <c r="Y30" i="1" s="1"/>
  <c r="AA30" i="1" s="1"/>
  <c r="AB30" i="1" s="1"/>
  <c r="AC30" i="1" s="1"/>
  <c r="AN29" i="1"/>
  <c r="W29" i="1"/>
  <c r="X29" i="1" s="1"/>
  <c r="Y29" i="1" s="1"/>
  <c r="AA29" i="1" s="1"/>
  <c r="AB29" i="1" s="1"/>
  <c r="AC29" i="1" s="1"/>
  <c r="AM26" i="1"/>
  <c r="AM17" i="1"/>
  <c r="AM35" i="1"/>
  <c r="AN28" i="1"/>
  <c r="W28" i="1"/>
  <c r="X28" i="1" s="1"/>
  <c r="Y28" i="1" s="1"/>
  <c r="AA28" i="1" s="1"/>
  <c r="AB28" i="1" s="1"/>
  <c r="AC28" i="1" s="1"/>
  <c r="W27" i="1"/>
  <c r="X27" i="1" s="1"/>
  <c r="Y27" i="1" s="1"/>
  <c r="AA27" i="1" s="1"/>
  <c r="AB27" i="1" s="1"/>
  <c r="AC27" i="1" s="1"/>
  <c r="AN27" i="1"/>
  <c r="AF29" i="1" l="1"/>
  <c r="AN20" i="1" s="1"/>
  <c r="AD29" i="1"/>
  <c r="AF27" i="1"/>
  <c r="AN18" i="1" s="1"/>
  <c r="AD27" i="1"/>
  <c r="AF30" i="1"/>
  <c r="AN21" i="1" s="1"/>
  <c r="AD30" i="1"/>
  <c r="AF28" i="1"/>
  <c r="AN19" i="1" s="1"/>
  <c r="AD28" i="1"/>
  <c r="AN36" i="1" l="1"/>
  <c r="V33" i="1"/>
  <c r="AE27" i="1"/>
  <c r="AN12" i="1" s="1"/>
  <c r="AN37" i="1"/>
  <c r="AE28" i="1"/>
  <c r="AN13" i="1" s="1"/>
  <c r="V34" i="1"/>
  <c r="AN38" i="1"/>
  <c r="AE29" i="1"/>
  <c r="AN14" i="1" s="1"/>
  <c r="V35" i="1"/>
  <c r="V36" i="1"/>
  <c r="AE30" i="1"/>
  <c r="AN15" i="1" s="1"/>
  <c r="AN39" i="1"/>
  <c r="AN26" i="1" l="1"/>
  <c r="AN17" i="1"/>
  <c r="AN35" i="1"/>
  <c r="W34" i="1"/>
  <c r="X34" i="1" s="1"/>
  <c r="Y34" i="1" s="1"/>
  <c r="AA34" i="1" s="1"/>
  <c r="AB34" i="1" s="1"/>
  <c r="AC34" i="1" s="1"/>
  <c r="AO28" i="1"/>
  <c r="W36" i="1"/>
  <c r="X36" i="1" s="1"/>
  <c r="Y36" i="1" s="1"/>
  <c r="AA36" i="1" s="1"/>
  <c r="AB36" i="1" s="1"/>
  <c r="AC36" i="1" s="1"/>
  <c r="AO30" i="1"/>
  <c r="AO27" i="1"/>
  <c r="W33" i="1"/>
  <c r="X33" i="1" s="1"/>
  <c r="Y33" i="1" s="1"/>
  <c r="AA33" i="1" s="1"/>
  <c r="AB33" i="1" s="1"/>
  <c r="AC33" i="1" s="1"/>
  <c r="W35" i="1"/>
  <c r="X35" i="1" s="1"/>
  <c r="Y35" i="1" s="1"/>
  <c r="AA35" i="1" s="1"/>
  <c r="AB35" i="1" s="1"/>
  <c r="AC35" i="1" s="1"/>
  <c r="AO29" i="1"/>
  <c r="AF36" i="1" l="1"/>
  <c r="AO21" i="1" s="1"/>
  <c r="AD36" i="1"/>
  <c r="AF34" i="1"/>
  <c r="AO19" i="1" s="1"/>
  <c r="AD34" i="1"/>
  <c r="AF35" i="1"/>
  <c r="AO20" i="1" s="1"/>
  <c r="AD35" i="1"/>
  <c r="AF33" i="1"/>
  <c r="AO18" i="1" s="1"/>
  <c r="AD33" i="1"/>
  <c r="V39" i="1" l="1"/>
  <c r="AO36" i="1"/>
  <c r="AE33" i="1"/>
  <c r="AO12" i="1" s="1"/>
  <c r="AO37" i="1"/>
  <c r="AE34" i="1"/>
  <c r="AO13" i="1" s="1"/>
  <c r="V40" i="1"/>
  <c r="V41" i="1"/>
  <c r="AE35" i="1"/>
  <c r="AO14" i="1" s="1"/>
  <c r="AO38" i="1"/>
  <c r="V42" i="1"/>
  <c r="AO39" i="1"/>
  <c r="AE36" i="1"/>
  <c r="AO15" i="1" s="1"/>
  <c r="AO26" i="1" l="1"/>
  <c r="AO17" i="1"/>
  <c r="AO35" i="1"/>
  <c r="AP29" i="1"/>
  <c r="W41" i="1"/>
  <c r="X41" i="1" s="1"/>
  <c r="Y41" i="1" s="1"/>
  <c r="AA41" i="1" s="1"/>
  <c r="AB41" i="1" s="1"/>
  <c r="AC41" i="1" s="1"/>
  <c r="AP28" i="1"/>
  <c r="W40" i="1"/>
  <c r="X40" i="1" s="1"/>
  <c r="Y40" i="1" s="1"/>
  <c r="AA40" i="1" s="1"/>
  <c r="AB40" i="1" s="1"/>
  <c r="AC40" i="1" s="1"/>
  <c r="W42" i="1"/>
  <c r="X42" i="1" s="1"/>
  <c r="Y42" i="1" s="1"/>
  <c r="AA42" i="1" s="1"/>
  <c r="AB42" i="1" s="1"/>
  <c r="AC42" i="1" s="1"/>
  <c r="AP30" i="1"/>
  <c r="AP27" i="1"/>
  <c r="W39" i="1"/>
  <c r="X39" i="1" s="1"/>
  <c r="Y39" i="1" s="1"/>
  <c r="AA39" i="1" s="1"/>
  <c r="AB39" i="1" s="1"/>
  <c r="AC39" i="1" s="1"/>
  <c r="AF42" i="1" l="1"/>
  <c r="AP21" i="1" s="1"/>
  <c r="AD42" i="1"/>
  <c r="AF41" i="1"/>
  <c r="AP20" i="1" s="1"/>
  <c r="AD41" i="1"/>
  <c r="AF40" i="1"/>
  <c r="AP19" i="1" s="1"/>
  <c r="AD40" i="1"/>
  <c r="AF39" i="1"/>
  <c r="AP18" i="1" s="1"/>
  <c r="AD39" i="1"/>
  <c r="AE42" i="1" l="1"/>
  <c r="AP15" i="1" s="1"/>
  <c r="V48" i="1"/>
  <c r="AP39" i="1"/>
  <c r="AE39" i="1"/>
  <c r="AP12" i="1" s="1"/>
  <c r="AP36" i="1"/>
  <c r="V45" i="1"/>
  <c r="V46" i="1"/>
  <c r="AP37" i="1"/>
  <c r="AE40" i="1"/>
  <c r="AP13" i="1" s="1"/>
  <c r="AP38" i="1"/>
  <c r="V47" i="1"/>
  <c r="AE41" i="1"/>
  <c r="AP14" i="1" s="1"/>
  <c r="W46" i="1" l="1"/>
  <c r="X46" i="1" s="1"/>
  <c r="Y46" i="1" s="1"/>
  <c r="AA46" i="1" s="1"/>
  <c r="AB46" i="1" s="1"/>
  <c r="AC46" i="1" s="1"/>
  <c r="AQ28" i="1"/>
  <c r="W45" i="1"/>
  <c r="X45" i="1" s="1"/>
  <c r="Y45" i="1" s="1"/>
  <c r="AA45" i="1" s="1"/>
  <c r="AB45" i="1" s="1"/>
  <c r="AC45" i="1" s="1"/>
  <c r="AQ27" i="1"/>
  <c r="AQ30" i="1"/>
  <c r="W48" i="1"/>
  <c r="X48" i="1" s="1"/>
  <c r="Y48" i="1" s="1"/>
  <c r="AA48" i="1" s="1"/>
  <c r="AB48" i="1" s="1"/>
  <c r="AC48" i="1" s="1"/>
  <c r="AP35" i="1"/>
  <c r="AP26" i="1"/>
  <c r="AP17" i="1"/>
  <c r="W47" i="1"/>
  <c r="X47" i="1" s="1"/>
  <c r="Y47" i="1" s="1"/>
  <c r="AA47" i="1" s="1"/>
  <c r="AB47" i="1" s="1"/>
  <c r="AC47" i="1" s="1"/>
  <c r="AQ29" i="1"/>
  <c r="AF46" i="1" l="1"/>
  <c r="AQ19" i="1" s="1"/>
  <c r="AD46" i="1"/>
  <c r="AF48" i="1"/>
  <c r="AQ21" i="1" s="1"/>
  <c r="AD48" i="1"/>
  <c r="AF45" i="1"/>
  <c r="AQ18" i="1" s="1"/>
  <c r="AD45" i="1"/>
  <c r="AF47" i="1"/>
  <c r="AQ20" i="1" s="1"/>
  <c r="AD47" i="1"/>
  <c r="AQ37" i="1" l="1"/>
  <c r="V52" i="1"/>
  <c r="AE46" i="1"/>
  <c r="AQ13" i="1" s="1"/>
  <c r="V53" i="1"/>
  <c r="AQ38" i="1"/>
  <c r="AE47" i="1"/>
  <c r="AQ14" i="1" s="1"/>
  <c r="AE45" i="1"/>
  <c r="AQ12" i="1" s="1"/>
  <c r="V51" i="1"/>
  <c r="AQ36" i="1"/>
  <c r="AE48" i="1"/>
  <c r="AQ15" i="1" s="1"/>
  <c r="AQ39" i="1"/>
  <c r="V54" i="1"/>
  <c r="AR27" i="1" l="1"/>
  <c r="W51" i="1"/>
  <c r="X51" i="1" s="1"/>
  <c r="Y51" i="1" s="1"/>
  <c r="AA51" i="1" s="1"/>
  <c r="AB51" i="1" s="1"/>
  <c r="AC51" i="1" s="1"/>
  <c r="AQ26" i="1"/>
  <c r="AQ35" i="1"/>
  <c r="AQ17" i="1"/>
  <c r="W54" i="1"/>
  <c r="X54" i="1" s="1"/>
  <c r="Y54" i="1" s="1"/>
  <c r="AA54" i="1" s="1"/>
  <c r="AB54" i="1" s="1"/>
  <c r="AC54" i="1" s="1"/>
  <c r="AR30" i="1"/>
  <c r="AR29" i="1"/>
  <c r="W53" i="1"/>
  <c r="X53" i="1" s="1"/>
  <c r="Y53" i="1" s="1"/>
  <c r="AA53" i="1" s="1"/>
  <c r="AB53" i="1" s="1"/>
  <c r="AC53" i="1" s="1"/>
  <c r="AR28" i="1"/>
  <c r="W52" i="1"/>
  <c r="X52" i="1" s="1"/>
  <c r="Y52" i="1" s="1"/>
  <c r="AA52" i="1" s="1"/>
  <c r="AB52" i="1" s="1"/>
  <c r="AC52" i="1" s="1"/>
  <c r="AF53" i="1" l="1"/>
  <c r="AR20" i="1" s="1"/>
  <c r="AD53" i="1"/>
  <c r="E9" i="1"/>
  <c r="AJ33" i="1"/>
  <c r="AF54" i="1"/>
  <c r="AR21" i="1" s="1"/>
  <c r="AD54" i="1"/>
  <c r="AF52" i="1"/>
  <c r="AR19" i="1" s="1"/>
  <c r="AD52" i="1"/>
  <c r="AF51" i="1"/>
  <c r="AR18" i="1" s="1"/>
  <c r="AD51" i="1"/>
  <c r="AR37" i="1" l="1"/>
  <c r="AE52" i="1"/>
  <c r="AR13" i="1" s="1"/>
  <c r="AE54" i="1"/>
  <c r="AR15" i="1" s="1"/>
  <c r="AR39" i="1"/>
  <c r="AJ42" i="1" s="1"/>
  <c r="H13" i="1"/>
  <c r="AJ24" i="1"/>
  <c r="AR36" i="1"/>
  <c r="AE51" i="1"/>
  <c r="AR12" i="1" s="1"/>
  <c r="AR38" i="1"/>
  <c r="AE53" i="1"/>
  <c r="AR14" i="1" s="1"/>
  <c r="H23" i="1" l="1"/>
  <c r="E4" i="1" s="1"/>
  <c r="E3" i="1" s="1"/>
  <c r="AR35" i="1"/>
  <c r="AR17" i="1"/>
  <c r="AR26" i="1"/>
</calcChain>
</file>

<file path=xl/comments1.xml><?xml version="1.0" encoding="utf-8"?>
<comments xmlns="http://schemas.openxmlformats.org/spreadsheetml/2006/main">
  <authors>
    <author>Weldon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In February 2016 Company changed advance billing methods to be in compliance with tariff </t>
        </r>
      </text>
    </comment>
    <comment ref="E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Regulatory Depreciaiton Schedule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Lobby Expense Tab
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Remove 15% of WRRA dues for lobby cost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Remove stockholder life insurnace premium cost
</t>
        </r>
      </text>
    </comment>
    <comment ref="G81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Remove 15% of WRRA Dues for Lobby
</t>
        </r>
      </text>
    </comment>
  </commentList>
</comments>
</file>

<file path=xl/comments2.xml><?xml version="1.0" encoding="utf-8"?>
<comments xmlns="http://schemas.openxmlformats.org/spreadsheetml/2006/main">
  <authors>
    <author>Weldon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UTC Disposal Fee Case Docket TG-161280</t>
        </r>
      </text>
    </comment>
    <comment ref="D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UTC Disposal Fee Case Docket TG-161280</t>
        </r>
      </text>
    </comment>
    <comment ref="E3" authorId="0">
      <text>
        <r>
          <rPr>
            <b/>
            <sz val="9"/>
            <color indexed="81"/>
            <rFont val="Tahoma"/>
            <charset val="1"/>
          </rPr>
          <t>Weldon:</t>
        </r>
        <r>
          <rPr>
            <sz val="9"/>
            <color indexed="81"/>
            <rFont val="Tahoma"/>
            <charset val="1"/>
          </rPr>
          <t xml:space="preserve">
See Labor Pro Forma Tab
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Rate Case Expense Tab
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Rate Case Expense Tab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Medical Insurance Tab which is a summary of company general ledger
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L&amp;I Cost increase tab which is a summary of company general ledger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Disposal cost increase tab
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new hire salary adjustment tab
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General Insurance Tab</t>
        </r>
      </text>
    </comment>
    <comment ref="M3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See 401K contribution tab</t>
        </r>
      </text>
    </comment>
    <comment ref="D16" authorId="0">
      <text>
        <r>
          <rPr>
            <b/>
            <sz val="9"/>
            <color indexed="81"/>
            <rFont val="Tahoma"/>
            <family val="2"/>
          </rPr>
          <t>Weldon:</t>
        </r>
        <r>
          <rPr>
            <sz val="9"/>
            <color indexed="81"/>
            <rFont val="Tahoma"/>
            <family val="2"/>
          </rPr>
          <t xml:space="preserve">
Disposal Fee tonnage increase residental 13,992 tons &amp; drop box tonnage 20,577 @ $7.21 per ton</t>
        </r>
      </text>
    </comment>
  </commentList>
</comments>
</file>

<file path=xl/comments3.xml><?xml version="1.0" encoding="utf-8"?>
<comments xmlns="http://schemas.openxmlformats.org/spreadsheetml/2006/main">
  <authors>
    <author>Chris Bell</author>
  </authors>
  <commentList>
    <comment ref="A32" authorId="0">
      <text>
        <r>
          <rPr>
            <b/>
            <sz val="9"/>
            <color indexed="81"/>
            <rFont val="Tahoma"/>
            <family val="2"/>
          </rPr>
          <t>Chris Bell:</t>
        </r>
        <r>
          <rPr>
            <sz val="9"/>
            <color indexed="81"/>
            <rFont val="Tahoma"/>
            <family val="2"/>
          </rPr>
          <t xml:space="preserve">
Net of Fuel Revenue (acct 3500) and cost of the fuel (acct 4300-320-000)</t>
        </r>
      </text>
    </comment>
  </commentList>
</comments>
</file>

<file path=xl/comments4.xml><?xml version="1.0" encoding="utf-8"?>
<comments xmlns="http://schemas.openxmlformats.org/spreadsheetml/2006/main">
  <authors>
    <author>Lin Chen</author>
  </authors>
  <commentList>
    <comment ref="C74" authorId="0">
      <text>
        <r>
          <rPr>
            <b/>
            <sz val="9"/>
            <color indexed="81"/>
            <rFont val="Tahoma"/>
            <family val="2"/>
          </rPr>
          <t>Lin Chen:</t>
        </r>
        <r>
          <rPr>
            <sz val="9"/>
            <color indexed="81"/>
            <rFont val="Tahoma"/>
            <family val="2"/>
          </rPr>
          <t xml:space="preserve">
Disposition and transfer
</t>
        </r>
      </text>
    </comment>
  </commentList>
</comments>
</file>

<file path=xl/connections.xml><?xml version="1.0" encoding="utf-8"?>
<connections xmlns="http://schemas.openxmlformats.org/spreadsheetml/2006/main">
  <connection id="1" name="Query from BDI PBS" type="1" refreshedVersion="5" background="1" saveData="1">
    <dbPr connection="DRIVER=SQL Server;SERVER=SQL\PBS;UID=johnf;Trusted_Connection=Yes;APP=2007 Microsoft Office system;WSID=SPARE1-PASCO-PC;DATABASE=pbsdata05" command="SELECT TRXFIL05.fiscal_yr, TRXFIL05.chrt_acct_pc1, TRXFIL05.chrt_acct_pc2, TRXFIL05.chrt_acct_main, TRXFIL05.chrt_acct_sub, TRXFIL05.trx_dat, TRXFIL05.seq_no, TRXFIL05.trx_amt, TRXFIL05.trx_source, TRXFIL05.ref, TRXFIL05.doc_no, TRXFIL05.jrnl_no, TRXFIL05.date_posted, TRXFIL05.usr_id_x000d__x000a_FROM pbsdata05.dbo.TRXFIL05 TRXFIL05_x000d__x000a_WHERE (TRXFIL05.chrt_acct_main='60000000') AND (TRXFIL05.chrt_acct_sub='54000000') AND (TRXFIL05.trx_dat&gt;{ts '2013-01-01 00:00:00'})"/>
  </connection>
</connections>
</file>

<file path=xl/sharedStrings.xml><?xml version="1.0" encoding="utf-8"?>
<sst xmlns="http://schemas.openxmlformats.org/spreadsheetml/2006/main" count="57016" uniqueCount="3286">
  <si>
    <t>NEW IMPROVED LURITO - GALLAGHER FORMULA</t>
  </si>
  <si>
    <t>!??!</t>
  </si>
  <si>
    <t>OP/RATIO</t>
  </si>
  <si>
    <t xml:space="preserve">      curve</t>
  </si>
  <si>
    <t>FORMULAS</t>
  </si>
  <si>
    <t>1st Revenue</t>
  </si>
  <si>
    <t>1st Turnover</t>
  </si>
  <si>
    <t>M</t>
  </si>
  <si>
    <t>ROR</t>
  </si>
  <si>
    <t>ROE</t>
  </si>
  <si>
    <t>Adj ROE</t>
  </si>
  <si>
    <t>Pre Tax ROE</t>
  </si>
  <si>
    <t>Adj M</t>
  </si>
  <si>
    <t>Revenues</t>
  </si>
  <si>
    <t>Decision</t>
  </si>
  <si>
    <t xml:space="preserve">     lookup table</t>
  </si>
  <si>
    <t>!!!</t>
  </si>
  <si>
    <t>Revenue Requirement</t>
  </si>
  <si>
    <t>!!!&lt;--</t>
  </si>
  <si>
    <t xml:space="preserve"> 1. less than 50</t>
  </si>
  <si>
    <t>@EXP(5.72260-(.68367*@LN(T)))</t>
  </si>
  <si>
    <t>Revenue Deficiency</t>
  </si>
  <si>
    <t xml:space="preserve"> 2. Between 50 and 125</t>
  </si>
  <si>
    <t>@EXP(5.70827-(.68367*@LN(T)))</t>
  </si>
  <si>
    <t>*</t>
  </si>
  <si>
    <t>Revenue</t>
  </si>
  <si>
    <t>input&gt;</t>
  </si>
  <si>
    <t>* p/f before rates</t>
  </si>
  <si>
    <t xml:space="preserve"> 3. Between 125 and 140</t>
  </si>
  <si>
    <t>@EXP(5.69850-(.68367*@LN(T)))</t>
  </si>
  <si>
    <t>Expenses</t>
  </si>
  <si>
    <t xml:space="preserve"> 4. greater than 400</t>
  </si>
  <si>
    <t>@EXP(5.69220-(.68367*@LN(T)))</t>
  </si>
  <si>
    <t>Avg. Investment  -</t>
  </si>
  <si>
    <t>curve turnover</t>
  </si>
  <si>
    <t>(calculated)</t>
  </si>
  <si>
    <t>2nd Turnover</t>
  </si>
  <si>
    <t xml:space="preserve">     lookup tables</t>
  </si>
  <si>
    <t>final turnover</t>
  </si>
  <si>
    <t>curve No. used</t>
  </si>
  <si>
    <t xml:space="preserve">Company actual </t>
  </si>
  <si>
    <t>capital structure:</t>
  </si>
  <si>
    <t>OPERATING RATIO -&gt;</t>
  </si>
  <si>
    <t>-</t>
  </si>
  <si>
    <t>=</t>
  </si>
  <si>
    <t>3rd Turnover</t>
  </si>
  <si>
    <t xml:space="preserve">Actual Debt Ratio </t>
  </si>
  <si>
    <t xml:space="preserve"> Conversion factor data:</t>
  </si>
  <si>
    <t>Actual Equity Ratio</t>
  </si>
  <si>
    <t xml:space="preserve"> B &amp; O Tax</t>
  </si>
  <si>
    <t>Actual Cost of Debt</t>
  </si>
  <si>
    <t xml:space="preserve"> WUTC Fee</t>
  </si>
  <si>
    <t xml:space="preserve"> City Tax</t>
  </si>
  <si>
    <t>Tax Rate</t>
  </si>
  <si>
    <t xml:space="preserve"> Bad Debts</t>
  </si>
  <si>
    <t>4th Turnover</t>
  </si>
  <si>
    <t>Revenue Sensitive</t>
  </si>
  <si>
    <t>Conversion Factor</t>
  </si>
  <si>
    <t>yes</t>
  </si>
  <si>
    <t>5th Turnover</t>
  </si>
  <si>
    <t>6th Turnover</t>
  </si>
  <si>
    <t>7th turnover</t>
  </si>
  <si>
    <t>8th turnover</t>
  </si>
  <si>
    <t>9th turnover</t>
  </si>
  <si>
    <t>Red numbers are input fields.</t>
  </si>
  <si>
    <t>Black are formula calculations</t>
  </si>
  <si>
    <t>NOTE:</t>
  </si>
  <si>
    <t xml:space="preserve">BASIN DISPOSAL, INC. </t>
  </si>
  <si>
    <t xml:space="preserve">INCOME STATEMENT </t>
  </si>
  <si>
    <t>Source: PBS Monthly Income Statements</t>
  </si>
  <si>
    <t>October 2015</t>
  </si>
  <si>
    <t>November 2015</t>
  </si>
  <si>
    <t>December 2016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</si>
  <si>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</si>
  <si>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</si>
  <si>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</si>
  <si>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</si>
  <si>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</si>
  <si>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</si>
  <si>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</si>
  <si>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</si>
  <si>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</si>
  <si>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Total</t>
  </si>
  <si>
    <t>Line</t>
  </si>
  <si>
    <t>2015_10</t>
  </si>
  <si>
    <t>2015_11</t>
  </si>
  <si>
    <t>2015_12</t>
  </si>
  <si>
    <t>2016_01</t>
  </si>
  <si>
    <t>2016_02</t>
  </si>
  <si>
    <t>2016_03</t>
  </si>
  <si>
    <t>2016_04</t>
  </si>
  <si>
    <t>2016_05</t>
  </si>
  <si>
    <t>2016_06</t>
  </si>
  <si>
    <t>2016_07</t>
  </si>
  <si>
    <t>2016_08</t>
  </si>
  <si>
    <t>2016_09</t>
  </si>
  <si>
    <t xml:space="preserve">Operating Revenues </t>
  </si>
  <si>
    <t xml:space="preserve">WUTC Revenue </t>
  </si>
  <si>
    <t xml:space="preserve">    Residential Sales</t>
  </si>
  <si>
    <t xml:space="preserve">    Commercial Sales</t>
  </si>
  <si>
    <t xml:space="preserve">    Industrial Sales</t>
  </si>
  <si>
    <t xml:space="preserve">    Pass Through Revenue</t>
  </si>
  <si>
    <t xml:space="preserve">    Other Revenue</t>
  </si>
  <si>
    <t>Total WUTC Revenue</t>
  </si>
  <si>
    <t xml:space="preserve">Contract Revenues </t>
  </si>
  <si>
    <t xml:space="preserve">    Pasco Revenue</t>
  </si>
  <si>
    <t xml:space="preserve">    Prosser Revenue</t>
  </si>
  <si>
    <t xml:space="preserve">    Prosser Transfer Stn</t>
  </si>
  <si>
    <t xml:space="preserve">    Connell Revenue</t>
  </si>
  <si>
    <t xml:space="preserve">    Dayton Revenue</t>
  </si>
  <si>
    <t xml:space="preserve">    Waitsburg Revenue</t>
  </si>
  <si>
    <t xml:space="preserve">    Kennewick Revenue</t>
  </si>
  <si>
    <t xml:space="preserve">    Mesa Revenue</t>
  </si>
  <si>
    <t xml:space="preserve">    Kahlotus Revenue</t>
  </si>
  <si>
    <t xml:space="preserve">    Hatton Revenue</t>
  </si>
  <si>
    <t xml:space="preserve">    Richland Revenue</t>
  </si>
  <si>
    <t xml:space="preserve">    Becthel Revenue</t>
  </si>
  <si>
    <t xml:space="preserve">    Other Contract Revenue</t>
  </si>
  <si>
    <t>Total Contract Revenue</t>
  </si>
  <si>
    <t xml:space="preserve">    Fuel Station Revenue</t>
  </si>
  <si>
    <t xml:space="preserve">    Misc. Revenue (Truck Wash)</t>
  </si>
  <si>
    <t xml:space="preserve">    Recyclables Material Revenue</t>
  </si>
  <si>
    <t>Total Other Revenues</t>
  </si>
  <si>
    <t>TOTAL OPERATING REVENUE</t>
  </si>
  <si>
    <t xml:space="preserve">Revenue Reduction </t>
  </si>
  <si>
    <t xml:space="preserve">    Disposal Fees-Transfer Stn</t>
  </si>
  <si>
    <t xml:space="preserve">    Disposal Fees-Landfill</t>
  </si>
  <si>
    <t xml:space="preserve">    Refrigerant Expense</t>
  </si>
  <si>
    <t>Revenue Reductions</t>
  </si>
  <si>
    <t>NET REVENUE</t>
  </si>
  <si>
    <t xml:space="preserve">Operating Expenses </t>
  </si>
  <si>
    <t xml:space="preserve">Driver Labor Costs </t>
  </si>
  <si>
    <t xml:space="preserve">    Wages - Salaried</t>
  </si>
  <si>
    <t xml:space="preserve">    Wages - Regular</t>
  </si>
  <si>
    <t xml:space="preserve">    Wages - Overtime</t>
  </si>
  <si>
    <t xml:space="preserve">    Wages - Vacation</t>
  </si>
  <si>
    <t xml:space="preserve">    Group Insurance</t>
  </si>
  <si>
    <t xml:space="preserve">    Employee Benefits Costs</t>
  </si>
  <si>
    <t xml:space="preserve">    Workers Comp Insurance</t>
  </si>
  <si>
    <t xml:space="preserve">    Payroll Taxes</t>
  </si>
  <si>
    <t xml:space="preserve">    Other Employee Costs</t>
  </si>
  <si>
    <t>Total Driver Labor Costs</t>
  </si>
  <si>
    <t xml:space="preserve">Roll Off Driver Costs </t>
  </si>
  <si>
    <t>Total Roll Off Driver Costs</t>
  </si>
  <si>
    <t xml:space="preserve">Fleet Equipment Costs </t>
  </si>
  <si>
    <t xml:space="preserve">    Insurance Premiums</t>
  </si>
  <si>
    <t xml:space="preserve">    Depr - Fleet Equip</t>
  </si>
  <si>
    <t xml:space="preserve">    Depr - Shop/Misc Equip</t>
  </si>
  <si>
    <t xml:space="preserve">    Rent - Maint Fac. &amp; Trucks</t>
  </si>
  <si>
    <t xml:space="preserve">    Rent - Fuel Station</t>
  </si>
  <si>
    <t xml:space="preserve">    Vehicle License &amp; Regs</t>
  </si>
  <si>
    <t>Total Fleet Equipment Costs</t>
  </si>
  <si>
    <t>Fleet Equip-Shop Labor Exp</t>
  </si>
  <si>
    <t xml:space="preserve">    Employee Benefit Costs</t>
  </si>
  <si>
    <t xml:space="preserve">    Contract Labor</t>
  </si>
  <si>
    <t>Total Fleet Equip Labor Costs</t>
  </si>
  <si>
    <t>Fleet Equipment Fixed Costs</t>
  </si>
  <si>
    <t xml:space="preserve">    Maint - Fleet Equip</t>
  </si>
  <si>
    <t xml:space="preserve">    Maint - Lubricants</t>
  </si>
  <si>
    <t xml:space="preserve">    Maint - Tires</t>
  </si>
  <si>
    <t xml:space="preserve">    Maint - Outside Repair</t>
  </si>
  <si>
    <t xml:space="preserve">    Maint - Building</t>
  </si>
  <si>
    <t xml:space="preserve">    Shop Supplies &amp; Sm Tools</t>
  </si>
  <si>
    <t xml:space="preserve">    Utilities</t>
  </si>
  <si>
    <t xml:space="preserve">    Fuel Expense</t>
  </si>
  <si>
    <t>Total Fleet Equip Maint &amp; Fuel Exp</t>
  </si>
  <si>
    <t xml:space="preserve">Container Equipment Costs </t>
  </si>
  <si>
    <t xml:space="preserve">    Rent - Carts</t>
  </si>
  <si>
    <t xml:space="preserve">    Depreciation - Containers</t>
  </si>
  <si>
    <t xml:space="preserve">    Property Taxes-Containers</t>
  </si>
  <si>
    <t>Total Container Equip Fixed Costs</t>
  </si>
  <si>
    <t>69a</t>
  </si>
  <si>
    <t>69b</t>
  </si>
  <si>
    <t>69c</t>
  </si>
  <si>
    <t>69d</t>
  </si>
  <si>
    <t xml:space="preserve">    Maint - Container Equip</t>
  </si>
  <si>
    <t>Total Container Equip Varible Cost</t>
  </si>
  <si>
    <t xml:space="preserve">Insurance Expense </t>
  </si>
  <si>
    <t xml:space="preserve">    Property &amp; Liability Ins</t>
  </si>
  <si>
    <t xml:space="preserve">    Self Insurance - Premium</t>
  </si>
  <si>
    <t xml:space="preserve">    Property Damage</t>
  </si>
  <si>
    <t>Total Insurance Expense</t>
  </si>
  <si>
    <t xml:space="preserve">Operating Tax Expense </t>
  </si>
  <si>
    <t xml:space="preserve">    Taxes - Contract Areas</t>
  </si>
  <si>
    <t xml:space="preserve">    State Exise Tax</t>
  </si>
  <si>
    <t xml:space="preserve">    WUTC Regulatory Fee Exp</t>
  </si>
  <si>
    <t xml:space="preserve">    Other Taxes &amp; Licenses</t>
  </si>
  <si>
    <t>Total Tax Expense</t>
  </si>
  <si>
    <t>COST OF OPERATIONS</t>
  </si>
  <si>
    <t>GROSS PROFIT - OPERATIONS</t>
  </si>
  <si>
    <t xml:space="preserve">General &amp; Administrative Expense </t>
  </si>
  <si>
    <t xml:space="preserve">Stockholder Salary </t>
  </si>
  <si>
    <t xml:space="preserve">    Stockholder - Salary</t>
  </si>
  <si>
    <t xml:space="preserve">    Stockholder - Vacation</t>
  </si>
  <si>
    <t xml:space="preserve">    Stockholder Benefits Costs</t>
  </si>
  <si>
    <t xml:space="preserve">    Other Stockholder Exp</t>
  </si>
  <si>
    <t>Total stockholder Compensation</t>
  </si>
  <si>
    <t xml:space="preserve">Office Salaries </t>
  </si>
  <si>
    <t xml:space="preserve">    Office - Salaries</t>
  </si>
  <si>
    <t xml:space="preserve">    Office - Vacation</t>
  </si>
  <si>
    <t>Total Office Compensation</t>
  </si>
  <si>
    <t xml:space="preserve">Other General &amp; Admin Expenses </t>
  </si>
  <si>
    <t xml:space="preserve">    Rent - Office Facility</t>
  </si>
  <si>
    <t xml:space="preserve">    Depr - Office Equip</t>
  </si>
  <si>
    <t xml:space="preserve">    Building &amp; Property Maint</t>
  </si>
  <si>
    <t xml:space="preserve">    Office Supplies &amp; Equip</t>
  </si>
  <si>
    <t xml:space="preserve">    Computer Expense</t>
  </si>
  <si>
    <t xml:space="preserve">    Telephone Internet &amp; Radio</t>
  </si>
  <si>
    <t xml:space="preserve">    Dues &amp; Subscriptions</t>
  </si>
  <si>
    <t xml:space="preserve">    Contributions</t>
  </si>
  <si>
    <t xml:space="preserve">    Bad Debts &amp; Collection Cst</t>
  </si>
  <si>
    <t xml:space="preserve">    Newsletter Expense</t>
  </si>
  <si>
    <t xml:space="preserve">    Advertising</t>
  </si>
  <si>
    <t xml:space="preserve">    Business Travel</t>
  </si>
  <si>
    <t xml:space="preserve">    Consulting &amp; Lobbying Fees</t>
  </si>
  <si>
    <t xml:space="preserve">    Law &amp; Outside Accounting</t>
  </si>
  <si>
    <t xml:space="preserve">    Legal Fees PLP Matters</t>
  </si>
  <si>
    <t xml:space="preserve">    Seminars &amp; Education</t>
  </si>
  <si>
    <t xml:space="preserve">    Misc Expense</t>
  </si>
  <si>
    <t>Total Other Gen &amp; Admin Exp</t>
  </si>
  <si>
    <t>Total General &amp; Admistrative Exp</t>
  </si>
  <si>
    <t xml:space="preserve">Other Income / (Expense) </t>
  </si>
  <si>
    <t xml:space="preserve">    Misc Revenue</t>
  </si>
  <si>
    <t xml:space="preserve">    Dump Fees Pasco Coupons</t>
  </si>
  <si>
    <t xml:space="preserve">    Gain/Loss Sale of Equip</t>
  </si>
  <si>
    <t xml:space="preserve">    Interest Income</t>
  </si>
  <si>
    <t xml:space="preserve">    Interest Expense</t>
  </si>
  <si>
    <t xml:space="preserve">    Federal Inc Tax Provisions</t>
  </si>
  <si>
    <t>Total Other Income/Exp</t>
  </si>
  <si>
    <t>NET INCOME</t>
  </si>
  <si>
    <t>Basin Disposal, Inc./Proforma Income Statement</t>
  </si>
  <si>
    <r>
      <t xml:space="preserve">Basin Disposal, Inc. </t>
    </r>
    <r>
      <rPr>
        <b/>
        <sz val="10"/>
        <color indexed="8"/>
        <rFont val="Arial"/>
        <family val="2"/>
      </rPr>
      <t>Restating Entries</t>
    </r>
  </si>
  <si>
    <r>
      <t xml:space="preserve">Basin Disposal, Inc. </t>
    </r>
    <r>
      <rPr>
        <b/>
        <sz val="10"/>
        <color indexed="8"/>
        <rFont val="Arial"/>
        <family val="2"/>
      </rPr>
      <t>Proforma entries</t>
    </r>
  </si>
  <si>
    <t>12 mo end 9/30/2016</t>
  </si>
  <si>
    <t xml:space="preserve">IS Lines or </t>
  </si>
  <si>
    <t>Per Books</t>
  </si>
  <si>
    <t>Restating</t>
  </si>
  <si>
    <t>ProForma</t>
  </si>
  <si>
    <t>Total Co. b/4</t>
  </si>
  <si>
    <t>Remove</t>
  </si>
  <si>
    <t>Regulated</t>
  </si>
  <si>
    <t>Effect of</t>
  </si>
  <si>
    <t>Proforma</t>
  </si>
  <si>
    <t>RA-1</t>
  </si>
  <si>
    <t>RA-3</t>
  </si>
  <si>
    <t>RA-4</t>
  </si>
  <si>
    <t>RA-5</t>
  </si>
  <si>
    <t>Adjustment Notes</t>
  </si>
  <si>
    <t>PA-1</t>
  </si>
  <si>
    <t>PA-2</t>
  </si>
  <si>
    <t>PA-3</t>
  </si>
  <si>
    <t>PA-4</t>
  </si>
  <si>
    <t>PA-5</t>
  </si>
  <si>
    <t>ProF Line</t>
  </si>
  <si>
    <t>Adjustments</t>
  </si>
  <si>
    <t>Adjusted</t>
  </si>
  <si>
    <t>Separations</t>
  </si>
  <si>
    <t>Non WUTC</t>
  </si>
  <si>
    <t>B/4 Rates</t>
  </si>
  <si>
    <t>Rates</t>
  </si>
  <si>
    <t>w/ Rates</t>
  </si>
  <si>
    <t>Payroll</t>
  </si>
  <si>
    <t>Notification</t>
  </si>
  <si>
    <t>Rate Case</t>
  </si>
  <si>
    <t>&amp; Related</t>
  </si>
  <si>
    <t>Expense</t>
  </si>
  <si>
    <t>WUTC - Residential</t>
  </si>
  <si>
    <t>WUTC - Commercial</t>
  </si>
  <si>
    <t>WUCT - Drop Box</t>
  </si>
  <si>
    <t>WUTC - Pass Through</t>
  </si>
  <si>
    <t xml:space="preserve">WUTC - Other </t>
  </si>
  <si>
    <t>Contact Revenue</t>
  </si>
  <si>
    <t>6 to 18</t>
  </si>
  <si>
    <t>Other Revenue</t>
  </si>
  <si>
    <t>Total Revenue</t>
  </si>
  <si>
    <t>Disposal Fees</t>
  </si>
  <si>
    <t>22 to 24</t>
  </si>
  <si>
    <t>Link to LG Curve</t>
  </si>
  <si>
    <t>Driver Wages:</t>
  </si>
  <si>
    <t>25,26,27,28,34,35,36</t>
  </si>
  <si>
    <t xml:space="preserve">  Payroll Taxes</t>
  </si>
  <si>
    <t xml:space="preserve">  Benefits</t>
  </si>
  <si>
    <t>30,38</t>
  </si>
  <si>
    <t xml:space="preserve">  Medical Expense</t>
  </si>
  <si>
    <t>29, 37</t>
  </si>
  <si>
    <t xml:space="preserve">  Other EE Costs</t>
  </si>
  <si>
    <t>33, 41</t>
  </si>
  <si>
    <t>Insurance Premiums</t>
  </si>
  <si>
    <t>Fleet Deprec</t>
  </si>
  <si>
    <t>Rent- Maint Facility</t>
  </si>
  <si>
    <t>Shop Depreciation</t>
  </si>
  <si>
    <t>Vehicle License</t>
  </si>
  <si>
    <t>Shop Wages:</t>
  </si>
  <si>
    <t>48, 49, 50, 51</t>
  </si>
  <si>
    <t>54, 55</t>
  </si>
  <si>
    <t>Maint Fleet Equip</t>
  </si>
  <si>
    <t>Maint Outside Repair</t>
  </si>
  <si>
    <t>Maint Lubricants</t>
  </si>
  <si>
    <t>Fuel</t>
  </si>
  <si>
    <t>Tires</t>
  </si>
  <si>
    <t>Shop Supplies and Small Tools</t>
  </si>
  <si>
    <t>Shop utilities</t>
  </si>
  <si>
    <t>Building Maintenance</t>
  </si>
  <si>
    <t>Container Maint. Wages</t>
  </si>
  <si>
    <t>69c, 69d</t>
  </si>
  <si>
    <t xml:space="preserve">  Contract Labor</t>
  </si>
  <si>
    <t>Cart Rents</t>
  </si>
  <si>
    <t>Depreciation Cont./Carts</t>
  </si>
  <si>
    <t>Maintenance Containers</t>
  </si>
  <si>
    <t>Property Tax</t>
  </si>
  <si>
    <t>Insurance</t>
  </si>
  <si>
    <t>71, 72, 73</t>
  </si>
  <si>
    <t>Officer Wages</t>
  </si>
  <si>
    <t>78, 79</t>
  </si>
  <si>
    <t>City Taxes</t>
  </si>
  <si>
    <t>State Excise Tax</t>
  </si>
  <si>
    <t>WUTC Reg Fees</t>
  </si>
  <si>
    <t xml:space="preserve">Other Taxes &amp; Licenses        </t>
  </si>
  <si>
    <t xml:space="preserve">Building &amp; Prop Maint         </t>
  </si>
  <si>
    <t xml:space="preserve">Office Supplies, Postage, &amp; Exp         </t>
  </si>
  <si>
    <t xml:space="preserve">Utilities                     </t>
  </si>
  <si>
    <t xml:space="preserve">Telephone, Internet, &amp; Radio  </t>
  </si>
  <si>
    <t xml:space="preserve">Computer Expense              </t>
  </si>
  <si>
    <t xml:space="preserve">Dues &amp; Subscriptions          </t>
  </si>
  <si>
    <t xml:space="preserve">Contributions                 </t>
  </si>
  <si>
    <t>Advertising</t>
  </si>
  <si>
    <t>Travel</t>
  </si>
  <si>
    <t>Consulting &amp; Lobbying</t>
  </si>
  <si>
    <t xml:space="preserve">Law &amp; Outside Accounting      </t>
  </si>
  <si>
    <t xml:space="preserve">Legal Fees Plp Matters        </t>
  </si>
  <si>
    <t xml:space="preserve">Depreciation - Office Equip   </t>
  </si>
  <si>
    <t>Depreciation - Service Cars &amp; Equip</t>
  </si>
  <si>
    <t xml:space="preserve">Rent - Office Facility        </t>
  </si>
  <si>
    <t xml:space="preserve">Bad Debts &amp; Collection Exp    </t>
  </si>
  <si>
    <t xml:space="preserve">Misc Expense                  </t>
  </si>
  <si>
    <t xml:space="preserve">Interest Income               </t>
  </si>
  <si>
    <t xml:space="preserve">Interest Expense              </t>
  </si>
  <si>
    <t xml:space="preserve">Federal Income Taxes          </t>
  </si>
  <si>
    <t>Total Expense</t>
  </si>
  <si>
    <t>NOI (Loss)</t>
  </si>
  <si>
    <t>Rev</t>
  </si>
  <si>
    <t>Disposal</t>
  </si>
  <si>
    <t>Income Stmt</t>
  </si>
  <si>
    <r>
      <t>Variance (</t>
    </r>
    <r>
      <rPr>
        <sz val="10"/>
        <rFont val="Wingdings 2"/>
        <family val="1"/>
        <charset val="2"/>
      </rPr>
      <t>P</t>
    </r>
    <r>
      <rPr>
        <sz val="10"/>
        <rFont val="Arial"/>
        <family val="2"/>
      </rPr>
      <t xml:space="preserve"> sum)</t>
    </r>
  </si>
  <si>
    <t>.</t>
  </si>
  <si>
    <t>Basin Disposal, Inc.</t>
  </si>
  <si>
    <t>BDI</t>
  </si>
  <si>
    <t>Pasco</t>
  </si>
  <si>
    <t>KENNEWICK</t>
  </si>
  <si>
    <t>Mesa</t>
  </si>
  <si>
    <t>Kahlotus</t>
  </si>
  <si>
    <t>Connell</t>
  </si>
  <si>
    <t>Hatton</t>
  </si>
  <si>
    <t>Prosser</t>
  </si>
  <si>
    <t>Dayton</t>
  </si>
  <si>
    <t>Waitsburg</t>
  </si>
  <si>
    <t>Contract</t>
  </si>
  <si>
    <t>WUTC</t>
  </si>
  <si>
    <t>Core Unit Summary Report, Unique Customers Oct 2015 - Sep 2016</t>
  </si>
  <si>
    <t xml:space="preserve">City Billed Discounted to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</si>
  <si>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</si>
  <si>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</si>
  <si>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</si>
  <si>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</si>
  <si>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</si>
  <si>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</si>
  <si>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</si>
  <si>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</si>
  <si>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</si>
  <si>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</si>
  <si>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</si>
  <si>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</si>
  <si>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WUTC_Benton County</t>
  </si>
  <si>
    <t>Unique To Tariff</t>
  </si>
  <si>
    <t>DIRECT BILL</t>
  </si>
  <si>
    <t>WUTC_Franklin County</t>
  </si>
  <si>
    <t>WUTC_Walla Walla County</t>
  </si>
  <si>
    <t>PASCO</t>
  </si>
  <si>
    <t>CITY BILL</t>
  </si>
  <si>
    <t>Adjusted Tariff Customers</t>
  </si>
  <si>
    <t>KEN</t>
  </si>
  <si>
    <t>CONNELL</t>
  </si>
  <si>
    <t>DAYTON</t>
  </si>
  <si>
    <t>KAHLOTUS</t>
  </si>
  <si>
    <t>MESA</t>
  </si>
  <si>
    <t>HATTON</t>
  </si>
  <si>
    <t>WAITSBURG</t>
  </si>
  <si>
    <t>PROSSER</t>
  </si>
  <si>
    <t>ALL</t>
  </si>
  <si>
    <t>Reg</t>
  </si>
  <si>
    <t>ACCOUNTS PAYABLE</t>
  </si>
  <si>
    <t>ADMIN</t>
  </si>
  <si>
    <t>ASL</t>
  </si>
  <si>
    <t>ASL - LEAD</t>
  </si>
  <si>
    <t>CUSTOMER SVC REP</t>
  </si>
  <si>
    <t>CUSTOMER SVS SPECIALIST</t>
  </si>
  <si>
    <t>DEL</t>
  </si>
  <si>
    <t>FEL</t>
  </si>
  <si>
    <t>FEL - LEAD</t>
  </si>
  <si>
    <t>GENERALIST / PAYROLL</t>
  </si>
  <si>
    <t>MECH</t>
  </si>
  <si>
    <t>MECH - LEAD</t>
  </si>
  <si>
    <t>REL</t>
  </si>
  <si>
    <t>ROL</t>
  </si>
  <si>
    <t>UTILITY</t>
  </si>
  <si>
    <t xml:space="preserve">Basin Disposal, Inc. </t>
  </si>
  <si>
    <t>Depreciation Schedule</t>
  </si>
  <si>
    <t>Months in first year</t>
  </si>
  <si>
    <t>09/30/2016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</si>
  <si>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</si>
  <si>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</si>
  <si>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</si>
  <si>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</si>
  <si>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</si>
  <si>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</si>
  <si>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</si>
  <si>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</si>
  <si>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</si>
  <si>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Beginning</t>
  </si>
  <si>
    <t>Allocated</t>
  </si>
  <si>
    <t>Ending</t>
  </si>
  <si>
    <t>E.</t>
  </si>
  <si>
    <t>Disposition Date</t>
  </si>
  <si>
    <t>Date in Service</t>
  </si>
  <si>
    <t>Sal</t>
  </si>
  <si>
    <t>Year</t>
  </si>
  <si>
    <t>Accumulated</t>
  </si>
  <si>
    <t>Branch</t>
  </si>
  <si>
    <t>Accum.</t>
  </si>
  <si>
    <t>Value</t>
  </si>
  <si>
    <t>Meth</t>
  </si>
  <si>
    <t>Life</t>
  </si>
  <si>
    <t>Fully</t>
  </si>
  <si>
    <t>Asset</t>
  </si>
  <si>
    <t>Depreciable</t>
  </si>
  <si>
    <t>Monthly</t>
  </si>
  <si>
    <t>Test year</t>
  </si>
  <si>
    <t>Test yr.</t>
  </si>
  <si>
    <t>%</t>
  </si>
  <si>
    <t>Depreciation</t>
  </si>
  <si>
    <t>Allo.</t>
  </si>
  <si>
    <t>Depr.</t>
  </si>
  <si>
    <t>Average</t>
  </si>
  <si>
    <t>Status</t>
  </si>
  <si>
    <t>Action</t>
  </si>
  <si>
    <t>Asset #</t>
  </si>
  <si>
    <t>DESCRIPTION</t>
  </si>
  <si>
    <t>Mo.</t>
  </si>
  <si>
    <t xml:space="preserve">  Yr.</t>
  </si>
  <si>
    <t xml:space="preserve"> Mo.</t>
  </si>
  <si>
    <t>Cost</t>
  </si>
  <si>
    <t>Investment</t>
  </si>
  <si>
    <t>SL</t>
  </si>
  <si>
    <t>GARBAGE COLLECTION EQUIPMENT</t>
  </si>
  <si>
    <t>Prior Rate Case Yr</t>
  </si>
  <si>
    <t>2nd Year</t>
  </si>
  <si>
    <t>Full Depr Yr</t>
  </si>
  <si>
    <t>First Year</t>
  </si>
  <si>
    <t>Garbage Equipment</t>
  </si>
  <si>
    <t>T13 1989 HM FORK TRL</t>
  </si>
  <si>
    <t>Active Roll off Trailor</t>
  </si>
  <si>
    <t>Move to Eds</t>
  </si>
  <si>
    <t>207</t>
  </si>
  <si>
    <t>T14 1991 ROLLOFF TRL</t>
  </si>
  <si>
    <t>211</t>
  </si>
  <si>
    <t>208</t>
  </si>
  <si>
    <t>#T17 2002 CASCON TLR</t>
  </si>
  <si>
    <t>209</t>
  </si>
  <si>
    <t>#T19 2005 CASCON TLR</t>
  </si>
  <si>
    <t>206</t>
  </si>
  <si>
    <t>#78 2000 PETE</t>
  </si>
  <si>
    <t xml:space="preserve">Active  </t>
  </si>
  <si>
    <t>#78 BOOM</t>
  </si>
  <si>
    <t>152</t>
  </si>
  <si>
    <t>#84 2002 PETE 320</t>
  </si>
  <si>
    <t>#84 HEIL 7000 BOX</t>
  </si>
  <si>
    <t>154</t>
  </si>
  <si>
    <t>#87 2002 PETE 320</t>
  </si>
  <si>
    <t>#87 HEIL 7000 BOX</t>
  </si>
  <si>
    <t>155</t>
  </si>
  <si>
    <t>#89 2003 PETE 320</t>
  </si>
  <si>
    <t>1 of 2 Leased to Yakima</t>
  </si>
  <si>
    <t>#99 2005 PETE</t>
  </si>
  <si>
    <t>212</t>
  </si>
  <si>
    <t>#100 2005 PETE/BOOM</t>
  </si>
  <si>
    <t>213</t>
  </si>
  <si>
    <t>#101 PACKER</t>
  </si>
  <si>
    <t>202</t>
  </si>
  <si>
    <t>7000 BODY-108</t>
  </si>
  <si>
    <t xml:space="preserve"> PWR LIFT</t>
  </si>
  <si>
    <t>214</t>
  </si>
  <si>
    <t>#108 07 PETE</t>
  </si>
  <si>
    <t>#109 06 PETE</t>
  </si>
  <si>
    <t>156</t>
  </si>
  <si>
    <t>#109 PETE 320</t>
  </si>
  <si>
    <t>157</t>
  </si>
  <si>
    <t xml:space="preserve"> #110 PETE/BDY</t>
  </si>
  <si>
    <t xml:space="preserve"> #112 PETE/BDY</t>
  </si>
  <si>
    <t>188</t>
  </si>
  <si>
    <t>189</t>
  </si>
  <si>
    <t xml:space="preserve"> #112 addt' costs</t>
  </si>
  <si>
    <t>158</t>
  </si>
  <si>
    <t>113 09/BODY</t>
  </si>
  <si>
    <t>113 09/Chassis</t>
  </si>
  <si>
    <t>114 PETE/RL-122/4</t>
  </si>
  <si>
    <t>203</t>
  </si>
  <si>
    <t>115 PETE CH-129</t>
  </si>
  <si>
    <t>115 PACKER-134</t>
  </si>
  <si>
    <t>159</t>
  </si>
  <si>
    <t>160</t>
  </si>
  <si>
    <t>215</t>
  </si>
  <si>
    <t>116 PETE/CH-135</t>
  </si>
  <si>
    <t>116/ROLLOFF-136</t>
  </si>
  <si>
    <t>161</t>
  </si>
  <si>
    <t>117 PETE/CH-138</t>
  </si>
  <si>
    <t>162</t>
  </si>
  <si>
    <t>117 PACKER-139</t>
  </si>
  <si>
    <t>118 PETE/CH-140</t>
  </si>
  <si>
    <t>118 PETE/CH-148</t>
  </si>
  <si>
    <t>216</t>
  </si>
  <si>
    <t>#119 CHASSIS, FRONTLOADER</t>
  </si>
  <si>
    <t># 119FRONTLOADER PACKER</t>
  </si>
  <si>
    <t>190</t>
  </si>
  <si>
    <t>191</t>
  </si>
  <si>
    <t>#119 FRONTLOADER PACKER</t>
  </si>
  <si>
    <t>163</t>
  </si>
  <si>
    <t>#120 CHASSIS-AUTOMATED</t>
  </si>
  <si>
    <t>#120 Packer HEIL AUTO PACKER</t>
  </si>
  <si>
    <t>164</t>
  </si>
  <si>
    <t>#120 HEIL AUTO PACKER</t>
  </si>
  <si>
    <t>#124 2011 CHEVY FLATBED</t>
  </si>
  <si>
    <t>165</t>
  </si>
  <si>
    <t>#125 2013 Peterbilt 87946</t>
  </si>
  <si>
    <t>183</t>
  </si>
  <si>
    <t>#126 CHEVY FLATBED</t>
  </si>
  <si>
    <t>192</t>
  </si>
  <si>
    <t>#127 Peterbilt 192426</t>
  </si>
  <si>
    <t>166</t>
  </si>
  <si>
    <t>#128 Peterbilt 75010796</t>
  </si>
  <si>
    <t>170&amp;171</t>
  </si>
  <si>
    <t>#129 Peterbilt 73591504</t>
  </si>
  <si>
    <t>169&amp;172</t>
  </si>
  <si>
    <t>#130 Peterbilt 73593502</t>
  </si>
  <si>
    <t>Leased to Ed's</t>
  </si>
  <si>
    <t>167&amp;173</t>
  </si>
  <si>
    <t>#131 Peterbilt 73590800</t>
  </si>
  <si>
    <t>168&amp;174</t>
  </si>
  <si>
    <t>#132 Peterbilt S/N  ????</t>
  </si>
  <si>
    <t>184</t>
  </si>
  <si>
    <t>#133 2014 Chevy Flatbed</t>
  </si>
  <si>
    <t>217</t>
  </si>
  <si>
    <t xml:space="preserve">#134  PTRBLT 320 </t>
  </si>
  <si>
    <t>218</t>
  </si>
  <si>
    <t>#134 PTRBLT 320  Chassie Roll Off</t>
  </si>
  <si>
    <t>194</t>
  </si>
  <si>
    <t xml:space="preserve"> #135 PTRBLT 320</t>
  </si>
  <si>
    <t>195</t>
  </si>
  <si>
    <t>689</t>
  </si>
  <si>
    <t>2001 PTRBLT 330 #N14</t>
  </si>
  <si>
    <t>193</t>
  </si>
  <si>
    <t>Transmission #105</t>
  </si>
  <si>
    <t>196</t>
  </si>
  <si>
    <t>2017 PTRBLT 320 #140 CHASSIS FEL</t>
  </si>
  <si>
    <t>197</t>
  </si>
  <si>
    <t>2017 PTRBLT 320 #141 CHASSIS FEL</t>
  </si>
  <si>
    <t>198</t>
  </si>
  <si>
    <t>2016 PTRBLT 320 #142 CHASSIS FEL</t>
  </si>
  <si>
    <t>199</t>
  </si>
  <si>
    <t>2016 SWS #140 WITTKE BODY FEL</t>
  </si>
  <si>
    <t>200</t>
  </si>
  <si>
    <t>2016 SWS #141 WITTKE BODY FEL</t>
  </si>
  <si>
    <t>201</t>
  </si>
  <si>
    <t>2016 SWS #142 WITTKE BODY FEL</t>
  </si>
  <si>
    <t>219</t>
  </si>
  <si>
    <t>2016 PTRBLT 567 #138 CHASSIS ROL</t>
  </si>
  <si>
    <t>220</t>
  </si>
  <si>
    <t>2015 SWS 567 #138 HOIST ROL</t>
  </si>
  <si>
    <t>221</t>
  </si>
  <si>
    <t>2015 PTRBLT 567 #137 CHASSIS ROL</t>
  </si>
  <si>
    <t>222</t>
  </si>
  <si>
    <t>2015 SWS 567 #137 HOIST ROL</t>
  </si>
  <si>
    <t>204</t>
  </si>
  <si>
    <t>1996 PTRBLT 357 #68</t>
  </si>
  <si>
    <t>1999 PTRBLT 357 #73</t>
  </si>
  <si>
    <t>2000 PTRBLT 320 #75</t>
  </si>
  <si>
    <t>2002 PTRBLT320 #85</t>
  </si>
  <si>
    <t>2003 PTRBLT 320 #90</t>
  </si>
  <si>
    <t>TOTAL GARBAGE EQUIPMENT</t>
  </si>
  <si>
    <t>CONTAINERS:</t>
  </si>
  <si>
    <t>Containers</t>
  </si>
  <si>
    <t>6 4YD FL CDBD</t>
  </si>
  <si>
    <t>4 40 YD DROP BOXES</t>
  </si>
  <si>
    <t>1 40 YD DROP BOX</t>
  </si>
  <si>
    <t>1 3YD &amp; 1 8 YD FL</t>
  </si>
  <si>
    <t>46</t>
  </si>
  <si>
    <t>6 20 YD TUB DROP BOXES</t>
  </si>
  <si>
    <t>47</t>
  </si>
  <si>
    <t>2 40 YD OPEN TOP TUB BOXES</t>
  </si>
  <si>
    <t>48</t>
  </si>
  <si>
    <t>3 8 YD CATH FL</t>
  </si>
  <si>
    <t>53</t>
  </si>
  <si>
    <t>1 30 YD OPEN TOP TUB BOX</t>
  </si>
  <si>
    <t>50</t>
  </si>
  <si>
    <t>3 40 YD OPEN TOP TUB BOXES</t>
  </si>
  <si>
    <t>3 8YD &amp; 6 6YD  CATH FL</t>
  </si>
  <si>
    <t>54</t>
  </si>
  <si>
    <t>3 6 YD CATH FL</t>
  </si>
  <si>
    <t>52</t>
  </si>
  <si>
    <t>4 20 YD OPEN TOP TUB BOXES</t>
  </si>
  <si>
    <t>55</t>
  </si>
  <si>
    <t>3 6 YD  CATH FL</t>
  </si>
  <si>
    <t>56</t>
  </si>
  <si>
    <t>10 3 YD SLANT TOP FL</t>
  </si>
  <si>
    <t>49</t>
  </si>
  <si>
    <t>3 30 YD OPEN TOP TUB BOXES</t>
  </si>
  <si>
    <t>58</t>
  </si>
  <si>
    <t>6 10 YD FL CATH</t>
  </si>
  <si>
    <t>59</t>
  </si>
  <si>
    <t xml:space="preserve">1 2 YD FL </t>
  </si>
  <si>
    <t>60</t>
  </si>
  <si>
    <t>61</t>
  </si>
  <si>
    <t>10 4 YD FL CDBD</t>
  </si>
  <si>
    <t>68</t>
  </si>
  <si>
    <t xml:space="preserve">9 3YD </t>
  </si>
  <si>
    <t>69</t>
  </si>
  <si>
    <t>3 3 YD</t>
  </si>
  <si>
    <t>62</t>
  </si>
  <si>
    <t xml:space="preserve">10 6 YD </t>
  </si>
  <si>
    <t>63</t>
  </si>
  <si>
    <t xml:space="preserve">2 40 YD  </t>
  </si>
  <si>
    <t>64</t>
  </si>
  <si>
    <t>300 GAL</t>
  </si>
  <si>
    <t>65</t>
  </si>
  <si>
    <t xml:space="preserve"> 3 &amp; 8 YD FL </t>
  </si>
  <si>
    <t>66</t>
  </si>
  <si>
    <t>10-1.5 YD</t>
  </si>
  <si>
    <t>67</t>
  </si>
  <si>
    <t>12-4 YD</t>
  </si>
  <si>
    <t>20-2,3 yd</t>
  </si>
  <si>
    <t>71</t>
  </si>
  <si>
    <t>12-4 yd</t>
  </si>
  <si>
    <t>2,4,6 yd</t>
  </si>
  <si>
    <t>9</t>
  </si>
  <si>
    <t>1- 30 yd</t>
  </si>
  <si>
    <t>73</t>
  </si>
  <si>
    <t>1- 4,6,30 yd</t>
  </si>
  <si>
    <t>10</t>
  </si>
  <si>
    <t>2- 30 yd</t>
  </si>
  <si>
    <t>77</t>
  </si>
  <si>
    <t>14- 4 yd</t>
  </si>
  <si>
    <t>11</t>
  </si>
  <si>
    <t>1- 20 yd</t>
  </si>
  <si>
    <t>12</t>
  </si>
  <si>
    <t>9-30 YD</t>
  </si>
  <si>
    <t>78</t>
  </si>
  <si>
    <t>v-6,8 yd</t>
  </si>
  <si>
    <t>79</t>
  </si>
  <si>
    <t>16- 4 yd</t>
  </si>
  <si>
    <t>80</t>
  </si>
  <si>
    <t xml:space="preserve"> 14-2 yd</t>
  </si>
  <si>
    <t>81</t>
  </si>
  <si>
    <t>v-6 yd</t>
  </si>
  <si>
    <t>13</t>
  </si>
  <si>
    <t xml:space="preserve"> 8 30 yd</t>
  </si>
  <si>
    <t>14 &amp; 15</t>
  </si>
  <si>
    <t>6 20 6 30 yd</t>
  </si>
  <si>
    <t>82</t>
  </si>
  <si>
    <t xml:space="preserve"> 2 1 8 yd</t>
  </si>
  <si>
    <t>83</t>
  </si>
  <si>
    <t xml:space="preserve"> 10-8 yd</t>
  </si>
  <si>
    <t>84</t>
  </si>
  <si>
    <t xml:space="preserve"> 11- 6 yd</t>
  </si>
  <si>
    <t>85</t>
  </si>
  <si>
    <t xml:space="preserve">  10- 4 yd</t>
  </si>
  <si>
    <t>86</t>
  </si>
  <si>
    <t xml:space="preserve">   8- 2 yd</t>
  </si>
  <si>
    <t>87</t>
  </si>
  <si>
    <t xml:space="preserve">  15- 3 yd</t>
  </si>
  <si>
    <t>2-20 6 30 yd</t>
  </si>
  <si>
    <t>88</t>
  </si>
  <si>
    <t xml:space="preserve"> 10-8 yd-123</t>
  </si>
  <si>
    <t>89</t>
  </si>
  <si>
    <t xml:space="preserve"> 10-4 yd-125</t>
  </si>
  <si>
    <t>90</t>
  </si>
  <si>
    <t xml:space="preserve">  4-8 yd-126</t>
  </si>
  <si>
    <t>91</t>
  </si>
  <si>
    <t xml:space="preserve"> 2-19 yd-127</t>
  </si>
  <si>
    <t>18</t>
  </si>
  <si>
    <t xml:space="preserve">  4- 20 yd-128</t>
  </si>
  <si>
    <t>19</t>
  </si>
  <si>
    <t xml:space="preserve">  2- 30 yd-130</t>
  </si>
  <si>
    <t>92</t>
  </si>
  <si>
    <t xml:space="preserve">  1- 4 yd-131</t>
  </si>
  <si>
    <t>93</t>
  </si>
  <si>
    <t xml:space="preserve">  6- 6 yd-132</t>
  </si>
  <si>
    <t>94</t>
  </si>
  <si>
    <t xml:space="preserve">  4- 8 yd-133</t>
  </si>
  <si>
    <t>95</t>
  </si>
  <si>
    <t xml:space="preserve">  3- 11 yd-137</t>
  </si>
  <si>
    <t>96</t>
  </si>
  <si>
    <t xml:space="preserve">  5- 6 yd-141</t>
  </si>
  <si>
    <t>97</t>
  </si>
  <si>
    <t xml:space="preserve">  10- 2 yd-142</t>
  </si>
  <si>
    <t>20</t>
  </si>
  <si>
    <t xml:space="preserve">  3- 20 yd-143</t>
  </si>
  <si>
    <t>21</t>
  </si>
  <si>
    <t xml:space="preserve">  6- 30 yd-144</t>
  </si>
  <si>
    <t>98</t>
  </si>
  <si>
    <t xml:space="preserve">  12- 3 yd-149</t>
  </si>
  <si>
    <t>99</t>
  </si>
  <si>
    <t xml:space="preserve">  6- 8 yd-150</t>
  </si>
  <si>
    <t>100</t>
  </si>
  <si>
    <t xml:space="preserve">  6- 6 yd-151</t>
  </si>
  <si>
    <t>22</t>
  </si>
  <si>
    <t xml:space="preserve">  3- 40 yd-153</t>
  </si>
  <si>
    <t>23</t>
  </si>
  <si>
    <t>3 30YD DROP BOXES</t>
  </si>
  <si>
    <t>101</t>
  </si>
  <si>
    <t>16 4YD FL CONTAINERS</t>
  </si>
  <si>
    <t>102</t>
  </si>
  <si>
    <t>4 8YD FL CATHEDRALS CONT</t>
  </si>
  <si>
    <t>103</t>
  </si>
  <si>
    <t>4 11YD CONTAINERS</t>
  </si>
  <si>
    <t>104</t>
  </si>
  <si>
    <t>6  6YD CONTAINERS</t>
  </si>
  <si>
    <t>105</t>
  </si>
  <si>
    <t>6 8YD CONTAINERS</t>
  </si>
  <si>
    <t>106</t>
  </si>
  <si>
    <t>12 3YD CONTAINERS</t>
  </si>
  <si>
    <t>107</t>
  </si>
  <si>
    <t>10 1.5YD CONTAINERS</t>
  </si>
  <si>
    <t>108</t>
  </si>
  <si>
    <t>10 6YD CONTAINERS</t>
  </si>
  <si>
    <t>109</t>
  </si>
  <si>
    <t>8 8 YD CONTAINERS</t>
  </si>
  <si>
    <t>110</t>
  </si>
  <si>
    <t>6 11 YD CONTAINERS</t>
  </si>
  <si>
    <t>24</t>
  </si>
  <si>
    <t>(4) 40 YD CONTAINERS</t>
  </si>
  <si>
    <t>111</t>
  </si>
  <si>
    <t>(10) 3 YD CONTAINERS</t>
  </si>
  <si>
    <t>112</t>
  </si>
  <si>
    <t>(10) 4 YD CONTAINERS</t>
  </si>
  <si>
    <t>113</t>
  </si>
  <si>
    <t>(6) 6 YD CONTAINERS</t>
  </si>
  <si>
    <t>114</t>
  </si>
  <si>
    <t>(4) 8YD CONTAINERS</t>
  </si>
  <si>
    <t>115&amp;117&amp;118</t>
  </si>
  <si>
    <t>(6) 3YD, (6) 4YD (6) YD BOTTOMS</t>
  </si>
  <si>
    <t>116</t>
  </si>
  <si>
    <t>(5) 6YD CONTAINERS</t>
  </si>
  <si>
    <t>121</t>
  </si>
  <si>
    <t>3 YD Containers</t>
  </si>
  <si>
    <t>119</t>
  </si>
  <si>
    <t>4 YD Containers</t>
  </si>
  <si>
    <t>120</t>
  </si>
  <si>
    <t>6 YD Containers</t>
  </si>
  <si>
    <t>25</t>
  </si>
  <si>
    <t>20 YD Drop Boxes</t>
  </si>
  <si>
    <t>122</t>
  </si>
  <si>
    <t>Containers - Cap Ind</t>
  </si>
  <si>
    <t>26</t>
  </si>
  <si>
    <t>Western Cascade 40yd Container (2)</t>
  </si>
  <si>
    <t>123</t>
  </si>
  <si>
    <t>27</t>
  </si>
  <si>
    <t>20 Yd Containers (2)</t>
  </si>
  <si>
    <t>28</t>
  </si>
  <si>
    <t>20 YD Container (1)</t>
  </si>
  <si>
    <t>29</t>
  </si>
  <si>
    <t>30 YD DROP BOX</t>
  </si>
  <si>
    <t>30</t>
  </si>
  <si>
    <t>20 YD DROP BOX</t>
  </si>
  <si>
    <t>124</t>
  </si>
  <si>
    <t>2 YD FL CONTAINER</t>
  </si>
  <si>
    <t>125</t>
  </si>
  <si>
    <t>6 YD FL CONTAINER</t>
  </si>
  <si>
    <t>126</t>
  </si>
  <si>
    <t>1.5 YD FL CONTAINER</t>
  </si>
  <si>
    <t>127</t>
  </si>
  <si>
    <t>3 YD FL CONTAINER</t>
  </si>
  <si>
    <t>128</t>
  </si>
  <si>
    <t>8 YD FL CONTAINER</t>
  </si>
  <si>
    <t>129</t>
  </si>
  <si>
    <t>130</t>
  </si>
  <si>
    <t>6 YD FL CONTAINERS</t>
  </si>
  <si>
    <t>131</t>
  </si>
  <si>
    <t>132</t>
  </si>
  <si>
    <t>133</t>
  </si>
  <si>
    <t>2 YD FL CONATINER</t>
  </si>
  <si>
    <t>1</t>
  </si>
  <si>
    <t>95G CARTS QTY 549</t>
  </si>
  <si>
    <t>2</t>
  </si>
  <si>
    <t>96G CARTS QTY 183</t>
  </si>
  <si>
    <t>663</t>
  </si>
  <si>
    <t>95G CARTS QTY 549 SCHAEFER</t>
  </si>
  <si>
    <t>675</t>
  </si>
  <si>
    <t>300G CARTS QTY 20 OTTO</t>
  </si>
  <si>
    <t>677</t>
  </si>
  <si>
    <t>681</t>
  </si>
  <si>
    <t>51</t>
  </si>
  <si>
    <t>3-8 YD</t>
  </si>
  <si>
    <t>57</t>
  </si>
  <si>
    <t>(6) 6YD CONTAINERS</t>
  </si>
  <si>
    <t>70</t>
  </si>
  <si>
    <t>3YD CONTAINER</t>
  </si>
  <si>
    <t>74</t>
  </si>
  <si>
    <t>2YD CONTAINER</t>
  </si>
  <si>
    <t>75</t>
  </si>
  <si>
    <t>4YD CONTAINER</t>
  </si>
  <si>
    <t>76</t>
  </si>
  <si>
    <t>6YD CONTAINER</t>
  </si>
  <si>
    <t>134</t>
  </si>
  <si>
    <t>6YD FEL CATHEDRAL CONT QTY 11 CAPITAL INDUSTRIES</t>
  </si>
  <si>
    <t>135</t>
  </si>
  <si>
    <t>PITAL INDUSTRIES3YD FEL CATHEDRAL CONT QTY 11 CA</t>
  </si>
  <si>
    <t>136</t>
  </si>
  <si>
    <t>2YD FEL CONT QTY 3 CAPITAL INDUSTRIES</t>
  </si>
  <si>
    <t>137</t>
  </si>
  <si>
    <t>6YD FEL CATHEDRAL CONT QTY 9 CAPITAL INDUSTRIES</t>
  </si>
  <si>
    <t>138</t>
  </si>
  <si>
    <t>8YD FEL CATHEDRAL CONT QTY 9 CAPITAL INDUSTRIES</t>
  </si>
  <si>
    <t>139</t>
  </si>
  <si>
    <t>4YD FEL CONT QTY 6 CAPITAL INDUSTRIES</t>
  </si>
  <si>
    <t>140</t>
  </si>
  <si>
    <t>4YD FEL CONT QTY 2 CAPITAL INDUSTRIES</t>
  </si>
  <si>
    <t>648</t>
  </si>
  <si>
    <t>2YD FEL CONT QTY 10 CAPITAL INDU</t>
  </si>
  <si>
    <t>649</t>
  </si>
  <si>
    <t>8YD FEL CONT QTY 10 CAPITAL INDUSTRIES</t>
  </si>
  <si>
    <t>650</t>
  </si>
  <si>
    <t>4YD FEL CONT QTY 8 CAPITAL INDUSTRIES</t>
  </si>
  <si>
    <t>651</t>
  </si>
  <si>
    <t>6YD FEL CONT QTY 7 CAPITAL INDUSTRIES</t>
  </si>
  <si>
    <t>652</t>
  </si>
  <si>
    <t>4YD FEL CONT QTY 20 CAPITAL INDUSTRIES</t>
  </si>
  <si>
    <t>653</t>
  </si>
  <si>
    <t>2YD FEL CONT QTY 12 CAPITAL INDUSTRIES</t>
  </si>
  <si>
    <t>654</t>
  </si>
  <si>
    <t>658</t>
  </si>
  <si>
    <t>6YD FEL CONT QTY 15 CAPITAL INDUSTRIES</t>
  </si>
  <si>
    <t>659</t>
  </si>
  <si>
    <t>3YD FEL CONT QTY 15 CAPITAL INDUSTRIES</t>
  </si>
  <si>
    <t>660</t>
  </si>
  <si>
    <t>1.5YD FEL CONT QTY 2 CAPITAL INDUSTRIES</t>
  </si>
  <si>
    <t>661</t>
  </si>
  <si>
    <t>662</t>
  </si>
  <si>
    <t>1.5YD FEL CONT QTY 11 CAPITAL INDUSTRIES</t>
  </si>
  <si>
    <t>16</t>
  </si>
  <si>
    <t>(6) 20YD DROP BOX</t>
  </si>
  <si>
    <t>17</t>
  </si>
  <si>
    <t>(2) 20YD</t>
  </si>
  <si>
    <t>31</t>
  </si>
  <si>
    <t>30YD DBOX CONT QTY 2 ENTERPRISE</t>
  </si>
  <si>
    <t>32</t>
  </si>
  <si>
    <t>20YD DBOX CONT QTY 2 ENTERPRISE</t>
  </si>
  <si>
    <t>33</t>
  </si>
  <si>
    <t>40YD DBOX CONT QTY 2 WESTERN CASCADE</t>
  </si>
  <si>
    <t>34</t>
  </si>
  <si>
    <t>30YD DBOX CONT QTY 1 ENTERPRISE</t>
  </si>
  <si>
    <t>35</t>
  </si>
  <si>
    <t>655</t>
  </si>
  <si>
    <t>678</t>
  </si>
  <si>
    <t>20YD &amp; 11YD DBOX CONT QTY 2 ENTERPRISE</t>
  </si>
  <si>
    <t>679</t>
  </si>
  <si>
    <t>20YD &amp; 11YD DBOX CONT QTY 6 ENTERPRISE</t>
  </si>
  <si>
    <t>72</t>
  </si>
  <si>
    <t>2 YD CONTAINER</t>
  </si>
  <si>
    <t>SERVICE CARS &amp; EQUIPMENT</t>
  </si>
  <si>
    <t>182</t>
  </si>
  <si>
    <t>Service Cars and Equipment</t>
  </si>
  <si>
    <t>#88 2002 F250</t>
  </si>
  <si>
    <t>Active</t>
  </si>
  <si>
    <t>#92 2003 FORD F350</t>
  </si>
  <si>
    <t>#92 STAHL SVC BODY #92</t>
  </si>
  <si>
    <t>185</t>
  </si>
  <si>
    <t>#136 2015 Explorer</t>
  </si>
  <si>
    <t>186</t>
  </si>
  <si>
    <t>2016 FORD EXPLORER #139 TOM DENCHEL</t>
  </si>
  <si>
    <t>1997 FORD F2PU #72</t>
  </si>
  <si>
    <t>142</t>
  </si>
  <si>
    <t>Office Equipment</t>
  </si>
  <si>
    <t>AQ2 System Upgrades Online module</t>
  </si>
  <si>
    <t>143</t>
  </si>
  <si>
    <t>2 dell PowerEdge Servers</t>
  </si>
  <si>
    <t>144</t>
  </si>
  <si>
    <t>Ricoh MP4001SP Copier</t>
  </si>
  <si>
    <t>145</t>
  </si>
  <si>
    <t>Dell Optiplex Computers for Office</t>
  </si>
  <si>
    <t>146</t>
  </si>
  <si>
    <t>WILDLANDS</t>
  </si>
  <si>
    <t>656</t>
  </si>
  <si>
    <t>WILDLANDS 3</t>
  </si>
  <si>
    <t>657</t>
  </si>
  <si>
    <t>WILDLANDS 2</t>
  </si>
  <si>
    <t>704</t>
  </si>
  <si>
    <t>WILDLANDS 4</t>
  </si>
  <si>
    <t>141</t>
  </si>
  <si>
    <t>AQ2 SYSTEM UPGRADES</t>
  </si>
  <si>
    <t>148</t>
  </si>
  <si>
    <t>Shop and Garage Equipment</t>
  </si>
  <si>
    <t>Hyster Lift Truck</t>
  </si>
  <si>
    <t>147</t>
  </si>
  <si>
    <t>POWER LIFT</t>
  </si>
  <si>
    <t>149</t>
  </si>
  <si>
    <t>Fuel Posts</t>
  </si>
  <si>
    <t>150</t>
  </si>
  <si>
    <t>Electrical Eng Blck Heaters/floodlights</t>
  </si>
  <si>
    <t>690</t>
  </si>
  <si>
    <t>FORKLIFT REPAIR</t>
  </si>
  <si>
    <t>TOTAL SHOP &amp; GARAGE EQUIP.</t>
  </si>
  <si>
    <t>company</t>
  </si>
  <si>
    <t>Acct Type</t>
  </si>
  <si>
    <t>acct</t>
  </si>
  <si>
    <t>sub_acct</t>
  </si>
  <si>
    <t>dept</t>
  </si>
  <si>
    <t>GL Acct</t>
  </si>
  <si>
    <t>Acct Desc</t>
  </si>
  <si>
    <t>LOB</t>
  </si>
  <si>
    <t>Acct Desc and LOB</t>
  </si>
  <si>
    <t>IS_4C</t>
  </si>
  <si>
    <t>ProF</t>
  </si>
  <si>
    <t>trx_total</t>
  </si>
  <si>
    <t>end_bal</t>
  </si>
  <si>
    <t>Dept-GL-Sub</t>
  </si>
  <si>
    <t>YR_PD</t>
  </si>
  <si>
    <t>3015</t>
  </si>
  <si>
    <t>000</t>
  </si>
  <si>
    <t>515</t>
  </si>
  <si>
    <t xml:space="preserve">Other Revenue - Prosser Trans </t>
  </si>
  <si>
    <t>2016</t>
  </si>
  <si>
    <t>515-3015-001</t>
  </si>
  <si>
    <t>4002</t>
  </si>
  <si>
    <t xml:space="preserve">Refrig and Ewaste             </t>
  </si>
  <si>
    <t>2015</t>
  </si>
  <si>
    <t>000-4002-100</t>
  </si>
  <si>
    <t>3</t>
  </si>
  <si>
    <t>4</t>
  </si>
  <si>
    <t>5</t>
  </si>
  <si>
    <t>6</t>
  </si>
  <si>
    <t>7</t>
  </si>
  <si>
    <t>8</t>
  </si>
  <si>
    <t>4000</t>
  </si>
  <si>
    <t xml:space="preserve">Disposal Fees - Finley        </t>
  </si>
  <si>
    <t>000-4000-100</t>
  </si>
  <si>
    <t xml:space="preserve">Disposal Fees - Roosevelt     </t>
  </si>
  <si>
    <t>000-4000-200</t>
  </si>
  <si>
    <t>300</t>
  </si>
  <si>
    <t>Disposal Fees TransferStn BDIT</t>
  </si>
  <si>
    <t>000-4000-300</t>
  </si>
  <si>
    <t>3420</t>
  </si>
  <si>
    <t xml:space="preserve">Recycling/Service Revenue     </t>
  </si>
  <si>
    <t>000-3420-000</t>
  </si>
  <si>
    <t>501</t>
  </si>
  <si>
    <t xml:space="preserve">Recycle Rev - Pasco           </t>
  </si>
  <si>
    <t>501-3420-000</t>
  </si>
  <si>
    <t>502</t>
  </si>
  <si>
    <t xml:space="preserve">Recycle Rev - Frank Contract  </t>
  </si>
  <si>
    <t>502-3420-000</t>
  </si>
  <si>
    <t>504</t>
  </si>
  <si>
    <t xml:space="preserve">Recycle Rev -WW Contract      </t>
  </si>
  <si>
    <t>504-3420-000</t>
  </si>
  <si>
    <t>511</t>
  </si>
  <si>
    <t xml:space="preserve">Recycle Rev - Kennewick       </t>
  </si>
  <si>
    <t>511-3420-000</t>
  </si>
  <si>
    <t>512</t>
  </si>
  <si>
    <t xml:space="preserve">Recycle Rev - Richland Rec    </t>
  </si>
  <si>
    <t>512-3420-000</t>
  </si>
  <si>
    <t>513</t>
  </si>
  <si>
    <t xml:space="preserve">Recycle Rev - W. Richland DB  </t>
  </si>
  <si>
    <t>513-3420-000</t>
  </si>
  <si>
    <t>514</t>
  </si>
  <si>
    <t xml:space="preserve">Recycle Rev - Benton City     </t>
  </si>
  <si>
    <t>514-3420-000</t>
  </si>
  <si>
    <t xml:space="preserve">Recycle Rev - City of Prosser </t>
  </si>
  <si>
    <t>515-3420-000</t>
  </si>
  <si>
    <t>524</t>
  </si>
  <si>
    <t xml:space="preserve">Recycle Rev - Yakima Co       </t>
  </si>
  <si>
    <t>524-3420-000</t>
  </si>
  <si>
    <t>528</t>
  </si>
  <si>
    <t xml:space="preserve">Recycle Rev - Becthel         </t>
  </si>
  <si>
    <t>528-3420-000</t>
  </si>
  <si>
    <t>503</t>
  </si>
  <si>
    <t xml:space="preserve">Recycle Rev - Benton Contract </t>
  </si>
  <si>
    <t>503-3420-110</t>
  </si>
  <si>
    <t>3999</t>
  </si>
  <si>
    <t xml:space="preserve">Recycling/Commodity Revenue   </t>
  </si>
  <si>
    <t>000-3999-000</t>
  </si>
  <si>
    <t>3000</t>
  </si>
  <si>
    <t xml:space="preserve">Other Revenue - 01 Pasco      </t>
  </si>
  <si>
    <t>501-3000-000</t>
  </si>
  <si>
    <t>010</t>
  </si>
  <si>
    <t xml:space="preserve">Other Revenue - T1 Pasco      </t>
  </si>
  <si>
    <t>501-3000-010</t>
  </si>
  <si>
    <t>3100</t>
  </si>
  <si>
    <t>Other Revenue - 02 Franklin Co</t>
  </si>
  <si>
    <t>502-3100-000</t>
  </si>
  <si>
    <t>Other Revenue - Walla Walla Co</t>
  </si>
  <si>
    <t>504-3100-000</t>
  </si>
  <si>
    <t xml:space="preserve">Other Revenue - Richland Rec  </t>
  </si>
  <si>
    <t>512-3100-000</t>
  </si>
  <si>
    <t xml:space="preserve">Other Revenue - 03 Benton Co  </t>
  </si>
  <si>
    <t>503-3100-010</t>
  </si>
  <si>
    <t>Other Revenue - Franklin Contr</t>
  </si>
  <si>
    <t>502-3100-100</t>
  </si>
  <si>
    <t xml:space="preserve">Other Rev - WW Contract       </t>
  </si>
  <si>
    <t>504-3100-100</t>
  </si>
  <si>
    <t>3120</t>
  </si>
  <si>
    <t xml:space="preserve">Other Revenue - Benton Cithy  </t>
  </si>
  <si>
    <t>514-3120-000</t>
  </si>
  <si>
    <t>508</t>
  </si>
  <si>
    <t xml:space="preserve">Other Revenue - Connell CB    </t>
  </si>
  <si>
    <t>508-3420-000</t>
  </si>
  <si>
    <t>3425</t>
  </si>
  <si>
    <t xml:space="preserve">Truck Wash Revenue            </t>
  </si>
  <si>
    <t>000-3425-000</t>
  </si>
  <si>
    <t>3500</t>
  </si>
  <si>
    <t xml:space="preserve">Fuel Revenue-BDI              </t>
  </si>
  <si>
    <t>000-3500-100</t>
  </si>
  <si>
    <t xml:space="preserve">Fuel Revenue EDS              </t>
  </si>
  <si>
    <t>000-3500-200</t>
  </si>
  <si>
    <t xml:space="preserve">Fuel Revenue BDIT             </t>
  </si>
  <si>
    <t>000-3500-300</t>
  </si>
  <si>
    <t>302</t>
  </si>
  <si>
    <t xml:space="preserve">Fuel Revenue ATT              </t>
  </si>
  <si>
    <t>000-3500-302</t>
  </si>
  <si>
    <t>600</t>
  </si>
  <si>
    <t xml:space="preserve">Fuel Revenue BlueRoom         </t>
  </si>
  <si>
    <t>000-3500-600</t>
  </si>
  <si>
    <t>4020</t>
  </si>
  <si>
    <t xml:space="preserve">Hauling Fees                  </t>
  </si>
  <si>
    <t>000-4020-000</t>
  </si>
  <si>
    <t xml:space="preserve">Recycle Haul Fees             </t>
  </si>
  <si>
    <t>000-4020-100</t>
  </si>
  <si>
    <t>3055</t>
  </si>
  <si>
    <t xml:space="preserve">Revenue-Hatton Residential    </t>
  </si>
  <si>
    <t>100-3055-000</t>
  </si>
  <si>
    <t xml:space="preserve">Resi Revenue - Hatton         </t>
  </si>
  <si>
    <t>110-3055-000</t>
  </si>
  <si>
    <t>3050</t>
  </si>
  <si>
    <t xml:space="preserve">Revenue-Kahlotus Residential  </t>
  </si>
  <si>
    <t>100-3050-000</t>
  </si>
  <si>
    <t xml:space="preserve">Resi Revenue - Kahlotus CB    </t>
  </si>
  <si>
    <t>109-3050-000</t>
  </si>
  <si>
    <t xml:space="preserve">Revenue-Kahlotus Commercial   </t>
  </si>
  <si>
    <t>200-3050-000</t>
  </si>
  <si>
    <t xml:space="preserve">Comm Revenue - Kahlotus CB    </t>
  </si>
  <si>
    <t>209-3050-000</t>
  </si>
  <si>
    <t xml:space="preserve">Revenue-Kahlotus Industrial   </t>
  </si>
  <si>
    <t>300-3050-000</t>
  </si>
  <si>
    <t>400</t>
  </si>
  <si>
    <t>Revenue-Kahlotus D/F Pass Thru</t>
  </si>
  <si>
    <t>400-3050-000</t>
  </si>
  <si>
    <t>3045</t>
  </si>
  <si>
    <t xml:space="preserve">Revenue-Mesa Residential      </t>
  </si>
  <si>
    <t>100-3045-000</t>
  </si>
  <si>
    <t xml:space="preserve">Resi Revenue - Mesa CB        </t>
  </si>
  <si>
    <t>107-3045-000</t>
  </si>
  <si>
    <t xml:space="preserve">Revenue-Mesa Commercial       </t>
  </si>
  <si>
    <t>200-3045-000</t>
  </si>
  <si>
    <t xml:space="preserve">Comm Revenue - Mesa CB        </t>
  </si>
  <si>
    <t>207-3045-000</t>
  </si>
  <si>
    <t xml:space="preserve">Revenue-Mesa Industrial       </t>
  </si>
  <si>
    <t>300-3045-000</t>
  </si>
  <si>
    <t>307</t>
  </si>
  <si>
    <t xml:space="preserve">Indust Revenue - Mesa CB      </t>
  </si>
  <si>
    <t>307-3045-000</t>
  </si>
  <si>
    <t xml:space="preserve">Revenue-Mesa D/F Pass Thru    </t>
  </si>
  <si>
    <t>400-3045-000</t>
  </si>
  <si>
    <t>407</t>
  </si>
  <si>
    <t xml:space="preserve">Pass-Thru Revenue - Mesa CB   </t>
  </si>
  <si>
    <t>407-3045-000</t>
  </si>
  <si>
    <t>3040</t>
  </si>
  <si>
    <t xml:space="preserve">Revenue-Kennewick Residential </t>
  </si>
  <si>
    <t>100-3040-000</t>
  </si>
  <si>
    <t xml:space="preserve">Resi Revenue - Kennewick      </t>
  </si>
  <si>
    <t>111-3040-000</t>
  </si>
  <si>
    <t xml:space="preserve">Revenue-Kennewick Commercial  </t>
  </si>
  <si>
    <t>200-3040-000</t>
  </si>
  <si>
    <t xml:space="preserve">Comm Revenue - Kennewick      </t>
  </si>
  <si>
    <t>211-3040-000</t>
  </si>
  <si>
    <t xml:space="preserve">Revenue-Kennewick Industrial  </t>
  </si>
  <si>
    <t>300-3040-000</t>
  </si>
  <si>
    <t>311</t>
  </si>
  <si>
    <t xml:space="preserve">Indust Revenue - Kennewick    </t>
  </si>
  <si>
    <t>311-3040-000</t>
  </si>
  <si>
    <t>Revenue-Kennewick D/F PassThru</t>
  </si>
  <si>
    <t>400-3040-000</t>
  </si>
  <si>
    <t>411</t>
  </si>
  <si>
    <t xml:space="preserve">Pass-Thru Rev - Kennewick     </t>
  </si>
  <si>
    <t>411-3040-000</t>
  </si>
  <si>
    <t xml:space="preserve">Other Revenue - Kennewick     </t>
  </si>
  <si>
    <t>511-3040-000</t>
  </si>
  <si>
    <t>3060</t>
  </si>
  <si>
    <t xml:space="preserve">Revenue-W Richland Industrial </t>
  </si>
  <si>
    <t>300-3060-000</t>
  </si>
  <si>
    <t>001</t>
  </si>
  <si>
    <t>Other Revenue - W. Richland DB</t>
  </si>
  <si>
    <t>513-3060-001</t>
  </si>
  <si>
    <t>3030</t>
  </si>
  <si>
    <t xml:space="preserve">Revenue-Waitsburg Residential </t>
  </si>
  <si>
    <t>100-3030-000</t>
  </si>
  <si>
    <t xml:space="preserve">Resi Revenue - Waitsburg CB   </t>
  </si>
  <si>
    <t>116-3030-000</t>
  </si>
  <si>
    <t xml:space="preserve">Revenue-Waitsburg Commercial  </t>
  </si>
  <si>
    <t>200-3030-000</t>
  </si>
  <si>
    <t xml:space="preserve">Comm Revenue - Waitsburg CB   </t>
  </si>
  <si>
    <t>216-3030-000</t>
  </si>
  <si>
    <t xml:space="preserve">Revenue-Waitsburg Industrial  </t>
  </si>
  <si>
    <t>300-3030-000</t>
  </si>
  <si>
    <t>316</t>
  </si>
  <si>
    <t xml:space="preserve">Indust Revenue - WaitsBurg CB </t>
  </si>
  <si>
    <t>316-3030-000</t>
  </si>
  <si>
    <t>Revenue-Waitsburg D/F PassThru</t>
  </si>
  <si>
    <t>400-3030-000</t>
  </si>
  <si>
    <t>516</t>
  </si>
  <si>
    <t xml:space="preserve">Other Revenue - Waitsburg CB  </t>
  </si>
  <si>
    <t>516-3030-000</t>
  </si>
  <si>
    <t xml:space="preserve">Indust Revenue - Waitsburg DB </t>
  </si>
  <si>
    <t>316-3030-001</t>
  </si>
  <si>
    <t>416</t>
  </si>
  <si>
    <t xml:space="preserve">Pass-Thru Rev - Waitsburg DB  </t>
  </si>
  <si>
    <t>416-3030-001</t>
  </si>
  <si>
    <t>3025</t>
  </si>
  <si>
    <t xml:space="preserve">Revenue-Dayton Residential    </t>
  </si>
  <si>
    <t>100-3025-000</t>
  </si>
  <si>
    <t xml:space="preserve">Revenue-Dayton Commercial     </t>
  </si>
  <si>
    <t>200-3025-000</t>
  </si>
  <si>
    <t xml:space="preserve">Revenue-Dayton Industrial     </t>
  </si>
  <si>
    <t>300-3025-000</t>
  </si>
  <si>
    <t xml:space="preserve">Revenue-Dayton D/F Pass Thru  </t>
  </si>
  <si>
    <t>400-3025-000</t>
  </si>
  <si>
    <t>117</t>
  </si>
  <si>
    <t xml:space="preserve">Resi Revenue - Dayton DB      </t>
  </si>
  <si>
    <t>117-3025-001</t>
  </si>
  <si>
    <t xml:space="preserve">Comm Revenue - Dayton DB      </t>
  </si>
  <si>
    <t>217-3025-001</t>
  </si>
  <si>
    <t>317</t>
  </si>
  <si>
    <t xml:space="preserve">Indust Revenue - Dayton DB    </t>
  </si>
  <si>
    <t>317-3025-001</t>
  </si>
  <si>
    <t>417</t>
  </si>
  <si>
    <t xml:space="preserve">Pass-Thru Rev - Dayton DB     </t>
  </si>
  <si>
    <t>417-3025-001</t>
  </si>
  <si>
    <t>517</t>
  </si>
  <si>
    <t xml:space="preserve">Other Revenue - Dayton DB     </t>
  </si>
  <si>
    <t>517-3025-001</t>
  </si>
  <si>
    <t>3020</t>
  </si>
  <si>
    <t xml:space="preserve">Revenue-Connell Residentioal  </t>
  </si>
  <si>
    <t>100-3020-000</t>
  </si>
  <si>
    <t xml:space="preserve">Resi Revenue - Connell CB     </t>
  </si>
  <si>
    <t>108-3020-000</t>
  </si>
  <si>
    <t xml:space="preserve">Revenue-Connell Commercial    </t>
  </si>
  <si>
    <t>200-3020-000</t>
  </si>
  <si>
    <t xml:space="preserve">Comm Revenue - Connell        </t>
  </si>
  <si>
    <t>208-3020-000</t>
  </si>
  <si>
    <t xml:space="preserve">Revenue-Connell Industrial    </t>
  </si>
  <si>
    <t>300-3020-000</t>
  </si>
  <si>
    <t>308</t>
  </si>
  <si>
    <t xml:space="preserve">Indust Revenue - Connell CB   </t>
  </si>
  <si>
    <t>308-3020-000</t>
  </si>
  <si>
    <t xml:space="preserve">Revenue-Connell D/F Pass Thru </t>
  </si>
  <si>
    <t>400-3020-000</t>
  </si>
  <si>
    <t xml:space="preserve">Resi Revenue - Connell DB     </t>
  </si>
  <si>
    <t>108-3020-001</t>
  </si>
  <si>
    <t xml:space="preserve">Comm Revenue - Connell DB     </t>
  </si>
  <si>
    <t>208-3020-001</t>
  </si>
  <si>
    <t xml:space="preserve">Indust Revenue - Connell DB   </t>
  </si>
  <si>
    <t>308-3020-001</t>
  </si>
  <si>
    <t>408</t>
  </si>
  <si>
    <t>Pass-Thru Revenue - Connell DB</t>
  </si>
  <si>
    <t>408-3020-001</t>
  </si>
  <si>
    <t xml:space="preserve">Other Revenue - Connell DB    </t>
  </si>
  <si>
    <t>508-3020-001</t>
  </si>
  <si>
    <t>500</t>
  </si>
  <si>
    <t xml:space="preserve">Revenue-Prosser Tfr Stn       </t>
  </si>
  <si>
    <t>500-3015-000</t>
  </si>
  <si>
    <t xml:space="preserve">Revenue-Prosser Residential   </t>
  </si>
  <si>
    <t>100-3015-000</t>
  </si>
  <si>
    <t>115</t>
  </si>
  <si>
    <t xml:space="preserve">Resi Revenue - Prosser CB     </t>
  </si>
  <si>
    <t>115-3015-000</t>
  </si>
  <si>
    <t xml:space="preserve">Revenue-Prosser Commercial    </t>
  </si>
  <si>
    <t>200-3015-000</t>
  </si>
  <si>
    <t xml:space="preserve">Comm Revenue - Prosser CB     </t>
  </si>
  <si>
    <t>215-3015-000</t>
  </si>
  <si>
    <t xml:space="preserve">Revenue-Prosser Industrial    </t>
  </si>
  <si>
    <t>300-3015-000</t>
  </si>
  <si>
    <t>315</t>
  </si>
  <si>
    <t xml:space="preserve">Indust Revenue - Prosser CB   </t>
  </si>
  <si>
    <t>315-3015-000</t>
  </si>
  <si>
    <t xml:space="preserve">Revenue-Prosser Pass Thru     </t>
  </si>
  <si>
    <t>400-3015-000</t>
  </si>
  <si>
    <t>415</t>
  </si>
  <si>
    <t>Pass-Thru Revenue - Prosser CB</t>
  </si>
  <si>
    <t>415-3015-000</t>
  </si>
  <si>
    <t xml:space="preserve">Revenue-WUTC Industrial       </t>
  </si>
  <si>
    <t>300-3100-000</t>
  </si>
  <si>
    <t>Indust Revenue- 02 Franklin Co</t>
  </si>
  <si>
    <t>302-3100-000</t>
  </si>
  <si>
    <t>304</t>
  </si>
  <si>
    <t>Indust Revenue- Walla Walla Co</t>
  </si>
  <si>
    <t>304-3100-000</t>
  </si>
  <si>
    <t>312</t>
  </si>
  <si>
    <t xml:space="preserve">Indust Revenue - Richland Rec </t>
  </si>
  <si>
    <t>312-3100-000</t>
  </si>
  <si>
    <t>328</t>
  </si>
  <si>
    <t xml:space="preserve">Indust Revenue - Becthel      </t>
  </si>
  <si>
    <t>328-3100-000</t>
  </si>
  <si>
    <t xml:space="preserve">Revenue-WUTC D/F Pass Thru    </t>
  </si>
  <si>
    <t>400-3100-000</t>
  </si>
  <si>
    <t>402</t>
  </si>
  <si>
    <t>Pass-Thru Rev - 02 Franklin Co</t>
  </si>
  <si>
    <t>402-3100-000</t>
  </si>
  <si>
    <t>404</t>
  </si>
  <si>
    <t>Pass-Thru Rev - Walla Walla Co</t>
  </si>
  <si>
    <t>404-3100-000</t>
  </si>
  <si>
    <t>428</t>
  </si>
  <si>
    <t xml:space="preserve">Pass-Thru Revenue - Becthel   </t>
  </si>
  <si>
    <t>428-3100-000</t>
  </si>
  <si>
    <t>303</t>
  </si>
  <si>
    <t xml:space="preserve">Indust - Revenue- 03 Benton C </t>
  </si>
  <si>
    <t>303-3100-010</t>
  </si>
  <si>
    <t>403</t>
  </si>
  <si>
    <t>Pass-Thru Reven - 03 Benton Co</t>
  </si>
  <si>
    <t>403-3100-010</t>
  </si>
  <si>
    <t>Indust Revenue - Franklin Cont</t>
  </si>
  <si>
    <t>302-3100-100</t>
  </si>
  <si>
    <t xml:space="preserve">Indust Revenue - WW Contract  </t>
  </si>
  <si>
    <t>304-3100-100</t>
  </si>
  <si>
    <t>Pass-Thru Rev - Frank Contract</t>
  </si>
  <si>
    <t>402-3100-100</t>
  </si>
  <si>
    <t>Revenue-Benton City Industrial</t>
  </si>
  <si>
    <t>300-3120-000</t>
  </si>
  <si>
    <t xml:space="preserve">Revenue-WUTC Commercial       </t>
  </si>
  <si>
    <t>200-3100-000</t>
  </si>
  <si>
    <t xml:space="preserve">Comm Revenue - 02 Franklin Co </t>
  </si>
  <si>
    <t>202-3100-000</t>
  </si>
  <si>
    <t xml:space="preserve">Comm Revenue - Walla Walla Co </t>
  </si>
  <si>
    <t>204-3100-000</t>
  </si>
  <si>
    <t xml:space="preserve">Comm Revenue - Richland Rec   </t>
  </si>
  <si>
    <t>212-3100-000</t>
  </si>
  <si>
    <t>228</t>
  </si>
  <si>
    <t xml:space="preserve">Comm Revenue - Becthel        </t>
  </si>
  <si>
    <t>228-3100-000</t>
  </si>
  <si>
    <t xml:space="preserve">Comm Revenue - 03 Benton Co   </t>
  </si>
  <si>
    <t>203-3100-010</t>
  </si>
  <si>
    <t>Comm Revenue - Franklin Contra</t>
  </si>
  <si>
    <t>202-3100-100</t>
  </si>
  <si>
    <t>Comm Revenue - Benton Contract</t>
  </si>
  <si>
    <t>203-3100-110</t>
  </si>
  <si>
    <t>Other Revenue - Benton Contrac</t>
  </si>
  <si>
    <t>503-3100-110</t>
  </si>
  <si>
    <t xml:space="preserve">Revenue-WUTC Residential      </t>
  </si>
  <si>
    <t>100-3100-000</t>
  </si>
  <si>
    <t xml:space="preserve">Resi Revenue - 02 Frank Co    </t>
  </si>
  <si>
    <t>102-3100-000</t>
  </si>
  <si>
    <t xml:space="preserve">Resi Revenue - Walla Walla Co </t>
  </si>
  <si>
    <t>104-3100-000</t>
  </si>
  <si>
    <t xml:space="preserve">Resi Revenue- 03 Benton Co    </t>
  </si>
  <si>
    <t>103-3100-010</t>
  </si>
  <si>
    <t xml:space="preserve">Revenue-Pasco Industrial      </t>
  </si>
  <si>
    <t>300-3000-000</t>
  </si>
  <si>
    <t>301</t>
  </si>
  <si>
    <t xml:space="preserve">Indust Revenue - 01 Pasco     </t>
  </si>
  <si>
    <t>301-3000-000</t>
  </si>
  <si>
    <t xml:space="preserve">Revenue-Pasco D/F Pass Thru   </t>
  </si>
  <si>
    <t>400-3000-000</t>
  </si>
  <si>
    <t>401</t>
  </si>
  <si>
    <t xml:space="preserve">Pass-Thru Rev - 01 PASCO      </t>
  </si>
  <si>
    <t>401-3000-000</t>
  </si>
  <si>
    <t xml:space="preserve">Comm. Revenue - T1 Pasco      </t>
  </si>
  <si>
    <t>201-3000-010</t>
  </si>
  <si>
    <t xml:space="preserve">Indust Revenue - T1 Pasco     </t>
  </si>
  <si>
    <t>301-3000-010</t>
  </si>
  <si>
    <t xml:space="preserve">Pass-Thru Revenue - T1 Pasco  </t>
  </si>
  <si>
    <t>401-3000-010</t>
  </si>
  <si>
    <t xml:space="preserve">Revenue-Pasco Commercial      </t>
  </si>
  <si>
    <t>200-3000-000</t>
  </si>
  <si>
    <t xml:space="preserve">Comm Revenue - 01-PASCO       </t>
  </si>
  <si>
    <t>201-3000-000</t>
  </si>
  <si>
    <t xml:space="preserve">Revenue-Pasco Residential     </t>
  </si>
  <si>
    <t>100-3000-000</t>
  </si>
  <si>
    <t xml:space="preserve">Resi Rev - 01-PASCO           </t>
  </si>
  <si>
    <t>101-3000-000</t>
  </si>
  <si>
    <t>4100</t>
  </si>
  <si>
    <t>020</t>
  </si>
  <si>
    <t xml:space="preserve">Wages-Regular                 </t>
  </si>
  <si>
    <t>020-4100-100</t>
  </si>
  <si>
    <t xml:space="preserve">Wages-Overtime                </t>
  </si>
  <si>
    <t>020-4100-200</t>
  </si>
  <si>
    <t xml:space="preserve">Contract Labor                </t>
  </si>
  <si>
    <t>020-4100-600</t>
  </si>
  <si>
    <t>030</t>
  </si>
  <si>
    <t xml:space="preserve">Wages-Salaried                </t>
  </si>
  <si>
    <t>030-4100-000</t>
  </si>
  <si>
    <t>030-4100-100</t>
  </si>
  <si>
    <t>030-4100-200</t>
  </si>
  <si>
    <t>040</t>
  </si>
  <si>
    <t>040-4100-100</t>
  </si>
  <si>
    <t>040-4100-200</t>
  </si>
  <si>
    <t>040-4100-600</t>
  </si>
  <si>
    <t>050</t>
  </si>
  <si>
    <t>050-4100-000</t>
  </si>
  <si>
    <t>060</t>
  </si>
  <si>
    <t>060-4100-000</t>
  </si>
  <si>
    <t xml:space="preserve">Office Wages-Regular          </t>
  </si>
  <si>
    <t>060-4100-100</t>
  </si>
  <si>
    <t xml:space="preserve">Office Wages-Overtime         </t>
  </si>
  <si>
    <t>060-4100-200</t>
  </si>
  <si>
    <t xml:space="preserve">Wages Allocated - Office      </t>
  </si>
  <si>
    <t>060-4100-400</t>
  </si>
  <si>
    <t>060-4100-600</t>
  </si>
  <si>
    <t>062</t>
  </si>
  <si>
    <t>062-4100-100</t>
  </si>
  <si>
    <t>062-4100-200</t>
  </si>
  <si>
    <t>064</t>
  </si>
  <si>
    <t>064-4100-000</t>
  </si>
  <si>
    <t xml:space="preserve">Admin Wages-Regular           </t>
  </si>
  <si>
    <t>064-4100-100</t>
  </si>
  <si>
    <t xml:space="preserve">Admin Wages-Overtime          </t>
  </si>
  <si>
    <t>064-4100-200</t>
  </si>
  <si>
    <t>070</t>
  </si>
  <si>
    <t>070-4100-000</t>
  </si>
  <si>
    <t xml:space="preserve">Allocated Salaried            </t>
  </si>
  <si>
    <t>070-4100-400</t>
  </si>
  <si>
    <t>090</t>
  </si>
  <si>
    <t>090-4100-100</t>
  </si>
  <si>
    <t>090-4100-200</t>
  </si>
  <si>
    <t xml:space="preserve">Wages Allocated-DEL           </t>
  </si>
  <si>
    <t>090-4100-400</t>
  </si>
  <si>
    <t>100-4100-100</t>
  </si>
  <si>
    <t>100-4100-200</t>
  </si>
  <si>
    <t xml:space="preserve">Wages Allocated               </t>
  </si>
  <si>
    <t>100-4100-400</t>
  </si>
  <si>
    <t xml:space="preserve">Contract Haul                 </t>
  </si>
  <si>
    <t>100-4100-600</t>
  </si>
  <si>
    <t>120-4100-100</t>
  </si>
  <si>
    <t>120-4100-200</t>
  </si>
  <si>
    <t>200-4100-100</t>
  </si>
  <si>
    <t>200-4100-200</t>
  </si>
  <si>
    <t>300-4100-100</t>
  </si>
  <si>
    <t>300-4100-200</t>
  </si>
  <si>
    <t xml:space="preserve">Wages Allocated-ROL           </t>
  </si>
  <si>
    <t>300-4100-400</t>
  </si>
  <si>
    <t>4200</t>
  </si>
  <si>
    <t xml:space="preserve">Group Medical                 </t>
  </si>
  <si>
    <t>020-4200-000</t>
  </si>
  <si>
    <t xml:space="preserve">Emp Benefits-401K             </t>
  </si>
  <si>
    <t>020-4200-100</t>
  </si>
  <si>
    <t xml:space="preserve">Emp Benefits- Life Ins        </t>
  </si>
  <si>
    <t>020-4200-120</t>
  </si>
  <si>
    <t xml:space="preserve">Wages-Vacation                </t>
  </si>
  <si>
    <t>020-4200-140</t>
  </si>
  <si>
    <t xml:space="preserve">FICA                          </t>
  </si>
  <si>
    <t>020-4200-200</t>
  </si>
  <si>
    <t xml:space="preserve">Medicare                      </t>
  </si>
  <si>
    <t>020-4200-220</t>
  </si>
  <si>
    <t>240</t>
  </si>
  <si>
    <t xml:space="preserve">FUTA                          </t>
  </si>
  <si>
    <t>020-4200-240</t>
  </si>
  <si>
    <t xml:space="preserve">SUTA                          </t>
  </si>
  <si>
    <t>020-4200-300</t>
  </si>
  <si>
    <t>320</t>
  </si>
  <si>
    <t xml:space="preserve">L &amp; I                         </t>
  </si>
  <si>
    <t>020-4200-320</t>
  </si>
  <si>
    <t xml:space="preserve">Other Employee Costs          </t>
  </si>
  <si>
    <t>020-4200-500</t>
  </si>
  <si>
    <t>030-4200-000</t>
  </si>
  <si>
    <t>030-4200-100</t>
  </si>
  <si>
    <t>030-4200-120</t>
  </si>
  <si>
    <t>030-4200-140</t>
  </si>
  <si>
    <t>030-4200-200</t>
  </si>
  <si>
    <t>030-4200-220</t>
  </si>
  <si>
    <t>030-4200-240</t>
  </si>
  <si>
    <t>030-4200-300</t>
  </si>
  <si>
    <t>030-4200-320</t>
  </si>
  <si>
    <t>030-4200-500</t>
  </si>
  <si>
    <t>040-4200-000</t>
  </si>
  <si>
    <t>040-4200-100</t>
  </si>
  <si>
    <t>040-4200-120</t>
  </si>
  <si>
    <t>040-4200-140</t>
  </si>
  <si>
    <t>040-4200-200</t>
  </si>
  <si>
    <t>040-4200-220</t>
  </si>
  <si>
    <t>040-4200-240</t>
  </si>
  <si>
    <t>040-4200-300</t>
  </si>
  <si>
    <t>040-4200-320</t>
  </si>
  <si>
    <t>040-4200-500</t>
  </si>
  <si>
    <t>050-4200-000</t>
  </si>
  <si>
    <t>050-4200-100</t>
  </si>
  <si>
    <t xml:space="preserve">Emp Benefits - Life Ins       </t>
  </si>
  <si>
    <t>050-4200-120</t>
  </si>
  <si>
    <t xml:space="preserve">Vacation                      </t>
  </si>
  <si>
    <t>050-4200-140</t>
  </si>
  <si>
    <t>050-4200-200</t>
  </si>
  <si>
    <t>050-4200-220</t>
  </si>
  <si>
    <t>050-4200-240</t>
  </si>
  <si>
    <t>050-4200-300</t>
  </si>
  <si>
    <t xml:space="preserve">L&amp;I                           </t>
  </si>
  <si>
    <t>050-4200-320</t>
  </si>
  <si>
    <t>060-4200-000</t>
  </si>
  <si>
    <t>060-4200-100</t>
  </si>
  <si>
    <t>060-4200-120</t>
  </si>
  <si>
    <t>060-4200-140</t>
  </si>
  <si>
    <t>060-4200-200</t>
  </si>
  <si>
    <t>060-4200-220</t>
  </si>
  <si>
    <t>060-4200-240</t>
  </si>
  <si>
    <t>060-4200-300</t>
  </si>
  <si>
    <t>060-4200-320</t>
  </si>
  <si>
    <t>Employee Benefits Alloc-Office</t>
  </si>
  <si>
    <t>060-4200-400</t>
  </si>
  <si>
    <t>060-4200-500</t>
  </si>
  <si>
    <t>062-4200-000</t>
  </si>
  <si>
    <t>062-4200-100</t>
  </si>
  <si>
    <t>062-4200-120</t>
  </si>
  <si>
    <t>062-4200-140</t>
  </si>
  <si>
    <t>062-4200-200</t>
  </si>
  <si>
    <t>062-4200-220</t>
  </si>
  <si>
    <t>062-4200-240</t>
  </si>
  <si>
    <t>062-4200-300</t>
  </si>
  <si>
    <t>062-4200-320</t>
  </si>
  <si>
    <t>064-4200-000</t>
  </si>
  <si>
    <t>064-4200-100</t>
  </si>
  <si>
    <t>064-4200-120</t>
  </si>
  <si>
    <t xml:space="preserve">Vacations                     </t>
  </si>
  <si>
    <t>064-4200-140</t>
  </si>
  <si>
    <t>064-4200-200</t>
  </si>
  <si>
    <t>064-4200-220</t>
  </si>
  <si>
    <t>064-4200-240</t>
  </si>
  <si>
    <t>064-4200-300</t>
  </si>
  <si>
    <t>064-4200-320</t>
  </si>
  <si>
    <t>064-4200-500</t>
  </si>
  <si>
    <t>070-4200-000</t>
  </si>
  <si>
    <t>070-4200-100</t>
  </si>
  <si>
    <t>070-4200-120</t>
  </si>
  <si>
    <t>070-4200-200</t>
  </si>
  <si>
    <t>070-4200-220</t>
  </si>
  <si>
    <t>070-4200-240</t>
  </si>
  <si>
    <t>070-4200-300</t>
  </si>
  <si>
    <t>070-4200-320</t>
  </si>
  <si>
    <t xml:space="preserve">Allocated Salaried Benefits   </t>
  </si>
  <si>
    <t>070-4200-400</t>
  </si>
  <si>
    <t>070-4200-500</t>
  </si>
  <si>
    <t>090-4200-000</t>
  </si>
  <si>
    <t>090-4200-100</t>
  </si>
  <si>
    <t>090-4200-120</t>
  </si>
  <si>
    <t>090-4200-140</t>
  </si>
  <si>
    <t>090-4200-200</t>
  </si>
  <si>
    <t>090-4200-220</t>
  </si>
  <si>
    <t>090-4200-240</t>
  </si>
  <si>
    <t>090-4200-300</t>
  </si>
  <si>
    <t>090-4200-320</t>
  </si>
  <si>
    <t xml:space="preserve">Employee Benefits Allocated   </t>
  </si>
  <si>
    <t>090-4200-400</t>
  </si>
  <si>
    <t>100-4200-000</t>
  </si>
  <si>
    <t>100-4200-100</t>
  </si>
  <si>
    <t>100-4200-120</t>
  </si>
  <si>
    <t>100-4200-140</t>
  </si>
  <si>
    <t>100-4200-200</t>
  </si>
  <si>
    <t>100-4200-220</t>
  </si>
  <si>
    <t>100-4200-240</t>
  </si>
  <si>
    <t>100-4200-300</t>
  </si>
  <si>
    <t>100-4200-320</t>
  </si>
  <si>
    <t>100-4200-400</t>
  </si>
  <si>
    <t>100-4200-500</t>
  </si>
  <si>
    <t>120-4200-000</t>
  </si>
  <si>
    <t>120-4200-100</t>
  </si>
  <si>
    <t>120-4200-120</t>
  </si>
  <si>
    <t>120-4200-140</t>
  </si>
  <si>
    <t>120-4200-200</t>
  </si>
  <si>
    <t>120-4200-220</t>
  </si>
  <si>
    <t>120-4200-240</t>
  </si>
  <si>
    <t>120-4200-300</t>
  </si>
  <si>
    <t>120-4200-320</t>
  </si>
  <si>
    <t>200-4200-000</t>
  </si>
  <si>
    <t>200-4200-100</t>
  </si>
  <si>
    <t>200-4200-120</t>
  </si>
  <si>
    <t>200-4200-140</t>
  </si>
  <si>
    <t>200-4200-200</t>
  </si>
  <si>
    <t>200-4200-220</t>
  </si>
  <si>
    <t>200-4200-240</t>
  </si>
  <si>
    <t>200-4200-300</t>
  </si>
  <si>
    <t>200-4200-320</t>
  </si>
  <si>
    <t>300-4200-000</t>
  </si>
  <si>
    <t>300-4200-100</t>
  </si>
  <si>
    <t>300-4200-120</t>
  </si>
  <si>
    <t>300-4200-140</t>
  </si>
  <si>
    <t>300-4200-200</t>
  </si>
  <si>
    <t>300-4200-220</t>
  </si>
  <si>
    <t>300-4200-240</t>
  </si>
  <si>
    <t>300-4200-300</t>
  </si>
  <si>
    <t>300-4200-320</t>
  </si>
  <si>
    <t>300-4200-400</t>
  </si>
  <si>
    <t>300-4200-500</t>
  </si>
  <si>
    <t>4300</t>
  </si>
  <si>
    <t xml:space="preserve">Maint-Fleet Equip             </t>
  </si>
  <si>
    <t>000-4300-000</t>
  </si>
  <si>
    <t xml:space="preserve">Maint-Lubricants              </t>
  </si>
  <si>
    <t>000-4300-120</t>
  </si>
  <si>
    <t xml:space="preserve">Maint-Tires                   </t>
  </si>
  <si>
    <t>000-4300-140</t>
  </si>
  <si>
    <t xml:space="preserve">Maint- Outside Repair         </t>
  </si>
  <si>
    <t>000-4300-160</t>
  </si>
  <si>
    <t xml:space="preserve">Maint-Fleet Equip-DEL         </t>
  </si>
  <si>
    <t>090-4300-000</t>
  </si>
  <si>
    <t xml:space="preserve">Maint-Tires-DEL               </t>
  </si>
  <si>
    <t>090-4300-140</t>
  </si>
  <si>
    <t xml:space="preserve">Maint- Outside Repair-DEL     </t>
  </si>
  <si>
    <t>090-4300-160</t>
  </si>
  <si>
    <t>260</t>
  </si>
  <si>
    <t xml:space="preserve">Maint - Truck Wash            </t>
  </si>
  <si>
    <t>090-4300-260</t>
  </si>
  <si>
    <t xml:space="preserve">Maint- Building               </t>
  </si>
  <si>
    <t>000-4300-200</t>
  </si>
  <si>
    <t xml:space="preserve">Maint-Fleet Equip-ASL         </t>
  </si>
  <si>
    <t>100-4300-000</t>
  </si>
  <si>
    <t xml:space="preserve">Maint-Tires-ASL               </t>
  </si>
  <si>
    <t>100-4300-140</t>
  </si>
  <si>
    <t xml:space="preserve">Maint- Outside Repair-ASL     </t>
  </si>
  <si>
    <t>100-4300-160</t>
  </si>
  <si>
    <t xml:space="preserve">Shop Supplies &amp; Small Tools   </t>
  </si>
  <si>
    <t>000-4300-220</t>
  </si>
  <si>
    <t>100-4300-260</t>
  </si>
  <si>
    <t xml:space="preserve">Maint-Fleet Equip-REL         </t>
  </si>
  <si>
    <t>120-4300-000</t>
  </si>
  <si>
    <t>000-4300-240</t>
  </si>
  <si>
    <t>000-4300-260</t>
  </si>
  <si>
    <t xml:space="preserve">Maint-Tires-REL               </t>
  </si>
  <si>
    <t>120-4300-140</t>
  </si>
  <si>
    <t xml:space="preserve">Maint- Outside Repair-REL     </t>
  </si>
  <si>
    <t>120-4300-160</t>
  </si>
  <si>
    <t>280</t>
  </si>
  <si>
    <t xml:space="preserve">Maint-Fuel Station            </t>
  </si>
  <si>
    <t>000-4300-280</t>
  </si>
  <si>
    <t>120-4300-260</t>
  </si>
  <si>
    <t xml:space="preserve">Maint-Fleet Equip-FEL         </t>
  </si>
  <si>
    <t>200-4300-000</t>
  </si>
  <si>
    <t xml:space="preserve">Fuel Expense Diesel           </t>
  </si>
  <si>
    <t>000-4300-300</t>
  </si>
  <si>
    <t>310</t>
  </si>
  <si>
    <t xml:space="preserve">Fuel Tax Credit               </t>
  </si>
  <si>
    <t>000-4300-310</t>
  </si>
  <si>
    <t xml:space="preserve">Maint-Tires-FEL               </t>
  </si>
  <si>
    <t>200-4300-140</t>
  </si>
  <si>
    <t xml:space="preserve">Maint- Outside Repair-FEL     </t>
  </si>
  <si>
    <t>200-4300-160</t>
  </si>
  <si>
    <t>200-4300-260</t>
  </si>
  <si>
    <t xml:space="preserve">Maint-Fleet Equip-ROL         </t>
  </si>
  <si>
    <t>300-4300-000</t>
  </si>
  <si>
    <t>Fuel Exp/Purchase Fuel Station</t>
  </si>
  <si>
    <t>000-4300-320</t>
  </si>
  <si>
    <t xml:space="preserve">Maint-Tires-ROL               </t>
  </si>
  <si>
    <t>300-4300-140</t>
  </si>
  <si>
    <t xml:space="preserve">Maint- Outside Repair-ROL     </t>
  </si>
  <si>
    <t>300-4300-160</t>
  </si>
  <si>
    <t xml:space="preserve">Fuel Expense NG               </t>
  </si>
  <si>
    <t>000-4300-400</t>
  </si>
  <si>
    <t>300-4300-260</t>
  </si>
  <si>
    <t>4301</t>
  </si>
  <si>
    <t xml:space="preserve">Depreciation - Trucks         </t>
  </si>
  <si>
    <t>000-4301-000</t>
  </si>
  <si>
    <t xml:space="preserve">Depreciation-Trucks-DEL       </t>
  </si>
  <si>
    <t>090-4301-000</t>
  </si>
  <si>
    <t xml:space="preserve">Depreciation-Trucks-ASL       </t>
  </si>
  <si>
    <t>100-4301-000</t>
  </si>
  <si>
    <t xml:space="preserve">Depreciation-Trucks-FEL       </t>
  </si>
  <si>
    <t>200-4301-000</t>
  </si>
  <si>
    <t xml:space="preserve">Depreciation-Trucks-ROL       </t>
  </si>
  <si>
    <t>300-4301-000</t>
  </si>
  <si>
    <t>4303</t>
  </si>
  <si>
    <t xml:space="preserve">Insurance Premiums-Fleet      </t>
  </si>
  <si>
    <t>000-4303-000</t>
  </si>
  <si>
    <t>4305</t>
  </si>
  <si>
    <t xml:space="preserve">Vehicle Licenses &amp; Reg Fee    </t>
  </si>
  <si>
    <t>000-4305-000</t>
  </si>
  <si>
    <t>4307</t>
  </si>
  <si>
    <t xml:space="preserve">Truck Rent Expense            </t>
  </si>
  <si>
    <t>000-4307-000</t>
  </si>
  <si>
    <t>4400</t>
  </si>
  <si>
    <t xml:space="preserve">Maint-Containers              </t>
  </si>
  <si>
    <t>000-4400-000</t>
  </si>
  <si>
    <t>4401</t>
  </si>
  <si>
    <t xml:space="preserve">Depreciation - Carts/Pts/Trls </t>
  </si>
  <si>
    <t>000-4401-000</t>
  </si>
  <si>
    <t xml:space="preserve">Depreciation - Resi Carts     </t>
  </si>
  <si>
    <t>100-4401-000</t>
  </si>
  <si>
    <t xml:space="preserve">Depreciation - Comm Carts     </t>
  </si>
  <si>
    <t>200-4401-000</t>
  </si>
  <si>
    <t xml:space="preserve">Depreciation - Indust Carts   </t>
  </si>
  <si>
    <t>300-4401-000</t>
  </si>
  <si>
    <t>4407</t>
  </si>
  <si>
    <t xml:space="preserve">Cart Rents                    </t>
  </si>
  <si>
    <t>000-4407-000</t>
  </si>
  <si>
    <t>4470</t>
  </si>
  <si>
    <t xml:space="preserve">Personal Property Taxes       </t>
  </si>
  <si>
    <t>000-4470-000</t>
  </si>
  <si>
    <t>4501</t>
  </si>
  <si>
    <t xml:space="preserve">Depreciation - Floor/Plant Eq </t>
  </si>
  <si>
    <t>000-4501-000</t>
  </si>
  <si>
    <t>4507</t>
  </si>
  <si>
    <t xml:space="preserve">Rent-Maintenance Facility     </t>
  </si>
  <si>
    <t>000-4507-100</t>
  </si>
  <si>
    <t>4570</t>
  </si>
  <si>
    <t>000-4570-000</t>
  </si>
  <si>
    <t>4700</t>
  </si>
  <si>
    <t xml:space="preserve">Insurance-Prop &amp; Liab         </t>
  </si>
  <si>
    <t>000-4700-000</t>
  </si>
  <si>
    <t xml:space="preserve">Property Damage               </t>
  </si>
  <si>
    <t>000-4700-200</t>
  </si>
  <si>
    <t>5000</t>
  </si>
  <si>
    <t xml:space="preserve">Pasco City Tax                </t>
  </si>
  <si>
    <t>000-5000-000</t>
  </si>
  <si>
    <t xml:space="preserve">Kennewick City Tax            </t>
  </si>
  <si>
    <t>000-5000-200</t>
  </si>
  <si>
    <t>5300</t>
  </si>
  <si>
    <t xml:space="preserve">State Excise Tax              </t>
  </si>
  <si>
    <t>000-5300-000</t>
  </si>
  <si>
    <t>5305</t>
  </si>
  <si>
    <t xml:space="preserve">WUTC Reg Fee                  </t>
  </si>
  <si>
    <t>000-5305-000</t>
  </si>
  <si>
    <t>5999</t>
  </si>
  <si>
    <t>000-5999-000</t>
  </si>
  <si>
    <t>6000</t>
  </si>
  <si>
    <t>000-6000-200</t>
  </si>
  <si>
    <t>210</t>
  </si>
  <si>
    <t xml:space="preserve">Printing                      </t>
  </si>
  <si>
    <t>000-6000-210</t>
  </si>
  <si>
    <t xml:space="preserve">Office Supplies &amp; Exp         </t>
  </si>
  <si>
    <t>000-6000-220</t>
  </si>
  <si>
    <t>230</t>
  </si>
  <si>
    <t xml:space="preserve">Bank Fees &amp; Charges           </t>
  </si>
  <si>
    <t>000-6000-230</t>
  </si>
  <si>
    <t>000-6000-240</t>
  </si>
  <si>
    <t>000-6000-260</t>
  </si>
  <si>
    <t>000-6000-280</t>
  </si>
  <si>
    <t>000-6000-300</t>
  </si>
  <si>
    <t xml:space="preserve">WRRA Dues                     </t>
  </si>
  <si>
    <t>000-6000-310</t>
  </si>
  <si>
    <t>000-6000-320</t>
  </si>
  <si>
    <t>340</t>
  </si>
  <si>
    <t xml:space="preserve">Pasco Newsletter              </t>
  </si>
  <si>
    <t>000-6000-340</t>
  </si>
  <si>
    <t>360</t>
  </si>
  <si>
    <t xml:space="preserve">Advertising                   </t>
  </si>
  <si>
    <t>000-6000-360</t>
  </si>
  <si>
    <t>380</t>
  </si>
  <si>
    <t xml:space="preserve">Seminars &amp; Education          </t>
  </si>
  <si>
    <t>000-6000-380</t>
  </si>
  <si>
    <t xml:space="preserve">Business Travel               </t>
  </si>
  <si>
    <t>000-6000-400</t>
  </si>
  <si>
    <t>410</t>
  </si>
  <si>
    <t xml:space="preserve">Meals &amp; Entertainment Exp     </t>
  </si>
  <si>
    <t>000-6000-410</t>
  </si>
  <si>
    <t>426</t>
  </si>
  <si>
    <t xml:space="preserve">Spudaire-Misc Flight Expenses </t>
  </si>
  <si>
    <t>000-6000-426</t>
  </si>
  <si>
    <t xml:space="preserve">Consulting &amp; Lobbying         </t>
  </si>
  <si>
    <t>000-6000-500</t>
  </si>
  <si>
    <t>520</t>
  </si>
  <si>
    <t>000-6000-520</t>
  </si>
  <si>
    <t>540</t>
  </si>
  <si>
    <t>000-6000-540</t>
  </si>
  <si>
    <t>6001</t>
  </si>
  <si>
    <t>000-6001-000</t>
  </si>
  <si>
    <t>6007</t>
  </si>
  <si>
    <t>000-6007-100</t>
  </si>
  <si>
    <t>6100</t>
  </si>
  <si>
    <t xml:space="preserve">Cash Over/Short               </t>
  </si>
  <si>
    <t>000-6100-000</t>
  </si>
  <si>
    <t>7000</t>
  </si>
  <si>
    <t>000-7000-000</t>
  </si>
  <si>
    <t xml:space="preserve">Misc Other                    </t>
  </si>
  <si>
    <t>000-7000-100</t>
  </si>
  <si>
    <t>7001</t>
  </si>
  <si>
    <t>000-7001-000</t>
  </si>
  <si>
    <t>7002</t>
  </si>
  <si>
    <t xml:space="preserve">Misc Revenue                  </t>
  </si>
  <si>
    <t>000-7002-000</t>
  </si>
  <si>
    <t>7005</t>
  </si>
  <si>
    <t xml:space="preserve">Dump Fees Pasco Coupons       </t>
  </si>
  <si>
    <t>000-7005-000</t>
  </si>
  <si>
    <t>7015</t>
  </si>
  <si>
    <t>000-7015-000</t>
  </si>
  <si>
    <t>7018</t>
  </si>
  <si>
    <t xml:space="preserve">Intra Co Interest             </t>
  </si>
  <si>
    <t>000-7018-000</t>
  </si>
  <si>
    <t>7020</t>
  </si>
  <si>
    <t>000-7020-000</t>
  </si>
  <si>
    <t>3015-000-515</t>
  </si>
  <si>
    <t xml:space="preserve">3015-000-515  Other Revenue - Prosser Trans   </t>
  </si>
  <si>
    <t>4002-100-000</t>
  </si>
  <si>
    <t xml:space="preserve">4002-100-000  Refrig and Ewaste               </t>
  </si>
  <si>
    <t>4000-100-000</t>
  </si>
  <si>
    <t xml:space="preserve">4000-100-000  Disposal Fees - Finley          </t>
  </si>
  <si>
    <t>4000-200-000</t>
  </si>
  <si>
    <t xml:space="preserve">4000-200-000  Disposal Fees - Roosevelt       </t>
  </si>
  <si>
    <t>4000-300-000</t>
  </si>
  <si>
    <t xml:space="preserve">4000-300-000  Disposal Fees TransferStn BDIT  </t>
  </si>
  <si>
    <t>3420-000-000</t>
  </si>
  <si>
    <t xml:space="preserve">3420-000-000  Recycling/Service Revenue       </t>
  </si>
  <si>
    <t>3420-000-501</t>
  </si>
  <si>
    <t xml:space="preserve">3420-000-501  Recycle Rev - Pasco             </t>
  </si>
  <si>
    <t>3420-000-502</t>
  </si>
  <si>
    <t xml:space="preserve">3420-000-502  Recycle Rev - Frank Contract    </t>
  </si>
  <si>
    <t>3420-000-504</t>
  </si>
  <si>
    <t xml:space="preserve">3420-000-504  Recycle Rev -WW Contract        </t>
  </si>
  <si>
    <t>3420-000-511</t>
  </si>
  <si>
    <t xml:space="preserve">3420-000-511  Recycle Rev - Kennewick         </t>
  </si>
  <si>
    <t>3420-000-512</t>
  </si>
  <si>
    <t xml:space="preserve">3420-000-512  Recycle Rev - Richland Rec      </t>
  </si>
  <si>
    <t>3420-000-513</t>
  </si>
  <si>
    <t xml:space="preserve">3420-000-513  Recycle Rev - W. Richland DB    </t>
  </si>
  <si>
    <t>3420-000-514</t>
  </si>
  <si>
    <t xml:space="preserve">3420-000-514  Recycle Rev - Benton City       </t>
  </si>
  <si>
    <t>3420-000-515</t>
  </si>
  <si>
    <t xml:space="preserve">3420-000-515  Recycle Rev - City of Prosser   </t>
  </si>
  <si>
    <t>3420-000-524</t>
  </si>
  <si>
    <t xml:space="preserve">3420-000-524  Recycle Rev - Yakima Co         </t>
  </si>
  <si>
    <t>3420-000-528</t>
  </si>
  <si>
    <t xml:space="preserve">3420-000-528  Recycle Rev - Becthel           </t>
  </si>
  <si>
    <t>3420-110-503</t>
  </si>
  <si>
    <t xml:space="preserve">3420-110-503  Recycle Rev - Benton Contract   </t>
  </si>
  <si>
    <t>3999-000-000</t>
  </si>
  <si>
    <t xml:space="preserve">3999-000-000  Recycling/Commodity Revenue     </t>
  </si>
  <si>
    <t>3000-000-501</t>
  </si>
  <si>
    <t xml:space="preserve">3000-000-501  Other Revenue - 01 Pasco        </t>
  </si>
  <si>
    <t>3000-010-501</t>
  </si>
  <si>
    <t xml:space="preserve">3000-010-501  Other Revenue - T1 Pasco        </t>
  </si>
  <si>
    <t>3100-000-502</t>
  </si>
  <si>
    <t xml:space="preserve">3100-000-502  Other Revenue - 02 Franklin Co  </t>
  </si>
  <si>
    <t>3100-000-504</t>
  </si>
  <si>
    <t xml:space="preserve">3100-000-504  Other Revenue - Walla Walla Co  </t>
  </si>
  <si>
    <t>3100-000-512</t>
  </si>
  <si>
    <t xml:space="preserve">3100-000-512  Other Revenue - Richland Rec    </t>
  </si>
  <si>
    <t>3100-010-503</t>
  </si>
  <si>
    <t xml:space="preserve">3100-010-503  Other Revenue - 03 Benton Co    </t>
  </si>
  <si>
    <t>3100-100-502</t>
  </si>
  <si>
    <t xml:space="preserve">3100-100-502  Other Revenue - Franklin Contr  </t>
  </si>
  <si>
    <t>3100-100-504</t>
  </si>
  <si>
    <t xml:space="preserve">3100-100-504  Other Rev - WW Contract         </t>
  </si>
  <si>
    <t>3120-000-514</t>
  </si>
  <si>
    <t xml:space="preserve">3120-000-514  Other Revenue - Benton Cithy    </t>
  </si>
  <si>
    <t>3420-000-508</t>
  </si>
  <si>
    <t xml:space="preserve">3420-000-508  Other Revenue - Connell CB      </t>
  </si>
  <si>
    <t>3425-000-000</t>
  </si>
  <si>
    <t xml:space="preserve">3425-000-000  Truck Wash Revenue              </t>
  </si>
  <si>
    <t>3500-100-000</t>
  </si>
  <si>
    <t xml:space="preserve">3500-100-000  Fuel Revenue-BDI                </t>
  </si>
  <si>
    <t>3500-200-000</t>
  </si>
  <si>
    <t xml:space="preserve">3500-200-000  Fuel Revenue EDS                </t>
  </si>
  <si>
    <t>3500-300-000</t>
  </si>
  <si>
    <t xml:space="preserve">3500-300-000  Fuel Revenue BDIT               </t>
  </si>
  <si>
    <t>3500-302-000</t>
  </si>
  <si>
    <t xml:space="preserve">3500-302-000  Fuel Revenue ATT                </t>
  </si>
  <si>
    <t>3500-600-000</t>
  </si>
  <si>
    <t xml:space="preserve">3500-600-000  Fuel Revenue BlueRoom           </t>
  </si>
  <si>
    <t>4020-000-000</t>
  </si>
  <si>
    <t xml:space="preserve">4020-000-000  Hauling Fees                    </t>
  </si>
  <si>
    <t>4020-100-000</t>
  </si>
  <si>
    <t xml:space="preserve">4020-100-000  Recycle Haul Fees               </t>
  </si>
  <si>
    <t>3055-000-100</t>
  </si>
  <si>
    <t xml:space="preserve">3055-000-100  Revenue-Hatton Residential      </t>
  </si>
  <si>
    <t>3055-000-110</t>
  </si>
  <si>
    <t xml:space="preserve">3055-000-110  Resi Revenue - Hatton           </t>
  </si>
  <si>
    <t>3050-000-100</t>
  </si>
  <si>
    <t xml:space="preserve">3050-000-100  Revenue-Kahlotus Residential    </t>
  </si>
  <si>
    <t>3050-000-109</t>
  </si>
  <si>
    <t xml:space="preserve">3050-000-109  Resi Revenue - Kahlotus CB      </t>
  </si>
  <si>
    <t>3050-000-200</t>
  </si>
  <si>
    <t xml:space="preserve">3050-000-200  Revenue-Kahlotus Commercial     </t>
  </si>
  <si>
    <t>3050-000-209</t>
  </si>
  <si>
    <t xml:space="preserve">3050-000-209  Comm Revenue - Kahlotus CB      </t>
  </si>
  <si>
    <t>3050-000-300</t>
  </si>
  <si>
    <t xml:space="preserve">3050-000-300  Revenue-Kahlotus Industrial     </t>
  </si>
  <si>
    <t>3050-000-400</t>
  </si>
  <si>
    <t xml:space="preserve">3050-000-400  Revenue-Kahlotus D/F Pass Thru  </t>
  </si>
  <si>
    <t>3045-000-100</t>
  </si>
  <si>
    <t xml:space="preserve">3045-000-100  Revenue-Mesa Residential        </t>
  </si>
  <si>
    <t>3045-000-107</t>
  </si>
  <si>
    <t xml:space="preserve">3045-000-107  Resi Revenue - Mesa CB          </t>
  </si>
  <si>
    <t>3045-000-200</t>
  </si>
  <si>
    <t xml:space="preserve">3045-000-200  Revenue-Mesa Commercial         </t>
  </si>
  <si>
    <t>3045-000-207</t>
  </si>
  <si>
    <t xml:space="preserve">3045-000-207  Comm Revenue - Mesa CB          </t>
  </si>
  <si>
    <t>3045-000-300</t>
  </si>
  <si>
    <t xml:space="preserve">3045-000-300  Revenue-Mesa Industrial         </t>
  </si>
  <si>
    <t>3045-000-307</t>
  </si>
  <si>
    <t xml:space="preserve">3045-000-307  Indust Revenue - Mesa CB        </t>
  </si>
  <si>
    <t>3045-000-400</t>
  </si>
  <si>
    <t xml:space="preserve">3045-000-400  Revenue-Mesa D/F Pass Thru      </t>
  </si>
  <si>
    <t>3045-000-407</t>
  </si>
  <si>
    <t xml:space="preserve">3045-000-407  Pass-Thru Revenue - Mesa CB     </t>
  </si>
  <si>
    <t>3040-000-100</t>
  </si>
  <si>
    <t xml:space="preserve">3040-000-100  Revenue-Kennewick Residential   </t>
  </si>
  <si>
    <t>3040-000-111</t>
  </si>
  <si>
    <t xml:space="preserve">3040-000-111  Resi Revenue - Kennewick        </t>
  </si>
  <si>
    <t>3040-000-200</t>
  </si>
  <si>
    <t xml:space="preserve">3040-000-200  Revenue-Kennewick Commercial    </t>
  </si>
  <si>
    <t>3040-000-211</t>
  </si>
  <si>
    <t xml:space="preserve">3040-000-211  Comm Revenue - Kennewick        </t>
  </si>
  <si>
    <t>3040-000-300</t>
  </si>
  <si>
    <t xml:space="preserve">3040-000-300  Revenue-Kennewick Industrial    </t>
  </si>
  <si>
    <t>3040-000-311</t>
  </si>
  <si>
    <t xml:space="preserve">3040-000-311  Indust Revenue - Kennewick      </t>
  </si>
  <si>
    <t>3040-000-400</t>
  </si>
  <si>
    <t xml:space="preserve">3040-000-400  Revenue-Kennewick D/F PassThru  </t>
  </si>
  <si>
    <t>3040-000-411</t>
  </si>
  <si>
    <t xml:space="preserve">3040-000-411  Pass-Thru Rev - Kennewick       </t>
  </si>
  <si>
    <t>3040-000-511</t>
  </si>
  <si>
    <t xml:space="preserve">3040-000-511  Other Revenue - Kennewick       </t>
  </si>
  <si>
    <t>3060-000-300</t>
  </si>
  <si>
    <t xml:space="preserve">3060-000-300  Revenue-W Richland Industrial   </t>
  </si>
  <si>
    <t>3060-001-513</t>
  </si>
  <si>
    <t xml:space="preserve">3060-001-513  Other Revenue - W. Richland DB  </t>
  </si>
  <si>
    <t>3030-000-100</t>
  </si>
  <si>
    <t xml:space="preserve">3030-000-100  Revenue-Waitsburg Residential   </t>
  </si>
  <si>
    <t>3030-000-116</t>
  </si>
  <si>
    <t xml:space="preserve">3030-000-116  Resi Revenue - Waitsburg CB     </t>
  </si>
  <si>
    <t>3030-000-200</t>
  </si>
  <si>
    <t xml:space="preserve">3030-000-200  Revenue-Waitsburg Commercial    </t>
  </si>
  <si>
    <t>3030-000-216</t>
  </si>
  <si>
    <t xml:space="preserve">3030-000-216  Comm Revenue - Waitsburg CB     </t>
  </si>
  <si>
    <t>3030-000-300</t>
  </si>
  <si>
    <t xml:space="preserve">3030-000-300  Revenue-Waitsburg Industrial    </t>
  </si>
  <si>
    <t>3030-000-316</t>
  </si>
  <si>
    <t xml:space="preserve">3030-000-316  Indust Revenue - WaitsBurg CB   </t>
  </si>
  <si>
    <t>3030-000-400</t>
  </si>
  <si>
    <t xml:space="preserve">3030-000-400  Revenue-Waitsburg D/F PassThru  </t>
  </si>
  <si>
    <t>3030-000-516</t>
  </si>
  <si>
    <t xml:space="preserve">3030-000-516  Other Revenue - Waitsburg CB    </t>
  </si>
  <si>
    <t>3030-001-316</t>
  </si>
  <si>
    <t xml:space="preserve">3030-001-316  Indust Revenue - Waitsburg DB   </t>
  </si>
  <si>
    <t>3030-001-416</t>
  </si>
  <si>
    <t xml:space="preserve">3030-001-416  Pass-Thru Rev - Waitsburg DB    </t>
  </si>
  <si>
    <t>3025-000-100</t>
  </si>
  <si>
    <t xml:space="preserve">3025-000-100  Revenue-Dayton Residential      </t>
  </si>
  <si>
    <t>3025-000-200</t>
  </si>
  <si>
    <t xml:space="preserve">3025-000-200  Revenue-Dayton Commercial       </t>
  </si>
  <si>
    <t>3025-000-300</t>
  </si>
  <si>
    <t xml:space="preserve">3025-000-300  Revenue-Dayton Industrial       </t>
  </si>
  <si>
    <t>3025-000-400</t>
  </si>
  <si>
    <t xml:space="preserve">3025-000-400  Revenue-Dayton D/F Pass Thru    </t>
  </si>
  <si>
    <t>3025-001-117</t>
  </si>
  <si>
    <t xml:space="preserve">3025-001-117  Resi Revenue - Dayton DB        </t>
  </si>
  <si>
    <t>3025-001-217</t>
  </si>
  <si>
    <t xml:space="preserve">3025-001-217  Comm Revenue - Dayton DB        </t>
  </si>
  <si>
    <t>3025-001-317</t>
  </si>
  <si>
    <t xml:space="preserve">3025-001-317  Indust Revenue - Dayton DB      </t>
  </si>
  <si>
    <t>3025-001-417</t>
  </si>
  <si>
    <t xml:space="preserve">3025-001-417  Pass-Thru Rev - Dayton DB       </t>
  </si>
  <si>
    <t>3025-001-517</t>
  </si>
  <si>
    <t xml:space="preserve">3025-001-517  Other Revenue - Dayton DB       </t>
  </si>
  <si>
    <t>3020-000-100</t>
  </si>
  <si>
    <t xml:space="preserve">3020-000-100  Revenue-Connell Residentioal    </t>
  </si>
  <si>
    <t>3020-000-108</t>
  </si>
  <si>
    <t xml:space="preserve">3020-000-108  Resi Revenue - Connell CB       </t>
  </si>
  <si>
    <t>3020-000-200</t>
  </si>
  <si>
    <t xml:space="preserve">3020-000-200  Revenue-Connell Commercial      </t>
  </si>
  <si>
    <t>3020-000-208</t>
  </si>
  <si>
    <t xml:space="preserve">3020-000-208  Comm Revenue - Connell          </t>
  </si>
  <si>
    <t>3020-000-300</t>
  </si>
  <si>
    <t xml:space="preserve">3020-000-300  Revenue-Connell Industrial      </t>
  </si>
  <si>
    <t>3020-000-308</t>
  </si>
  <si>
    <t xml:space="preserve">3020-000-308  Indust Revenue - Connell CB     </t>
  </si>
  <si>
    <t>3020-000-400</t>
  </si>
  <si>
    <t xml:space="preserve">3020-000-400  Revenue-Connell D/F Pass Thru   </t>
  </si>
  <si>
    <t>3020-001-108</t>
  </si>
  <si>
    <t xml:space="preserve">3020-001-108  Resi Revenue - Connell DB       </t>
  </si>
  <si>
    <t>3020-001-208</t>
  </si>
  <si>
    <t xml:space="preserve">3020-001-208  Comm Revenue - Connell DB       </t>
  </si>
  <si>
    <t>3020-001-308</t>
  </si>
  <si>
    <t xml:space="preserve">3020-001-308  Indust Revenue - Connell DB     </t>
  </si>
  <si>
    <t>3020-001-408</t>
  </si>
  <si>
    <t xml:space="preserve">3020-001-408  Pass-Thru Revenue - Connell DB  </t>
  </si>
  <si>
    <t>3020-001-508</t>
  </si>
  <si>
    <t xml:space="preserve">3020-001-508  Other Revenue - Connell DB      </t>
  </si>
  <si>
    <t>3015-000-500</t>
  </si>
  <si>
    <t xml:space="preserve">3015-000-500  Revenue-Prosser Tfr Stn         </t>
  </si>
  <si>
    <t>3015-000-100</t>
  </si>
  <si>
    <t xml:space="preserve">3015-000-100  Revenue-Prosser Residential     </t>
  </si>
  <si>
    <t>3015-000-115</t>
  </si>
  <si>
    <t xml:space="preserve">3015-000-115  Resi Revenue - Prosser CB       </t>
  </si>
  <si>
    <t>3015-000-200</t>
  </si>
  <si>
    <t xml:space="preserve">3015-000-200  Revenue-Prosser Commercial      </t>
  </si>
  <si>
    <t>3015-000-215</t>
  </si>
  <si>
    <t xml:space="preserve">3015-000-215  Comm Revenue - Prosser CB       </t>
  </si>
  <si>
    <t>3015-000-300</t>
  </si>
  <si>
    <t xml:space="preserve">3015-000-300  Revenue-Prosser Industrial      </t>
  </si>
  <si>
    <t>3015-000-315</t>
  </si>
  <si>
    <t xml:space="preserve">3015-000-315  Indust Revenue - Prosser CB     </t>
  </si>
  <si>
    <t>3015-000-400</t>
  </si>
  <si>
    <t xml:space="preserve">3015-000-400  Revenue-Prosser Pass Thru       </t>
  </si>
  <si>
    <t>3015-000-415</t>
  </si>
  <si>
    <t xml:space="preserve">3015-000-415  Pass-Thru Revenue - Prosser CB  </t>
  </si>
  <si>
    <t>3015-001-515</t>
  </si>
  <si>
    <t xml:space="preserve">3015-001-515  Other Revenue - Prosser Trans   </t>
  </si>
  <si>
    <t>3100-000-300</t>
  </si>
  <si>
    <t xml:space="preserve">3100-000-300  Revenue-WUTC Industrial         </t>
  </si>
  <si>
    <t>3100-000-302</t>
  </si>
  <si>
    <t xml:space="preserve">3100-000-302  Indust Revenue- 02 Franklin Co  </t>
  </si>
  <si>
    <t>3100-000-304</t>
  </si>
  <si>
    <t xml:space="preserve">3100-000-304  Indust Revenue- Walla Walla Co  </t>
  </si>
  <si>
    <t>3100-000-312</t>
  </si>
  <si>
    <t xml:space="preserve">3100-000-312  Indust Revenue - Richland Rec   </t>
  </si>
  <si>
    <t>3100-000-328</t>
  </si>
  <si>
    <t xml:space="preserve">3100-000-328  Indust Revenue - Becthel        </t>
  </si>
  <si>
    <t>3100-000-400</t>
  </si>
  <si>
    <t xml:space="preserve">3100-000-400  Revenue-WUTC D/F Pass Thru      </t>
  </si>
  <si>
    <t>3100-000-402</t>
  </si>
  <si>
    <t xml:space="preserve">3100-000-402  Pass-Thru Rev - 02 Franklin Co  </t>
  </si>
  <si>
    <t>3100-000-404</t>
  </si>
  <si>
    <t xml:space="preserve">3100-000-404  Pass-Thru Rev - Walla Walla Co  </t>
  </si>
  <si>
    <t>3100-000-428</t>
  </si>
  <si>
    <t xml:space="preserve">3100-000-428  Pass-Thru Revenue - Becthel     </t>
  </si>
  <si>
    <t>3100-010-303</t>
  </si>
  <si>
    <t xml:space="preserve">3100-010-303  Indust - Revenue- 03 Benton C   </t>
  </si>
  <si>
    <t>3100-010-403</t>
  </si>
  <si>
    <t xml:space="preserve">3100-010-403  Pass-Thru Reven - 03 Benton Co  </t>
  </si>
  <si>
    <t>3100-100-302</t>
  </si>
  <si>
    <t xml:space="preserve">3100-100-302  Indust Revenue - Franklin Cont  </t>
  </si>
  <si>
    <t>3100-100-304</t>
  </si>
  <si>
    <t xml:space="preserve">3100-100-304  Indust Revenue - WW Contract    </t>
  </si>
  <si>
    <t>3100-100-402</t>
  </si>
  <si>
    <t xml:space="preserve">3100-100-402  Pass-Thru Rev - Frank Contract  </t>
  </si>
  <si>
    <t>3120-000-300</t>
  </si>
  <si>
    <t xml:space="preserve">3120-000-300  Revenue-Benton City Industrial  </t>
  </si>
  <si>
    <t>3100-000-200</t>
  </si>
  <si>
    <t xml:space="preserve">3100-000-200  Revenue-WUTC Commercial         </t>
  </si>
  <si>
    <t>3100-000-202</t>
  </si>
  <si>
    <t xml:space="preserve">3100-000-202  Comm Revenue - 02 Franklin Co   </t>
  </si>
  <si>
    <t>3100-000-204</t>
  </si>
  <si>
    <t xml:space="preserve">3100-000-204  Comm Revenue - Walla Walla Co   </t>
  </si>
  <si>
    <t>3100-000-212</t>
  </si>
  <si>
    <t xml:space="preserve">3100-000-212  Comm Revenue - Richland Rec     </t>
  </si>
  <si>
    <t>3100-000-228</t>
  </si>
  <si>
    <t xml:space="preserve">3100-000-228  Comm Revenue - Becthel          </t>
  </si>
  <si>
    <t>3100-010-203</t>
  </si>
  <si>
    <t xml:space="preserve">3100-010-203  Comm Revenue - 03 Benton Co     </t>
  </si>
  <si>
    <t>3100-100-202</t>
  </si>
  <si>
    <t xml:space="preserve">3100-100-202  Comm Revenue - Franklin Contra  </t>
  </si>
  <si>
    <t>3100-110-203</t>
  </si>
  <si>
    <t xml:space="preserve">3100-110-203  Comm Revenue - Benton Contract  </t>
  </si>
  <si>
    <t>3100-110-503</t>
  </si>
  <si>
    <t xml:space="preserve">3100-110-503  Other Revenue - Benton Contrac  </t>
  </si>
  <si>
    <t>3100-000-100</t>
  </si>
  <si>
    <t xml:space="preserve">3100-000-100  Revenue-WUTC Residential        </t>
  </si>
  <si>
    <t>3100-000-102</t>
  </si>
  <si>
    <t xml:space="preserve">3100-000-102  Resi Revenue - 02 Frank Co      </t>
  </si>
  <si>
    <t>3100-000-104</t>
  </si>
  <si>
    <t xml:space="preserve">3100-000-104  Resi Revenue - Walla Walla Co   </t>
  </si>
  <si>
    <t>3100-010-103</t>
  </si>
  <si>
    <t xml:space="preserve">3100-010-103  Resi Revenue- 03 Benton Co      </t>
  </si>
  <si>
    <t>3000-000-300</t>
  </si>
  <si>
    <t xml:space="preserve">3000-000-300  Revenue-Pasco Industrial        </t>
  </si>
  <si>
    <t>3000-000-301</t>
  </si>
  <si>
    <t xml:space="preserve">3000-000-301  Indust Revenue - 01 Pasco       </t>
  </si>
  <si>
    <t>3000-000-400</t>
  </si>
  <si>
    <t xml:space="preserve">3000-000-400  Revenue-Pasco D/F Pass Thru     </t>
  </si>
  <si>
    <t>3000-000-401</t>
  </si>
  <si>
    <t xml:space="preserve">3000-000-401  Pass-Thru Rev - 01 PASCO        </t>
  </si>
  <si>
    <t>3000-010-201</t>
  </si>
  <si>
    <t xml:space="preserve">3000-010-201  Comm. Revenue - T1 Pasco        </t>
  </si>
  <si>
    <t>3000-010-301</t>
  </si>
  <si>
    <t xml:space="preserve">3000-010-301  Indust Revenue - T1 Pasco       </t>
  </si>
  <si>
    <t>3000-010-401</t>
  </si>
  <si>
    <t xml:space="preserve">3000-010-401  Pass-Thru Revenue - T1 Pasco    </t>
  </si>
  <si>
    <t>3000-000-200</t>
  </si>
  <si>
    <t xml:space="preserve">3000-000-200  Revenue-Pasco Commercial        </t>
  </si>
  <si>
    <t>3000-000-201</t>
  </si>
  <si>
    <t xml:space="preserve">3000-000-201  Comm Revenue - 01-PASCO         </t>
  </si>
  <si>
    <t>3000-000-100</t>
  </si>
  <si>
    <t xml:space="preserve">3000-000-100  Revenue-Pasco Residential       </t>
  </si>
  <si>
    <t>3000-000-101</t>
  </si>
  <si>
    <t xml:space="preserve">3000-000-101  Resi Rev - 01-PASCO             </t>
  </si>
  <si>
    <t xml:space="preserve">3000-000-101  Revenue-Pasco Residential       </t>
  </si>
  <si>
    <t xml:space="preserve">3000-000-201  Comm. Revenue - T1 Pasco        </t>
  </si>
  <si>
    <t>4100-100-020</t>
  </si>
  <si>
    <t>Utility</t>
  </si>
  <si>
    <t>4100-100-020  Wages-Regular                   Utility</t>
  </si>
  <si>
    <t>4100-200-020</t>
  </si>
  <si>
    <t>4100-200-020  Wages-Overtime                  Utility</t>
  </si>
  <si>
    <t>4100-600-020</t>
  </si>
  <si>
    <t>4100-600-020  Contract Labor                  Utility</t>
  </si>
  <si>
    <t>4100-000-030</t>
  </si>
  <si>
    <t>Mechanic</t>
  </si>
  <si>
    <t>4100-000-030  Wages-Salaried                  Mechanic</t>
  </si>
  <si>
    <t>4100-100-030</t>
  </si>
  <si>
    <t>4100-100-030  Wages-Regular                   Mechanic</t>
  </si>
  <si>
    <t>4100-200-030</t>
  </si>
  <si>
    <t>4100-200-030  Wages-Overtime                  Mechanic</t>
  </si>
  <si>
    <t>4100-100-040</t>
  </si>
  <si>
    <t>Welder</t>
  </si>
  <si>
    <t>4100-100-040  Wages-Regular                   Welder</t>
  </si>
  <si>
    <t>4100-200-040</t>
  </si>
  <si>
    <t>4100-200-040  Wages-Overtime                  Welder</t>
  </si>
  <si>
    <t>4100-600-040</t>
  </si>
  <si>
    <t>4100-600-040  Contract Labor                  Welder</t>
  </si>
  <si>
    <t>4100-000-050</t>
  </si>
  <si>
    <t>Supervisor</t>
  </si>
  <si>
    <t>4100-000-050  Wages-Salaried                  Supervisor</t>
  </si>
  <si>
    <t>4100-000-060</t>
  </si>
  <si>
    <t>CSR</t>
  </si>
  <si>
    <t>4100-000-060  Wages-Salaried                  CSR</t>
  </si>
  <si>
    <t>4100-100-060</t>
  </si>
  <si>
    <t>4100-100-060  Office Wages-Regular            CSR</t>
  </si>
  <si>
    <t>4100-200-060</t>
  </si>
  <si>
    <t>4100-200-060  Office Wages-Overtime           CSR</t>
  </si>
  <si>
    <t>4100-400-060</t>
  </si>
  <si>
    <t>4100-400-060  Wages Allocated - Office        CSR</t>
  </si>
  <si>
    <t>4100-600-060</t>
  </si>
  <si>
    <t>4100-600-060  Contract Labor                  CSR</t>
  </si>
  <si>
    <t>4100-100-062</t>
  </si>
  <si>
    <t>Accounting</t>
  </si>
  <si>
    <t>4100-100-062  Wages-Regular                   Accounting</t>
  </si>
  <si>
    <t>4100-200-062</t>
  </si>
  <si>
    <t>4100-200-062  Wages-Overtime                  Accounting</t>
  </si>
  <si>
    <t>4100-000-064</t>
  </si>
  <si>
    <t>Admin</t>
  </si>
  <si>
    <t>4100-000-064  Wages-Salaried                  Admin</t>
  </si>
  <si>
    <t>4100-100-064</t>
  </si>
  <si>
    <t>4100-100-064  Admin Wages-Regular             Admin</t>
  </si>
  <si>
    <t>4100-200-064</t>
  </si>
  <si>
    <t>4100-200-064  Admin Wages-Overtime            Admin</t>
  </si>
  <si>
    <t>4100-000-070</t>
  </si>
  <si>
    <t>Stockholder</t>
  </si>
  <si>
    <t>4100-000-070  Wages-Salaried                  Stockholder</t>
  </si>
  <si>
    <t>4100-400-070</t>
  </si>
  <si>
    <t>4100-400-070  Allocated Salaried              Stockholder</t>
  </si>
  <si>
    <t>4100-100-090</t>
  </si>
  <si>
    <t>4100-100-090  Wages-Regular                   DEL</t>
  </si>
  <si>
    <t>4100-200-090</t>
  </si>
  <si>
    <t>4100-200-090  Wages-Overtime                  DEL</t>
  </si>
  <si>
    <t>4100-400-090</t>
  </si>
  <si>
    <t>4100-400-090  Wages Allocated-DEL             DEL</t>
  </si>
  <si>
    <t>4100-100-100</t>
  </si>
  <si>
    <t>4100-100-100  Wages-Regular                   ASL</t>
  </si>
  <si>
    <t>4100-200-100</t>
  </si>
  <si>
    <t>4100-200-100  Wages-Overtime                  ASL</t>
  </si>
  <si>
    <t>4100-400-100</t>
  </si>
  <si>
    <t>4100-400-100  Wages Allocated                 ASL</t>
  </si>
  <si>
    <t>4100-600-100</t>
  </si>
  <si>
    <t>4100-600-100  Contract Haul                   ASL</t>
  </si>
  <si>
    <t>4100-100-120</t>
  </si>
  <si>
    <t>4100-100-120  Wages-Regular                   REL</t>
  </si>
  <si>
    <t>4100-200-120</t>
  </si>
  <si>
    <t>4100-200-120  Wages-Overtime                  REL</t>
  </si>
  <si>
    <t>4100-100-200</t>
  </si>
  <si>
    <t>4100-100-200  Wages-Regular                   FEL</t>
  </si>
  <si>
    <t>4100-200-200</t>
  </si>
  <si>
    <t>4100-200-200  Wages-Overtime                  FEL</t>
  </si>
  <si>
    <t>4100-100-300</t>
  </si>
  <si>
    <t>4100-100-300  Wages-Regular                   ROL</t>
  </si>
  <si>
    <t>4100-200-300</t>
  </si>
  <si>
    <t>4100-200-300  Wages-Overtime                  ROL</t>
  </si>
  <si>
    <t>4100-400-300</t>
  </si>
  <si>
    <t>4100-400-300  Wages Allocated-ROL             ROL</t>
  </si>
  <si>
    <t>4200-000-020</t>
  </si>
  <si>
    <t>4200-000-020  Group Medical                   Utility</t>
  </si>
  <si>
    <t>4200-100-020</t>
  </si>
  <si>
    <t>4200-100-020  Emp Benefits-401K               Utility</t>
  </si>
  <si>
    <t>4200-120-020</t>
  </si>
  <si>
    <t>4200-120-020  Emp Benefits- Life Ins          Utility</t>
  </si>
  <si>
    <t>4200-140-020</t>
  </si>
  <si>
    <t>4200-140-020  Wages-Vacation                  Utility</t>
  </si>
  <si>
    <t>4200-200-020</t>
  </si>
  <si>
    <t>4200-200-020  FICA                            Utility</t>
  </si>
  <si>
    <t>4200-220-020</t>
  </si>
  <si>
    <t>4200-220-020  Medicare                        Utility</t>
  </si>
  <si>
    <t>4200-240-020</t>
  </si>
  <si>
    <t>4200-240-020  FUTA                            Utility</t>
  </si>
  <si>
    <t>4200-300-020</t>
  </si>
  <si>
    <t>4200-300-020  SUTA                            Utility</t>
  </si>
  <si>
    <t>4200-320-020</t>
  </si>
  <si>
    <t>4200-320-020  L &amp; I                           Utility</t>
  </si>
  <si>
    <t>4200-500-020</t>
  </si>
  <si>
    <t>4200-500-020  Other Employee Costs            Utility</t>
  </si>
  <si>
    <t>4200-000-030</t>
  </si>
  <si>
    <t>4200-000-030  Group Medical                   Mechanic</t>
  </si>
  <si>
    <t>4200-100-030</t>
  </si>
  <si>
    <t>4200-100-030  Emp Benefits-401K               Mechanic</t>
  </si>
  <si>
    <t>4200-120-030</t>
  </si>
  <si>
    <t>4200-120-030  Emp Benefits- Life Ins          Mechanic</t>
  </si>
  <si>
    <t>4200-140-030</t>
  </si>
  <si>
    <t>4200-140-030  Wages-Vacation                  Mechanic</t>
  </si>
  <si>
    <t>4200-200-030</t>
  </si>
  <si>
    <t>4200-200-030  FICA                            Mechanic</t>
  </si>
  <si>
    <t>4200-220-030</t>
  </si>
  <si>
    <t>4200-220-030  Medicare                        Mechanic</t>
  </si>
  <si>
    <t>4200-240-030</t>
  </si>
  <si>
    <t>4200-240-030  FUTA                            Mechanic</t>
  </si>
  <si>
    <t>4200-300-030</t>
  </si>
  <si>
    <t>4200-300-030  SUTA                            Mechanic</t>
  </si>
  <si>
    <t>4200-320-030</t>
  </si>
  <si>
    <t>4200-320-030  L &amp; I                           Mechanic</t>
  </si>
  <si>
    <t>4200-500-030</t>
  </si>
  <si>
    <t>4200-500-030  Other Employee Costs            Mechanic</t>
  </si>
  <si>
    <t>4200-000-040</t>
  </si>
  <si>
    <t>4200-000-040  Group Medical                   Welder</t>
  </si>
  <si>
    <t>4200-100-040</t>
  </si>
  <si>
    <t>4200-100-040  Emp Benefits-401K               Welder</t>
  </si>
  <si>
    <t>4200-120-040</t>
  </si>
  <si>
    <t>4200-120-040  Emp Benefits- Life Ins          Welder</t>
  </si>
  <si>
    <t>4200-140-040</t>
  </si>
  <si>
    <t>4200-140-040  Wages-Vacation                  Welder</t>
  </si>
  <si>
    <t>4200-200-040</t>
  </si>
  <si>
    <t>4200-200-040  FICA                            Welder</t>
  </si>
  <si>
    <t>4200-220-040</t>
  </si>
  <si>
    <t>4200-220-040  Medicare                        Welder</t>
  </si>
  <si>
    <t>4200-240-040</t>
  </si>
  <si>
    <t>4200-240-040  FUTA                            Welder</t>
  </si>
  <si>
    <t>4200-300-040</t>
  </si>
  <si>
    <t>4200-300-040  SUTA                            Welder</t>
  </si>
  <si>
    <t>4200-320-040</t>
  </si>
  <si>
    <t>4200-320-040  L &amp; I                           Welder</t>
  </si>
  <si>
    <t>4200-500-040</t>
  </si>
  <si>
    <t>4200-500-040  Other Employee Costs            Welder</t>
  </si>
  <si>
    <t>4200-000-050</t>
  </si>
  <si>
    <t>4200-000-050  Group Medical                   Supervisor</t>
  </si>
  <si>
    <t>4200-100-050</t>
  </si>
  <si>
    <t>4200-100-050  Emp Benefits-401K               Supervisor</t>
  </si>
  <si>
    <t>4200-120-050</t>
  </si>
  <si>
    <t>4200-120-050  Emp Benefits - Life Ins         Supervisor</t>
  </si>
  <si>
    <t>4200-140-050</t>
  </si>
  <si>
    <t>4200-140-050  Vacation                        Supervisor</t>
  </si>
  <si>
    <t>4200-200-050</t>
  </si>
  <si>
    <t>4200-200-050  FICA                            Supervisor</t>
  </si>
  <si>
    <t>4200-220-050</t>
  </si>
  <si>
    <t>4200-220-050  Medicare                        Supervisor</t>
  </si>
  <si>
    <t>4200-240-050</t>
  </si>
  <si>
    <t>4200-240-050  FUTA                            Supervisor</t>
  </si>
  <si>
    <t>4200-300-050</t>
  </si>
  <si>
    <t>4200-300-050  SUTA                            Supervisor</t>
  </si>
  <si>
    <t>4200-320-050</t>
  </si>
  <si>
    <t>4200-320-050  L&amp;I                             Supervisor</t>
  </si>
  <si>
    <t>4200-000-060</t>
  </si>
  <si>
    <t>4200-000-060  Group Medical                   CSR</t>
  </si>
  <si>
    <t>4200-100-060</t>
  </si>
  <si>
    <t>4200-100-060  Emp Benefits-401K               CSR</t>
  </si>
  <si>
    <t>4200-120-060</t>
  </si>
  <si>
    <t>4200-120-060  Emp Benefits- Life Ins          CSR</t>
  </si>
  <si>
    <t>4200-140-060</t>
  </si>
  <si>
    <t>4200-140-060  Wages-Vacation                  CSR</t>
  </si>
  <si>
    <t>4200-200-060</t>
  </si>
  <si>
    <t>4200-200-060  FICA                            CSR</t>
  </si>
  <si>
    <t>4200-220-060</t>
  </si>
  <si>
    <t>4200-220-060  Medicare                        CSR</t>
  </si>
  <si>
    <t>4200-240-060</t>
  </si>
  <si>
    <t>4200-240-060  FUTA                            CSR</t>
  </si>
  <si>
    <t>4200-300-060</t>
  </si>
  <si>
    <t>4200-300-060  SUTA                            CSR</t>
  </si>
  <si>
    <t>4200-320-060</t>
  </si>
  <si>
    <t>4200-320-060  L &amp; I                           CSR</t>
  </si>
  <si>
    <t>4200-400-060</t>
  </si>
  <si>
    <t>4200-400-060  Employee Benefits Alloc-Office  CSR</t>
  </si>
  <si>
    <t>4200-500-060</t>
  </si>
  <si>
    <t>4200-500-060  Other Employee Costs            CSR</t>
  </si>
  <si>
    <t>4200-000-062</t>
  </si>
  <si>
    <t>4200-000-062  Group Medical                   Accounting</t>
  </si>
  <si>
    <t>4200-100-062</t>
  </si>
  <si>
    <t>4200-100-062  Emp Benefits-401K               Accounting</t>
  </si>
  <si>
    <t>4200-120-062</t>
  </si>
  <si>
    <t>4200-120-062  Emp Benefits - Life Ins         Accounting</t>
  </si>
  <si>
    <t>4200-140-062</t>
  </si>
  <si>
    <t>4200-140-062  Vacation                        Accounting</t>
  </si>
  <si>
    <t>4200-200-062</t>
  </si>
  <si>
    <t>4200-200-062  FICA                            Accounting</t>
  </si>
  <si>
    <t>4200-220-062</t>
  </si>
  <si>
    <t>4200-220-062  Medicare                        Accounting</t>
  </si>
  <si>
    <t>4200-240-062</t>
  </si>
  <si>
    <t>4200-240-062  FUTA                            Accounting</t>
  </si>
  <si>
    <t>4200-300-062</t>
  </si>
  <si>
    <t>4200-300-062  SUTA                            Accounting</t>
  </si>
  <si>
    <t>4200-320-062</t>
  </si>
  <si>
    <t>4200-320-062  L&amp;I                             Accounting</t>
  </si>
  <si>
    <t>4200-000-064</t>
  </si>
  <si>
    <t>4200-000-064  Group Medical                   Admin</t>
  </si>
  <si>
    <t>4200-100-064</t>
  </si>
  <si>
    <t>4200-100-064  Emp Benefits-401K               Admin</t>
  </si>
  <si>
    <t>4200-120-064</t>
  </si>
  <si>
    <t>4200-120-064  Emp Benefits - Life Ins         Admin</t>
  </si>
  <si>
    <t>4200-140-064</t>
  </si>
  <si>
    <t>4200-140-064  Vacations                       Admin</t>
  </si>
  <si>
    <t>4200-200-064</t>
  </si>
  <si>
    <t>4200-200-064  FICA                            Admin</t>
  </si>
  <si>
    <t>4200-220-064</t>
  </si>
  <si>
    <t>4200-220-064  Medicare                        Admin</t>
  </si>
  <si>
    <t>4200-240-064</t>
  </si>
  <si>
    <t>4200-240-064  FUTA                            Admin</t>
  </si>
  <si>
    <t>4200-300-064</t>
  </si>
  <si>
    <t>4200-300-064  SUTA                            Admin</t>
  </si>
  <si>
    <t>4200-320-064</t>
  </si>
  <si>
    <t>4200-320-064  L&amp;I                             Admin</t>
  </si>
  <si>
    <t>4200-500-064</t>
  </si>
  <si>
    <t>4200-500-064  Other Employee Costs            Admin</t>
  </si>
  <si>
    <t>4200-000-070</t>
  </si>
  <si>
    <t>4200-000-070  Group Medical                   Stockholder</t>
  </si>
  <si>
    <t>4200-100-070</t>
  </si>
  <si>
    <t>4200-100-070  Emp Benefits-401K               Stockholder</t>
  </si>
  <si>
    <t>4200-120-070</t>
  </si>
  <si>
    <t>4200-120-070  Emp Benefits- Life Ins          Stockholder</t>
  </si>
  <si>
    <t>4200-200-070</t>
  </si>
  <si>
    <t>4200-200-070  FICA                            Stockholder</t>
  </si>
  <si>
    <t>4200-220-070</t>
  </si>
  <si>
    <t>4200-220-070  Medicare                        Stockholder</t>
  </si>
  <si>
    <t>4200-240-070</t>
  </si>
  <si>
    <t>4200-240-070  FUTA                            Stockholder</t>
  </si>
  <si>
    <t>4200-300-070</t>
  </si>
  <si>
    <t>4200-300-070  SUTA                            Stockholder</t>
  </si>
  <si>
    <t>4200-320-070</t>
  </si>
  <si>
    <t>4200-320-070  L &amp; I                           Stockholder</t>
  </si>
  <si>
    <t>4200-400-070</t>
  </si>
  <si>
    <t>4200-400-070  Allocated Salaried Benefits     Stockholder</t>
  </si>
  <si>
    <t>4200-500-070</t>
  </si>
  <si>
    <t>4200-500-070  Other Employee Costs            Stockholder</t>
  </si>
  <si>
    <t>4200-000-090</t>
  </si>
  <si>
    <t>4200-000-090  Group Medical                   DEL</t>
  </si>
  <si>
    <t>4200-100-090</t>
  </si>
  <si>
    <t>4200-100-090  Emp Benefits-401K               DEL</t>
  </si>
  <si>
    <t>4200-120-090</t>
  </si>
  <si>
    <t>4200-120-090  Emp Benefits - Life Ins         DEL</t>
  </si>
  <si>
    <t>4200-140-090</t>
  </si>
  <si>
    <t>4200-140-090  Vacation                        DEL</t>
  </si>
  <si>
    <t>4200-200-090</t>
  </si>
  <si>
    <t>4200-200-090  FICA                            DEL</t>
  </si>
  <si>
    <t>4200-220-090</t>
  </si>
  <si>
    <t>4200-220-090  Medicare                        DEL</t>
  </si>
  <si>
    <t>4200-240-090</t>
  </si>
  <si>
    <t>4200-240-090  FUTA                            DEL</t>
  </si>
  <si>
    <t>4200-300-090</t>
  </si>
  <si>
    <t>4200-300-090  SUTA                            DEL</t>
  </si>
  <si>
    <t>4200-320-090</t>
  </si>
  <si>
    <t>4200-320-090  L&amp;I                             DEL</t>
  </si>
  <si>
    <t>4200-400-090</t>
  </si>
  <si>
    <t>4200-400-090  Employee Benefits Allocated     DEL</t>
  </si>
  <si>
    <t>4200-000-100</t>
  </si>
  <si>
    <t>4200-000-100  Group Medical                   ASL</t>
  </si>
  <si>
    <t>4200-100-100</t>
  </si>
  <si>
    <t>4200-100-100  Emp Benefits-401K               ASL</t>
  </si>
  <si>
    <t>4200-120-100</t>
  </si>
  <si>
    <t>4200-120-100  Emp Benefits- Life Ins          ASL</t>
  </si>
  <si>
    <t>4200-140-100</t>
  </si>
  <si>
    <t>4200-140-100  Wages-Vacation                  ASL</t>
  </si>
  <si>
    <t>4200-200-100</t>
  </si>
  <si>
    <t>4200-200-100  FICA                            ASL</t>
  </si>
  <si>
    <t>4200-220-100</t>
  </si>
  <si>
    <t>4200-220-100  Medicare                        ASL</t>
  </si>
  <si>
    <t>4200-240-100</t>
  </si>
  <si>
    <t>4200-240-100  FUTA                            ASL</t>
  </si>
  <si>
    <t>4200-300-100</t>
  </si>
  <si>
    <t>4200-300-100  SUTA                            ASL</t>
  </si>
  <si>
    <t>4200-320-100</t>
  </si>
  <si>
    <t>4200-320-100  L &amp; I                           ASL</t>
  </si>
  <si>
    <t>4200-400-100</t>
  </si>
  <si>
    <t>4200-400-100  Employee Benefits Allocated     ASL</t>
  </si>
  <si>
    <t>4200-500-100</t>
  </si>
  <si>
    <t>4200-500-100  Other Employee Costs            ASL</t>
  </si>
  <si>
    <t>4200-000-120</t>
  </si>
  <si>
    <t>4200-000-120  Group Medical                   REL</t>
  </si>
  <si>
    <t>4200-100-120</t>
  </si>
  <si>
    <t>4200-100-120  Emp Benefits-401K               REL</t>
  </si>
  <si>
    <t>4200-120-120</t>
  </si>
  <si>
    <t>4200-120-120  Emp Benefits - Life Ins         REL</t>
  </si>
  <si>
    <t>4200-140-120</t>
  </si>
  <si>
    <t>4200-140-120  Vacation                        REL</t>
  </si>
  <si>
    <t>4200-200-120</t>
  </si>
  <si>
    <t>4200-200-120  FICA                            REL</t>
  </si>
  <si>
    <t>4200-220-120</t>
  </si>
  <si>
    <t>4200-220-120  Medicare                        REL</t>
  </si>
  <si>
    <t>4200-240-120</t>
  </si>
  <si>
    <t>4200-240-120  FUTA                            REL</t>
  </si>
  <si>
    <t>4200-300-120</t>
  </si>
  <si>
    <t>4200-300-120  SUTA                            REL</t>
  </si>
  <si>
    <t>4200-320-120</t>
  </si>
  <si>
    <t>4200-320-120  L&amp;I                             REL</t>
  </si>
  <si>
    <t>4200-000-200</t>
  </si>
  <si>
    <t>4200-000-200  Group Medical                   FEL</t>
  </si>
  <si>
    <t>4200-100-200</t>
  </si>
  <si>
    <t>4200-100-200  Emp Benefits-401K               FEL</t>
  </si>
  <si>
    <t>4200-120-200</t>
  </si>
  <si>
    <t>4200-120-200  Emp Benefits - Life Ins         FEL</t>
  </si>
  <si>
    <t>4200-140-200</t>
  </si>
  <si>
    <t>4200-140-200  Wages-Vacation                  FEL</t>
  </si>
  <si>
    <t>4200-200-200</t>
  </si>
  <si>
    <t>4200-200-200  FICA                            FEL</t>
  </si>
  <si>
    <t>4200-220-200</t>
  </si>
  <si>
    <t>4200-220-200  Medicare                        FEL</t>
  </si>
  <si>
    <t>4200-240-200</t>
  </si>
  <si>
    <t>4200-240-200  FUTA                            FEL</t>
  </si>
  <si>
    <t>4200-300-200</t>
  </si>
  <si>
    <t>4200-300-200  SUTA                            FEL</t>
  </si>
  <si>
    <t>4200-320-200</t>
  </si>
  <si>
    <t>4200-320-200  L&amp;I                             FEL</t>
  </si>
  <si>
    <t>4200-000-300</t>
  </si>
  <si>
    <t>4200-000-300  Group Medical                   ROL</t>
  </si>
  <si>
    <t>4200-100-300</t>
  </si>
  <si>
    <t>4200-100-300  Emp Benefits-401K               ROL</t>
  </si>
  <si>
    <t>4200-120-300</t>
  </si>
  <si>
    <t>4200-120-300  Emp Benefits- Life Ins          ROL</t>
  </si>
  <si>
    <t>4200-140-300</t>
  </si>
  <si>
    <t>4200-140-300  Wages-Vacation                  ROL</t>
  </si>
  <si>
    <t>4200-200-300</t>
  </si>
  <si>
    <t>4200-200-300  FICA                            ROL</t>
  </si>
  <si>
    <t>4200-220-300</t>
  </si>
  <si>
    <t>4200-220-300  Medicare                        ROL</t>
  </si>
  <si>
    <t>4200-240-300</t>
  </si>
  <si>
    <t>4200-240-300  FUTA                            ROL</t>
  </si>
  <si>
    <t>4200-300-300</t>
  </si>
  <si>
    <t>4200-300-300  SUTA                            ROL</t>
  </si>
  <si>
    <t>4200-320-300</t>
  </si>
  <si>
    <t>4200-320-300  L &amp; I                           ROL</t>
  </si>
  <si>
    <t>4200-400-300</t>
  </si>
  <si>
    <t>4200-400-300  Employee Benefits Allocated     ROL</t>
  </si>
  <si>
    <t>4200-500-300</t>
  </si>
  <si>
    <t>4200-500-300  Other Employee Costs            ROL</t>
  </si>
  <si>
    <t>4300-000-000</t>
  </si>
  <si>
    <t xml:space="preserve">4300-000-000  Maint-Fleet Equip               </t>
  </si>
  <si>
    <t>4300-120-000</t>
  </si>
  <si>
    <t xml:space="preserve">4300-120-000  Maint-Lubricants                </t>
  </si>
  <si>
    <t>4300-140-000</t>
  </si>
  <si>
    <t xml:space="preserve">4300-140-000  Maint-Tires                     </t>
  </si>
  <si>
    <t>4300-160-000</t>
  </si>
  <si>
    <t xml:space="preserve">4300-160-000  Maint- Outside Repair           </t>
  </si>
  <si>
    <t>4300-000-090</t>
  </si>
  <si>
    <t>4300-000-090  Maint-Fleet Equip-DEL           DEL</t>
  </si>
  <si>
    <t>4300-140-090</t>
  </si>
  <si>
    <t>4300-140-090  Maint-Tires-DEL                 DEL</t>
  </si>
  <si>
    <t>4300-160-090</t>
  </si>
  <si>
    <t>4300-160-090  Maint- Outside Repair-DEL       DEL</t>
  </si>
  <si>
    <t>4300-260-090</t>
  </si>
  <si>
    <t>4300-260-090  Maint - Truck Wash              DEL</t>
  </si>
  <si>
    <t>4300-200-000</t>
  </si>
  <si>
    <t xml:space="preserve">4300-200-000  Maint- Building                 </t>
  </si>
  <si>
    <t>4300-000-100</t>
  </si>
  <si>
    <t>4300-000-100  Maint-Fleet Equip-ASL           ASL</t>
  </si>
  <si>
    <t>4300-140-100</t>
  </si>
  <si>
    <t>4300-140-100  Maint-Tires-ASL                 ASL</t>
  </si>
  <si>
    <t>4300-160-100</t>
  </si>
  <si>
    <t>4300-160-100  Maint- Outside Repair-ASL       ASL</t>
  </si>
  <si>
    <t>4300-220-000</t>
  </si>
  <si>
    <t xml:space="preserve">4300-220-000  Shop Supplies &amp; Small Tools     </t>
  </si>
  <si>
    <t>4300-260-100</t>
  </si>
  <si>
    <t>4300-260-100  Maint - Truck Wash              ASL</t>
  </si>
  <si>
    <t>4300-000-120</t>
  </si>
  <si>
    <t>4300-000-120  Maint-Fleet Equip-REL           REL</t>
  </si>
  <si>
    <t>4300-240-000</t>
  </si>
  <si>
    <t xml:space="preserve">4300-240-000  Utilities                       </t>
  </si>
  <si>
    <t>4300-260-000</t>
  </si>
  <si>
    <t xml:space="preserve">4300-260-000  Maint - Truck Wash              </t>
  </si>
  <si>
    <t>4300-140-120</t>
  </si>
  <si>
    <t>4300-140-120  Maint-Tires-REL                 REL</t>
  </si>
  <si>
    <t>4300-160-120</t>
  </si>
  <si>
    <t>4300-160-120  Maint- Outside Repair-REL       REL</t>
  </si>
  <si>
    <t>4300-280-000</t>
  </si>
  <si>
    <t xml:space="preserve">4300-280-000  Maint-Fuel Station              </t>
  </si>
  <si>
    <t>4300-260-120</t>
  </si>
  <si>
    <t>4300-260-120  Maint - Truck Wash              REL</t>
  </si>
  <si>
    <t>4300-000-200</t>
  </si>
  <si>
    <t>4300-000-200  Maint-Fleet Equip-FEL           FEL</t>
  </si>
  <si>
    <t>4300-300-000</t>
  </si>
  <si>
    <t xml:space="preserve">4300-300-000  Fuel Expense Diesel             </t>
  </si>
  <si>
    <t>4300-310-000</t>
  </si>
  <si>
    <t xml:space="preserve">4300-310-000  Fuel Tax Credit                 </t>
  </si>
  <si>
    <t>4300-140-200</t>
  </si>
  <si>
    <t>4300-140-200  Maint-Tires-FEL                 FEL</t>
  </si>
  <si>
    <t>4300-160-200</t>
  </si>
  <si>
    <t>4300-160-200  Maint- Outside Repair-FEL       FEL</t>
  </si>
  <si>
    <t>4300-260-200</t>
  </si>
  <si>
    <t>4300-260-200  Maint - Truck Wash              FEL</t>
  </si>
  <si>
    <t>4300-000-300</t>
  </si>
  <si>
    <t>4300-000-300  Maint-Fleet Equip-ROL           ROL</t>
  </si>
  <si>
    <t>4300-320-000</t>
  </si>
  <si>
    <t xml:space="preserve">4300-320-000  Fuel Exp/Purchase Fuel Station  </t>
  </si>
  <si>
    <t>4300-140-300</t>
  </si>
  <si>
    <t>4300-140-300  Maint-Tires-ROL                 ROL</t>
  </si>
  <si>
    <t>4300-160-300</t>
  </si>
  <si>
    <t>4300-160-300  Maint- Outside Repair-ROL       ROL</t>
  </si>
  <si>
    <t>4300-400-000</t>
  </si>
  <si>
    <t xml:space="preserve">4300-400-000  Fuel Expense NG                 </t>
  </si>
  <si>
    <t>4300-260-300</t>
  </si>
  <si>
    <t>4300-260-300  Maint - Truck Wash              ROL</t>
  </si>
  <si>
    <t>4301-000-000</t>
  </si>
  <si>
    <t xml:space="preserve">4301-000-000  Depreciation - Trucks           </t>
  </si>
  <si>
    <t>4301-000-090</t>
  </si>
  <si>
    <t>4301-000-090  Depreciation-Trucks-DEL         DEL</t>
  </si>
  <si>
    <t>4301-000-100</t>
  </si>
  <si>
    <t>4301-000-100  Depreciation-Trucks-ASL         ASL</t>
  </si>
  <si>
    <t>4301-000-200</t>
  </si>
  <si>
    <t>4301-000-200  Depreciation-Trucks-FEL         FEL</t>
  </si>
  <si>
    <t>4301-000-300</t>
  </si>
  <si>
    <t>4301-000-300  Depreciation-Trucks-ROL         ROL</t>
  </si>
  <si>
    <t>4303-000-000</t>
  </si>
  <si>
    <t xml:space="preserve">4303-000-000  Insurance Premiums-Fleet        </t>
  </si>
  <si>
    <t>4305-000-000</t>
  </si>
  <si>
    <t xml:space="preserve">4305-000-000  Vehicle Licenses &amp; Reg Fee      </t>
  </si>
  <si>
    <t>4307-000-000</t>
  </si>
  <si>
    <t xml:space="preserve">4307-000-000  Truck Rent Expense              </t>
  </si>
  <si>
    <t>4400-000-000</t>
  </si>
  <si>
    <t xml:space="preserve">4400-000-000  Maint-Containers                </t>
  </si>
  <si>
    <t>4401-000-000</t>
  </si>
  <si>
    <t xml:space="preserve">4401-000-000  Depreciation - Carts/Pts/Trls   </t>
  </si>
  <si>
    <t>4401-000-100</t>
  </si>
  <si>
    <t>4401-000-100  Depreciation - Resi Carts       ASL</t>
  </si>
  <si>
    <t>4401-000-200</t>
  </si>
  <si>
    <t>4401-000-200  Depreciation - Comm Carts       FEL</t>
  </si>
  <si>
    <t>4401-000-300</t>
  </si>
  <si>
    <t>4401-000-300  Depreciation - Indust Carts     ROL</t>
  </si>
  <si>
    <t>4407-000-000</t>
  </si>
  <si>
    <t xml:space="preserve">4407-000-000  Cart Rents                      </t>
  </si>
  <si>
    <t>4470-000-000</t>
  </si>
  <si>
    <t xml:space="preserve">4470-000-000  Personal Property Taxes         </t>
  </si>
  <si>
    <t>4501-000-000</t>
  </si>
  <si>
    <t xml:space="preserve">4501-000-000  Depreciation - Floor/Plant Eq   </t>
  </si>
  <si>
    <t>4507-100-000</t>
  </si>
  <si>
    <t xml:space="preserve">4507-100-000  Rent-Maintenance Facility       </t>
  </si>
  <si>
    <t>4570-000-000</t>
  </si>
  <si>
    <t xml:space="preserve">4570-000-000  Personal Property Taxes         </t>
  </si>
  <si>
    <t>4700-000-000</t>
  </si>
  <si>
    <t xml:space="preserve">4700-000-000  Insurance-Prop &amp; Liab           </t>
  </si>
  <si>
    <t>4700-200-000</t>
  </si>
  <si>
    <t xml:space="preserve">4700-200-000  Property Damage                 </t>
  </si>
  <si>
    <t>5000-000-000</t>
  </si>
  <si>
    <t xml:space="preserve">5000-000-000  Pasco City Tax                  </t>
  </si>
  <si>
    <t>5000-200-000</t>
  </si>
  <si>
    <t xml:space="preserve">5000-200-000  Kennewick City Tax              </t>
  </si>
  <si>
    <t>5300-000-000</t>
  </si>
  <si>
    <t xml:space="preserve">5300-000-000  State Excise Tax                </t>
  </si>
  <si>
    <t>5305-000-000</t>
  </si>
  <si>
    <t xml:space="preserve">5305-000-000  WUTC Reg Fee                    </t>
  </si>
  <si>
    <t>5999-000-000</t>
  </si>
  <si>
    <t xml:space="preserve">5999-000-000  Other Taxes &amp; Licenses          </t>
  </si>
  <si>
    <t>6000-200-000</t>
  </si>
  <si>
    <t xml:space="preserve">6000-200-000  Building &amp; Prop Maint           </t>
  </si>
  <si>
    <t>6000-210-000</t>
  </si>
  <si>
    <t xml:space="preserve">6000-210-000  Printing                        </t>
  </si>
  <si>
    <t>6000-220-000</t>
  </si>
  <si>
    <t xml:space="preserve">6000-220-000  Office Supplies &amp; Exp           </t>
  </si>
  <si>
    <t>6000-230-000</t>
  </si>
  <si>
    <t xml:space="preserve">6000-230-000  Bank Fees &amp; Charges             </t>
  </si>
  <si>
    <t>6000-240-000</t>
  </si>
  <si>
    <t xml:space="preserve">6000-240-000  Utilities                       </t>
  </si>
  <si>
    <t>6000-260-000</t>
  </si>
  <si>
    <t xml:space="preserve">6000-260-000  Telephone, Internet, &amp; Radio    </t>
  </si>
  <si>
    <t>6000-280-000</t>
  </si>
  <si>
    <t xml:space="preserve">6000-280-000  Computer Expense                </t>
  </si>
  <si>
    <t>6000-300-000</t>
  </si>
  <si>
    <t xml:space="preserve">6000-300-000  Dues &amp; Subscriptions            </t>
  </si>
  <si>
    <t>6000-310-000</t>
  </si>
  <si>
    <t xml:space="preserve">6000-310-000  WRRA Dues                       </t>
  </si>
  <si>
    <t>6000-320-000</t>
  </si>
  <si>
    <t xml:space="preserve">6000-320-000  Contributions                   </t>
  </si>
  <si>
    <t>6000-340-000</t>
  </si>
  <si>
    <t xml:space="preserve">6000-340-000  Pasco Newsletter                </t>
  </si>
  <si>
    <t>6000-360-000</t>
  </si>
  <si>
    <t xml:space="preserve">6000-360-000  Advertising                     </t>
  </si>
  <si>
    <t>6000-380-000</t>
  </si>
  <si>
    <t xml:space="preserve">6000-380-000  Seminars &amp; Education            </t>
  </si>
  <si>
    <t>6000-400-000</t>
  </si>
  <si>
    <t xml:space="preserve">6000-400-000  Business Travel                 </t>
  </si>
  <si>
    <t>6000-410-000</t>
  </si>
  <si>
    <t xml:space="preserve">6000-410-000  Meals &amp; Entertainment Exp       </t>
  </si>
  <si>
    <t>6000-426-000</t>
  </si>
  <si>
    <t xml:space="preserve">6000-426-000  Spudaire-Misc Flight Expenses   </t>
  </si>
  <si>
    <t>6000-500-000</t>
  </si>
  <si>
    <t xml:space="preserve">6000-500-000  Consulting &amp; Lobbying           </t>
  </si>
  <si>
    <t>6000-520-000</t>
  </si>
  <si>
    <t xml:space="preserve">6000-520-000  Law &amp; Outside Accounting        </t>
  </si>
  <si>
    <t>6000-540-000</t>
  </si>
  <si>
    <t xml:space="preserve">6000-540-000  Legal Fees Plp Matters          </t>
  </si>
  <si>
    <t>6001-000-000</t>
  </si>
  <si>
    <t xml:space="preserve">6001-000-000  Depreciation - Office Equip     </t>
  </si>
  <si>
    <t>6007-100-000</t>
  </si>
  <si>
    <t xml:space="preserve">6007-100-000  Rent - Office Facility          </t>
  </si>
  <si>
    <t>6100-000-000</t>
  </si>
  <si>
    <t xml:space="preserve">6100-000-000  Cash Over/Short                 </t>
  </si>
  <si>
    <t>7000-000-000</t>
  </si>
  <si>
    <t xml:space="preserve">7000-000-000  Bad Debts &amp; Collection Exp      </t>
  </si>
  <si>
    <t>7000-100-000</t>
  </si>
  <si>
    <t xml:space="preserve">7000-100-000  Misc Other                      </t>
  </si>
  <si>
    <t>7001-000-000</t>
  </si>
  <si>
    <t xml:space="preserve">7001-000-000  Misc Expense                    </t>
  </si>
  <si>
    <t>7002-000-000</t>
  </si>
  <si>
    <t xml:space="preserve">7002-000-000  Misc Revenue                    </t>
  </si>
  <si>
    <t>7005-000-000</t>
  </si>
  <si>
    <t xml:space="preserve">7005-000-000  Dump Fees Pasco Coupons         </t>
  </si>
  <si>
    <t>7015-000-000</t>
  </si>
  <si>
    <t xml:space="preserve">7015-000-000  Interest Income                 </t>
  </si>
  <si>
    <t>7018-000-000</t>
  </si>
  <si>
    <t xml:space="preserve">7018-000-000  Intra Co Interest               </t>
  </si>
  <si>
    <t>7020-000-000</t>
  </si>
  <si>
    <t xml:space="preserve">7020-000-000  Interest Expense                </t>
  </si>
  <si>
    <t>acct period month</t>
  </si>
  <si>
    <t>acct period year</t>
  </si>
  <si>
    <t>Basin Disposal, Inc. / Allocation Matrix</t>
  </si>
  <si>
    <t>Total  b/4</t>
  </si>
  <si>
    <t>Separations (from Pro Forma)</t>
  </si>
  <si>
    <t>Richland</t>
  </si>
  <si>
    <t>Becthel</t>
  </si>
  <si>
    <t>Other Revenues</t>
  </si>
  <si>
    <t>method</t>
  </si>
  <si>
    <t>REVENUE</t>
  </si>
  <si>
    <t>A</t>
  </si>
  <si>
    <t>CUSTOMERS</t>
  </si>
  <si>
    <t>B</t>
  </si>
  <si>
    <t>MAN HOURS</t>
  </si>
  <si>
    <t>TIP FEES</t>
  </si>
  <si>
    <t>D</t>
  </si>
  <si>
    <t xml:space="preserve">PAC </t>
  </si>
  <si>
    <t>E</t>
  </si>
  <si>
    <t>DIRECT &amp; D</t>
  </si>
  <si>
    <t>Direct</t>
  </si>
  <si>
    <t>DIRECT</t>
  </si>
  <si>
    <t>Kennewick</t>
  </si>
  <si>
    <t>#89 HEIL 7000 AUTO BOX</t>
  </si>
  <si>
    <t>#89 FET HEIL BOX</t>
  </si>
  <si>
    <t xml:space="preserve">INTANGIBLES </t>
  </si>
  <si>
    <t>PLP Legal Costs 2012</t>
  </si>
  <si>
    <t>PLP Legal Costs 2004 - 2011</t>
  </si>
  <si>
    <t>PLP Legal Costs 2013</t>
  </si>
  <si>
    <t>PLP Legal Costs 2014</t>
  </si>
  <si>
    <t>PLP Legal Costs 9 months of 2015</t>
  </si>
  <si>
    <t>Summary of Depreciation Cost and Average Investment</t>
  </si>
  <si>
    <t>Category</t>
  </si>
  <si>
    <t>CONTAINERS</t>
  </si>
  <si>
    <t>OFFICE EQUIPMENT</t>
  </si>
  <si>
    <t>SHOP &amp; GARAGE EQUIPMENT</t>
  </si>
  <si>
    <t>Residential</t>
  </si>
  <si>
    <t>Multi-family</t>
  </si>
  <si>
    <t>Recycling</t>
  </si>
  <si>
    <t>Commercial</t>
  </si>
  <si>
    <t>No.</t>
  </si>
  <si>
    <t>City</t>
  </si>
  <si>
    <t>Garbage</t>
  </si>
  <si>
    <t>(a)</t>
  </si>
  <si>
    <t>(b)</t>
  </si>
  <si>
    <t>(c)</t>
  </si>
  <si>
    <t>(d)</t>
  </si>
  <si>
    <t>(e)</t>
  </si>
  <si>
    <t>(f)</t>
  </si>
  <si>
    <t>(g)</t>
  </si>
  <si>
    <t>x</t>
  </si>
  <si>
    <t>Contracted Service</t>
  </si>
  <si>
    <t>Basin Disposal, Inc Non - Regulated Operations</t>
  </si>
  <si>
    <t>Dropbox</t>
  </si>
  <si>
    <t>Yard-Waste</t>
  </si>
  <si>
    <t>Compactor</t>
  </si>
  <si>
    <t>85, 86</t>
  </si>
  <si>
    <t>109, 110, 111</t>
  </si>
  <si>
    <t>Dump Fees Pasco Coupons</t>
  </si>
  <si>
    <t>19 to 21</t>
  </si>
  <si>
    <t>31, 32, 39, 40</t>
  </si>
  <si>
    <t>81, 83</t>
  </si>
  <si>
    <t>88, 90</t>
  </si>
  <si>
    <t>Man Hours</t>
  </si>
  <si>
    <t>Region</t>
  </si>
  <si>
    <t>Franchise</t>
  </si>
  <si>
    <t>ROL HOURS</t>
  </si>
  <si>
    <t>ASL HOURS</t>
  </si>
  <si>
    <t>FEL HOURS</t>
  </si>
  <si>
    <t>REL HOURS</t>
  </si>
  <si>
    <t>DEL HOURS</t>
  </si>
  <si>
    <t>TOTAL HOURS</t>
  </si>
  <si>
    <t>ALLOCATION %</t>
  </si>
  <si>
    <t>Benton Co</t>
  </si>
  <si>
    <t>Franklin Co</t>
  </si>
  <si>
    <t>Walla Walla Co</t>
  </si>
  <si>
    <t>WUTC Total</t>
  </si>
  <si>
    <t>RECYCLING</t>
  </si>
  <si>
    <t>Contract Total</t>
  </si>
  <si>
    <t>Total Annual</t>
  </si>
  <si>
    <t>Can Count Summary</t>
  </si>
  <si>
    <t>by Franchise / Tax Area</t>
  </si>
  <si>
    <t>Oct 2015 to Sept 2016</t>
  </si>
  <si>
    <t xml:space="preserve"> ------------------ Garbage - Can Size --------------------</t>
  </si>
  <si>
    <t>96REC</t>
  </si>
  <si>
    <t xml:space="preserve"> &lt;=96</t>
  </si>
  <si>
    <t>Sub Total</t>
  </si>
  <si>
    <t>Total Tax</t>
  </si>
  <si>
    <t>Total Due</t>
  </si>
  <si>
    <t>Total Cans</t>
  </si>
  <si>
    <t>C01</t>
  </si>
  <si>
    <t>C02</t>
  </si>
  <si>
    <t>Sub-total</t>
  </si>
  <si>
    <t>Tax</t>
  </si>
  <si>
    <t>Total Amt</t>
  </si>
  <si>
    <t>Cost per can</t>
  </si>
  <si>
    <t>03</t>
  </si>
  <si>
    <t>BDI-03-BEN_WUTC</t>
  </si>
  <si>
    <t>02</t>
  </si>
  <si>
    <t>BDI-02-FRAN_WUTC</t>
  </si>
  <si>
    <t>04</t>
  </si>
  <si>
    <t>BDI-04-WALLA_WUTC</t>
  </si>
  <si>
    <t>Non-Regulated</t>
  </si>
  <si>
    <t>01</t>
  </si>
  <si>
    <t>BDI-01-PASCO</t>
  </si>
  <si>
    <t>BDI-11-KENNEWICK</t>
  </si>
  <si>
    <t>08</t>
  </si>
  <si>
    <t>BDI-08-CONNELL_DIRECT_BILL</t>
  </si>
  <si>
    <t>BDI-DAYTON_DIRECT_BILL</t>
  </si>
  <si>
    <t>BDI-HATTON_CITY_BILL</t>
  </si>
  <si>
    <t>09</t>
  </si>
  <si>
    <t>BDI-KAHLOTUS_CITY_BILL</t>
  </si>
  <si>
    <t>07</t>
  </si>
  <si>
    <t>BDI-MESA_CITY_BILL</t>
  </si>
  <si>
    <t>15</t>
  </si>
  <si>
    <t>BDI-PROSSER_CITY_BILL</t>
  </si>
  <si>
    <t>BDI-WAITSBURG_CITY_BILL</t>
  </si>
  <si>
    <t>Total BDI</t>
  </si>
  <si>
    <t>BDI Distributions</t>
  </si>
  <si>
    <t>Sum of trx_amt</t>
  </si>
  <si>
    <t>Month</t>
  </si>
  <si>
    <t>chrt_acct_main</t>
  </si>
  <si>
    <t>chrt_acct_sub</t>
  </si>
  <si>
    <t>ref</t>
  </si>
  <si>
    <t>10-2015</t>
  </si>
  <si>
    <t>11-2015</t>
  </si>
  <si>
    <t>12-2015</t>
  </si>
  <si>
    <t>1-2016</t>
  </si>
  <si>
    <t>2-2016</t>
  </si>
  <si>
    <t>3-2016</t>
  </si>
  <si>
    <t>4-2016</t>
  </si>
  <si>
    <t>5-2016</t>
  </si>
  <si>
    <t>6-2016</t>
  </si>
  <si>
    <t>7-2016</t>
  </si>
  <si>
    <t>8-2016</t>
  </si>
  <si>
    <t>9-2016</t>
  </si>
  <si>
    <t>Grand Total</t>
  </si>
  <si>
    <t>60000000</t>
  </si>
  <si>
    <t>52000000</t>
  </si>
  <si>
    <t xml:space="preserve"> 65 BOA CC Allocation</t>
  </si>
  <si>
    <t>21 Allocate Cross-Co Expe</t>
  </si>
  <si>
    <t>50 Accrue FBW June Inv</t>
  </si>
  <si>
    <t>50 Accrue FBW Mar Inv</t>
  </si>
  <si>
    <t>50 Accrue Franklin Bus</t>
  </si>
  <si>
    <t>50 Accrue Shared Expenses</t>
  </si>
  <si>
    <t>Allocate Cross-Co Expense</t>
  </si>
  <si>
    <t>DAVIS GRIMM PAYNE &amp; MARRA</t>
  </si>
  <si>
    <t>FRANKLIN BUSINESS WORKS</t>
  </si>
  <si>
    <t>OSWALT TEEL &amp; FRANKLIN</t>
  </si>
  <si>
    <t>PARTNERS CLAIM SERVICES</t>
  </si>
  <si>
    <t>WILLIAMS, KASTNER &amp; GIBBS</t>
  </si>
  <si>
    <t>52000000 Total</t>
  </si>
  <si>
    <t>54000000</t>
  </si>
  <si>
    <t>99 Rclss E.Jens 8-15 Fees</t>
  </si>
  <si>
    <t>KEANE LAW OFFICES</t>
  </si>
  <si>
    <t>54000000 Total</t>
  </si>
  <si>
    <t>60000000 Total</t>
  </si>
  <si>
    <t>doc_no</t>
  </si>
  <si>
    <t>fiscal_yr</t>
  </si>
  <si>
    <t>chrt_acct_pc1</t>
  </si>
  <si>
    <t>chrt_acct_pc2</t>
  </si>
  <si>
    <t>trx_dat</t>
  </si>
  <si>
    <t>seq_no</t>
  </si>
  <si>
    <t>trx_amt</t>
  </si>
  <si>
    <t>trx_source</t>
  </si>
  <si>
    <t>jrnl_no</t>
  </si>
  <si>
    <t>date_posted</t>
  </si>
  <si>
    <t>10000000</t>
  </si>
  <si>
    <t>00000000</t>
  </si>
  <si>
    <t>AP</t>
  </si>
  <si>
    <t>137480</t>
  </si>
  <si>
    <t>AP8935</t>
  </si>
  <si>
    <t>137479</t>
  </si>
  <si>
    <t>137478</t>
  </si>
  <si>
    <t>137532</t>
  </si>
  <si>
    <t>AP9150</t>
  </si>
  <si>
    <t>137533</t>
  </si>
  <si>
    <t>137582</t>
  </si>
  <si>
    <t>AP9270</t>
  </si>
  <si>
    <t>137583</t>
  </si>
  <si>
    <t>AP9274</t>
  </si>
  <si>
    <t>137584</t>
  </si>
  <si>
    <t>137648</t>
  </si>
  <si>
    <t>AP9634</t>
  </si>
  <si>
    <t>137649</t>
  </si>
  <si>
    <t>137650</t>
  </si>
  <si>
    <t>137651</t>
  </si>
  <si>
    <t>137704</t>
  </si>
  <si>
    <t>AP9851</t>
  </si>
  <si>
    <t>137705</t>
  </si>
  <si>
    <t>137767</t>
  </si>
  <si>
    <t>AP0109</t>
  </si>
  <si>
    <t>137768</t>
  </si>
  <si>
    <t>147811</t>
  </si>
  <si>
    <t>AP0427</t>
  </si>
  <si>
    <t>147810</t>
  </si>
  <si>
    <t>147809</t>
  </si>
  <si>
    <t>147861</t>
  </si>
  <si>
    <t>AP0604</t>
  </si>
  <si>
    <t>147862</t>
  </si>
  <si>
    <t>147863</t>
  </si>
  <si>
    <t>147909</t>
  </si>
  <si>
    <t>AP0881</t>
  </si>
  <si>
    <t>147908</t>
  </si>
  <si>
    <t>147910</t>
  </si>
  <si>
    <t>147953</t>
  </si>
  <si>
    <t>AP1264</t>
  </si>
  <si>
    <t>147954</t>
  </si>
  <si>
    <t>147955</t>
  </si>
  <si>
    <t>147956</t>
  </si>
  <si>
    <t>01-101868</t>
  </si>
  <si>
    <t>AP1396</t>
  </si>
  <si>
    <t>AP1399</t>
  </si>
  <si>
    <t>148003</t>
  </si>
  <si>
    <t>148002</t>
  </si>
  <si>
    <t>148004</t>
  </si>
  <si>
    <t>148050</t>
  </si>
  <si>
    <t>AP1588</t>
  </si>
  <si>
    <t>148051</t>
  </si>
  <si>
    <t>148049</t>
  </si>
  <si>
    <t>148052</t>
  </si>
  <si>
    <t>148104</t>
  </si>
  <si>
    <t>AP0100296</t>
  </si>
  <si>
    <t>148103</t>
  </si>
  <si>
    <t>AP0100340</t>
  </si>
  <si>
    <t>148105</t>
  </si>
  <si>
    <t>148162</t>
  </si>
  <si>
    <t>148164</t>
  </si>
  <si>
    <t>AP0100420</t>
  </si>
  <si>
    <t>148211</t>
  </si>
  <si>
    <t>AP0100517</t>
  </si>
  <si>
    <t>148209</t>
  </si>
  <si>
    <t>148210</t>
  </si>
  <si>
    <t>148320</t>
  </si>
  <si>
    <t>AP0100902</t>
  </si>
  <si>
    <t>148321</t>
  </si>
  <si>
    <t>148322</t>
  </si>
  <si>
    <t>DI</t>
  </si>
  <si>
    <t>Refund Aspect Consulting</t>
  </si>
  <si>
    <t>GJ0101032</t>
  </si>
  <si>
    <t>partial refund Keane PLLC</t>
  </si>
  <si>
    <t>148362</t>
  </si>
  <si>
    <t>AP1000071</t>
  </si>
  <si>
    <t>148361</t>
  </si>
  <si>
    <t>148262</t>
  </si>
  <si>
    <t>AP1000584</t>
  </si>
  <si>
    <t>148261</t>
  </si>
  <si>
    <t>148263</t>
  </si>
  <si>
    <t>148405</t>
  </si>
  <si>
    <t>AP1000541</t>
  </si>
  <si>
    <t>148406</t>
  </si>
  <si>
    <t>148451</t>
  </si>
  <si>
    <t>AP1000731</t>
  </si>
  <si>
    <t>148453</t>
  </si>
  <si>
    <t>148452</t>
  </si>
  <si>
    <t>148494</t>
  </si>
  <si>
    <t>AP1000861</t>
  </si>
  <si>
    <t>148493</t>
  </si>
  <si>
    <t>148492</t>
  </si>
  <si>
    <t>148530</t>
  </si>
  <si>
    <t>AP1000990</t>
  </si>
  <si>
    <t>148531</t>
  </si>
  <si>
    <t>148532</t>
  </si>
  <si>
    <t>148533</t>
  </si>
  <si>
    <t>CO</t>
  </si>
  <si>
    <t xml:space="preserve"> Reimbursement - Talk wit</t>
  </si>
  <si>
    <t>GJ1001061</t>
  </si>
  <si>
    <t xml:space="preserve"> ACH Transfer to WW - the</t>
  </si>
  <si>
    <t>148571</t>
  </si>
  <si>
    <t>AP1001176</t>
  </si>
  <si>
    <t>148569</t>
  </si>
  <si>
    <t>148570</t>
  </si>
  <si>
    <t>148603</t>
  </si>
  <si>
    <t>AP1001288</t>
  </si>
  <si>
    <t>148602</t>
  </si>
  <si>
    <t>ERIC J JENSEN</t>
  </si>
  <si>
    <t>1028</t>
  </si>
  <si>
    <t>AP1001269</t>
  </si>
  <si>
    <t>148636</t>
  </si>
  <si>
    <t>AP1001430</t>
  </si>
  <si>
    <t>148637</t>
  </si>
  <si>
    <t>148635</t>
  </si>
  <si>
    <t>Customer Service</t>
  </si>
  <si>
    <t>Admin Wages</t>
  </si>
  <si>
    <t>Disposal Tonnage</t>
  </si>
  <si>
    <t>ROL Tons</t>
  </si>
  <si>
    <t>Packer Tons</t>
  </si>
  <si>
    <t>Newsletter Expense</t>
  </si>
  <si>
    <t>Newsletter</t>
  </si>
  <si>
    <t>Allocation</t>
  </si>
  <si>
    <t>Method</t>
  </si>
  <si>
    <t>Customers</t>
  </si>
  <si>
    <t>Unreg</t>
  </si>
  <si>
    <t>Driver Hours</t>
  </si>
  <si>
    <t xml:space="preserve">Average </t>
  </si>
  <si>
    <t>Regulated Operations</t>
  </si>
  <si>
    <t>Unregulated Operations</t>
  </si>
  <si>
    <t xml:space="preserve">DIRECT </t>
  </si>
  <si>
    <t>Add Resi</t>
  </si>
  <si>
    <t>Change in billing cycle</t>
  </si>
  <si>
    <t>Disposal Fee</t>
  </si>
  <si>
    <t>Increase</t>
  </si>
  <si>
    <t xml:space="preserve">Depreciaiton </t>
  </si>
  <si>
    <t>Adjustmnet</t>
  </si>
  <si>
    <t>Life Ins</t>
  </si>
  <si>
    <t xml:space="preserve">Total </t>
  </si>
  <si>
    <t>Lobby Cost</t>
  </si>
  <si>
    <t xml:space="preserve">All Lobby Expense remove </t>
  </si>
  <si>
    <t>ASSOCIATION OFWA BUSINESS</t>
  </si>
  <si>
    <t>PASCO CHAMBER OF COMMERCE</t>
  </si>
  <si>
    <t>Dues &amp; Subscriptions</t>
  </si>
  <si>
    <t>65 BOA CC Allocation</t>
  </si>
  <si>
    <t xml:space="preserve">CONNELL CHAMBER OF COMMER </t>
  </si>
  <si>
    <t>COSTCO WHOLESALE</t>
  </si>
  <si>
    <t xml:space="preserve">DAYTON CHAMBER </t>
  </si>
  <si>
    <t xml:space="preserve">HR SPECIALIST </t>
  </si>
  <si>
    <t xml:space="preserve">STATE OF WASHINGTON      </t>
  </si>
  <si>
    <t xml:space="preserve">VISIT TRI-CITIES          </t>
  </si>
  <si>
    <t xml:space="preserve">WA STATE RECYCLING ASSOC  </t>
  </si>
  <si>
    <t xml:space="preserve">WRRA                      </t>
  </si>
  <si>
    <t>WRRA</t>
  </si>
  <si>
    <t>Pass Thru Revenue Disposal Fees</t>
  </si>
  <si>
    <t>BASIN DISPOSAL, INC PRICE OUT/IMPACT STATEMENT(PRICE OUT)</t>
  </si>
  <si>
    <t>Item #</t>
  </si>
  <si>
    <t>Description</t>
  </si>
  <si>
    <t># monthly</t>
  </si>
  <si>
    <t>Current</t>
  </si>
  <si>
    <t xml:space="preserve">$ Total Revenue </t>
  </si>
  <si>
    <t>Proposed</t>
  </si>
  <si>
    <t>$ Proposed Revenue</t>
  </si>
  <si>
    <t>Impact</t>
  </si>
  <si>
    <t>Percent Change</t>
  </si>
  <si>
    <t>Returned Check Charges</t>
  </si>
  <si>
    <t>Restart Fees\Cart</t>
  </si>
  <si>
    <t>Restart Fees\Container</t>
  </si>
  <si>
    <t>Restart Fees\Drop Box</t>
  </si>
  <si>
    <t>Redelivery Fees\Cart</t>
  </si>
  <si>
    <t>Redelivery Fees\Container</t>
  </si>
  <si>
    <t>Redelivery Fees\Drop Box</t>
  </si>
  <si>
    <t>Over-sized/weight cans</t>
  </si>
  <si>
    <t>Overtime</t>
  </si>
  <si>
    <t>Overtime  - Min Charge</t>
  </si>
  <si>
    <t>Return Trips - Can, Unit, Mini Can</t>
  </si>
  <si>
    <t>Return Trips - Drum</t>
  </si>
  <si>
    <t>Return Trips - Bale</t>
  </si>
  <si>
    <t>Return Trips - Litter Recepticle</t>
  </si>
  <si>
    <t>Return Trips - Toter, All Sizes</t>
  </si>
  <si>
    <t>Return Trips - Container</t>
  </si>
  <si>
    <t>Return Trips - Drop Box</t>
  </si>
  <si>
    <t>Carry Out Svc \ Resi (5ft - 25ft)</t>
  </si>
  <si>
    <t>Carry Out Svc \ Resi (25ft +)</t>
  </si>
  <si>
    <t>Drive-Ins \ Resi (all distances)</t>
  </si>
  <si>
    <t>Drive ins - Commercial (Ea 1/10 mi)</t>
  </si>
  <si>
    <t>Can Carriage - Stairs\Steps -Each</t>
  </si>
  <si>
    <t>Can Carriage - Overhead Obstruction</t>
  </si>
  <si>
    <t>8'</t>
  </si>
  <si>
    <t>Can Carriage - Sunken or elevated</t>
  </si>
  <si>
    <t>4'</t>
  </si>
  <si>
    <t>Can\Unit Svc - Resdt'l WG Mini Can</t>
  </si>
  <si>
    <t>Minican</t>
  </si>
  <si>
    <t>Can\Unit Svc - Resdt'l MG Can</t>
  </si>
  <si>
    <t>1 Can</t>
  </si>
  <si>
    <t>Can\Unit Svc - Resdt'l  WG Can</t>
  </si>
  <si>
    <t>2 Can</t>
  </si>
  <si>
    <t>3 Can</t>
  </si>
  <si>
    <t>4 Can</t>
  </si>
  <si>
    <t>Can \Unit Svc - Resdt'l  WG Can</t>
  </si>
  <si>
    <t>5 Can</t>
  </si>
  <si>
    <t>6 Can</t>
  </si>
  <si>
    <t>Can\Unit Svc - Resdt'l  WG Auto Carts</t>
  </si>
  <si>
    <t>64 Gal</t>
  </si>
  <si>
    <t>96 Gal</t>
  </si>
  <si>
    <t>300 Gal</t>
  </si>
  <si>
    <t>Can\Unit Svc - Resdt'l Svc  Roll Out</t>
  </si>
  <si>
    <t>Can\Unit Svc - Resdt'l Svc  Extra 32 gallon unit</t>
  </si>
  <si>
    <t>Can\Unit Svc - Resdt'l Svc  Extra Bag</t>
  </si>
  <si>
    <t>Can\Unit Svc - Resdt'l Svc  Extra 64 gal cart</t>
  </si>
  <si>
    <t>Can\Unit Svc - Resdt'l Svc  Extra 96 gal cart</t>
  </si>
  <si>
    <t>Can\Unit Svc - Resdt'l Svc  On Call</t>
  </si>
  <si>
    <t>Can\Unit Svc - Resdt'l Svs  Delivery Fees 64/96/300</t>
  </si>
  <si>
    <t>Multi-Family</t>
  </si>
  <si>
    <t>Drums - Regular Route</t>
  </si>
  <si>
    <t>Drums - Special Pickup</t>
  </si>
  <si>
    <t>Litter Receptacle - Cust Owned</t>
  </si>
  <si>
    <t>Litter Receptacle - Company Owned</t>
  </si>
  <si>
    <t>Loose and Bulky - 1 to 4 cu</t>
  </si>
  <si>
    <t>Loose and Bulky - Addt'l cu yds</t>
  </si>
  <si>
    <t>Loose and Bulky - Min Charge</t>
  </si>
  <si>
    <t>Loose and Bulky - Carry Charge</t>
  </si>
  <si>
    <t>each 5'&gt;8</t>
  </si>
  <si>
    <t>Time Rates - Single Drive (Flatbed)</t>
  </si>
  <si>
    <t>Time Rates - Single Packer</t>
  </si>
  <si>
    <t>Time Rates - Single Drop Box</t>
  </si>
  <si>
    <t>Time Rates - Single Ea extra person</t>
  </si>
  <si>
    <t>Time Rates - Single Min Charge</t>
  </si>
  <si>
    <t>Time Rates - Tandem Non-Packer</t>
  </si>
  <si>
    <t>Time Rates - Tandem Packer</t>
  </si>
  <si>
    <t>Annual Total Residential</t>
  </si>
  <si>
    <t>Carry Out Svc - Commercial (5ft - 25ft)</t>
  </si>
  <si>
    <t>Carry Out Svc - Commercial (25ft +)</t>
  </si>
  <si>
    <t>Drive ins - Commercial (All distances)</t>
  </si>
  <si>
    <t>Can Carriage - Stairs\Steps</t>
  </si>
  <si>
    <t>Roll out Charges - Containers</t>
  </si>
  <si>
    <t>&gt;5&lt;25</t>
  </si>
  <si>
    <t>Roll out Charges - Carts</t>
  </si>
  <si>
    <t>Excess Weight - Overfilled Cart (All Sizes)</t>
  </si>
  <si>
    <t>Excess Weight - Overfilled Container</t>
  </si>
  <si>
    <t>per cu yd</t>
  </si>
  <si>
    <t>Excess Weight - Overfilled Dbox</t>
  </si>
  <si>
    <t>Washing\Steam Clean\Sanitizing</t>
  </si>
  <si>
    <t>Washing\Sanitizing - Container Delivery Charge</t>
  </si>
  <si>
    <t>Washing\Sanitizing - Dbox Delivery Charge</t>
  </si>
  <si>
    <t>Columbia Basin LLC - MSW</t>
  </si>
  <si>
    <t>City of Richland - MSW</t>
  </si>
  <si>
    <t>WM Kennewick - MSW</t>
  </si>
  <si>
    <t>Walla Walla Sudbury - MSW</t>
  </si>
  <si>
    <t>Finley Buttes - MSW</t>
  </si>
  <si>
    <t>City of Richland - Concrete, Dirt, Rock</t>
  </si>
  <si>
    <t>Walla Walla Sudbury - Cement,Asphalt, Concrete or Rock</t>
  </si>
  <si>
    <t>Columbia Basin LLC - Green Waste</t>
  </si>
  <si>
    <t>Columbia Basin LLC - Commingled Recycle</t>
  </si>
  <si>
    <t>Finley Buttes - Asbestos</t>
  </si>
  <si>
    <t>Walla Walla Sudbury - Asbestos</t>
  </si>
  <si>
    <t># - plus $28.50 per load fee</t>
  </si>
  <si>
    <t>Container Svc - 64 gal 1st p/u</t>
  </si>
  <si>
    <t>Container Svc - 64 gal Add'tl p/u</t>
  </si>
  <si>
    <t>Container Svc - 64 gal Spc'l p/u</t>
  </si>
  <si>
    <t>Container Svc - 96 gal 1st p/u</t>
  </si>
  <si>
    <t>Container Svc - 96 gal Add'tl p/u</t>
  </si>
  <si>
    <t>Container Svc - 96 gal Spc'l p/u</t>
  </si>
  <si>
    <t>Container Svc - 300 gal 1st p/u</t>
  </si>
  <si>
    <t>Container Svc - 300 gal Add'tl p/u</t>
  </si>
  <si>
    <t>EOW</t>
  </si>
  <si>
    <t>Container Svc - 300 gal Spc'l p/u</t>
  </si>
  <si>
    <t xml:space="preserve"> Container Svc - 1.0 Yd </t>
  </si>
  <si>
    <t>Perm</t>
  </si>
  <si>
    <t xml:space="preserve">Container Svc - 1.0 Yd </t>
  </si>
  <si>
    <t>Temp</t>
  </si>
  <si>
    <t>Special</t>
  </si>
  <si>
    <t>Container Svc - Rent</t>
  </si>
  <si>
    <t xml:space="preserve">Container Svc - 1.5Yd </t>
  </si>
  <si>
    <t>Daily</t>
  </si>
  <si>
    <t xml:space="preserve"> Container Svc - 2.0 Yd </t>
  </si>
  <si>
    <t>Container Svv</t>
  </si>
  <si>
    <t>2xWK</t>
  </si>
  <si>
    <t xml:space="preserve"> Container Svc - 3.0 Yd</t>
  </si>
  <si>
    <t>Container Svc -  3.0 Yd</t>
  </si>
  <si>
    <t xml:space="preserve">Container Svc - 4.0 Yd </t>
  </si>
  <si>
    <t>5xWK</t>
  </si>
  <si>
    <t xml:space="preserve"> Container Svc - 6.0  Yd</t>
  </si>
  <si>
    <t>3xWK</t>
  </si>
  <si>
    <t xml:space="preserve"> Container Svc - 6.0 Yd</t>
  </si>
  <si>
    <t xml:space="preserve"> Container Svc - 8.0  Yd</t>
  </si>
  <si>
    <t xml:space="preserve"> Container Svc - 8.0 Yd</t>
  </si>
  <si>
    <t>Container Svc - Initial Delivery</t>
  </si>
  <si>
    <t>Container Svc - Restart Fee</t>
  </si>
  <si>
    <t>Container Svc - Gate/Obstruction</t>
  </si>
  <si>
    <t>Comm'l Cans</t>
  </si>
  <si>
    <t>Cust Owned</t>
  </si>
  <si>
    <t>Comm'l Cans EXTRA</t>
  </si>
  <si>
    <t>Special Pick up</t>
  </si>
  <si>
    <t>Min Service</t>
  </si>
  <si>
    <t>Can Svc - Gare/Obstruction</t>
  </si>
  <si>
    <t>Container Svc - 1.5 Yd Compacted 1st p/u</t>
  </si>
  <si>
    <t>Container Svc - 1.5 Yd Compacted Ea Addt'l p/u</t>
  </si>
  <si>
    <t>Container Svc - 1.5 Yd Compacted Spc'l p/u</t>
  </si>
  <si>
    <t>Container Svc - 2.0 Yd Compacted 1st p/u</t>
  </si>
  <si>
    <t>Container Svc - 2.0 Yd Compacted Ea Addt'l p/u</t>
  </si>
  <si>
    <t>Container Svc - 2.0 Yd Compacted Spc'l p/u</t>
  </si>
  <si>
    <t>Container Svc - 3.0 Yd Compacted 1st p/u</t>
  </si>
  <si>
    <t>Container Svc - 3.0 Yd Compacted Ea Addt'l p/u</t>
  </si>
  <si>
    <t>Container Svc - 3.0 Yd Compacted Spc'l p/u</t>
  </si>
  <si>
    <t>Container Svc - 4.0 Yd Compacted 1st p/u</t>
  </si>
  <si>
    <t>Container Svc - 4.0 Yd Compacted Ea Addt'l p/u</t>
  </si>
  <si>
    <t>Container Svc - 4.0 Yd Compacted Spc'l p/u</t>
  </si>
  <si>
    <t>Container Svc - 6.0 Yd Compacted 1st p/u</t>
  </si>
  <si>
    <t>Container Svc - 6.0 Yd Compacted Ea Addt'l p/u</t>
  </si>
  <si>
    <t>Container Svc - 6.0 Yd Compacted Spc'l p/u</t>
  </si>
  <si>
    <t>Container Svc - 8.0 Yd Compacted 1st p/u</t>
  </si>
  <si>
    <t>Container Svc - 8.0 Yd Compacted Ea Addt'l p/u</t>
  </si>
  <si>
    <t>Container Svc - 8.0 Yd Compacted Spc'l p/u</t>
  </si>
  <si>
    <t>Container Svc - Disconnect</t>
  </si>
  <si>
    <t>Container Svc - Comp Material 2yd (Cust Owned)</t>
  </si>
  <si>
    <t>Container Svc - Comp Material 2yd Spc'l p/u</t>
  </si>
  <si>
    <t>Container Svc - Comp Material 3yd (Cust Owned)</t>
  </si>
  <si>
    <t>Container Svc - Comp Material 3yd Spc'l p/u</t>
  </si>
  <si>
    <t>Container Svc - Comp Material 4yd (Cust Owned)</t>
  </si>
  <si>
    <t>Container Svc - Comp Material Spc'l p/u</t>
  </si>
  <si>
    <t>Container Svc - Comp Material 6yd (Cust Owned)</t>
  </si>
  <si>
    <t>Container Svc - Comp Material 6yd Spc'l p/u</t>
  </si>
  <si>
    <t>Container Svc - Comp Material Gate/Obstruction</t>
  </si>
  <si>
    <t>Container Svc - Comp Material Disconnect Charge</t>
  </si>
  <si>
    <t>Annual Commercial Total</t>
  </si>
  <si>
    <t xml:space="preserve">Drop Box Annual Count </t>
  </si>
  <si>
    <t>Time Rates - Tandem Drop Box</t>
  </si>
  <si>
    <t>Time Rates - Tandem Ea extra person</t>
  </si>
  <si>
    <t>Time Rates - Tanden Min Charge</t>
  </si>
  <si>
    <t>Drop Box Svc - 11/ 15 Yd  Monthly Rent</t>
  </si>
  <si>
    <t>Drop Box Svc - 11/ 15 Yd  1st p/u</t>
  </si>
  <si>
    <t>Drop Box Svc - 11/ 15 Yd  Ea Addt'l p/u</t>
  </si>
  <si>
    <t xml:space="preserve">Drop Box Svc - 11/ 15 Yd </t>
  </si>
  <si>
    <t>Drop Box Svc - 11/ 15 Yd Delivery</t>
  </si>
  <si>
    <t>Drop Box Svc - Rent</t>
  </si>
  <si>
    <t xml:space="preserve">Daily </t>
  </si>
  <si>
    <t>Drop Box Svc - 20 Yd  Monthly Rent</t>
  </si>
  <si>
    <t>Drop Box Svc - 20Yd 1st p/u</t>
  </si>
  <si>
    <t>Drop Box Svc - 20Yd Ea Addt'l p/u</t>
  </si>
  <si>
    <t xml:space="preserve">Drop Box Svc - 20Yd </t>
  </si>
  <si>
    <t>Drop Box Svc - 20 Yd Delivery</t>
  </si>
  <si>
    <t>Drop Box Svc - Monthly Rent</t>
  </si>
  <si>
    <t>Drop Box Svc - 30 Yd 1st p/u</t>
  </si>
  <si>
    <t>Drop Box Svc - 30 Yd Ea Addt'l p/u</t>
  </si>
  <si>
    <t xml:space="preserve">Drop Box Svc - 30 Yd </t>
  </si>
  <si>
    <t>Drop Box Svc - 30 Yd Delivery</t>
  </si>
  <si>
    <t>Drop Box Svc - 40 Yd 1st p/u</t>
  </si>
  <si>
    <t>Drop Box Svc - 40 Yd Ea Addt'l p/u</t>
  </si>
  <si>
    <t xml:space="preserve">Drop Box Svc - 40 Yd </t>
  </si>
  <si>
    <t>Drop Box Svc - 40 Yd Delivery</t>
  </si>
  <si>
    <t>Drop Box Svc - 50 Yd 1st p/u</t>
  </si>
  <si>
    <t>Drop Box Svc - 50 Yd Ea Addt'l p/u</t>
  </si>
  <si>
    <t xml:space="preserve">Drop Box Svc - 50 Yd </t>
  </si>
  <si>
    <t>Drop Box Svc - 50 Yd Delivery</t>
  </si>
  <si>
    <t>Drop Box Svc - Initial Delivery (Perm &amp; Temp)</t>
  </si>
  <si>
    <t>Drop Box Svc - Mileage</t>
  </si>
  <si>
    <t>Drop Box Svc - Gate Charge</t>
  </si>
  <si>
    <t>Drop Box Svc - 30 Yd Comp</t>
  </si>
  <si>
    <t>Drop Box Svc - 30 Yd Comp - Rent</t>
  </si>
  <si>
    <t>Drop Box Svc - 35 Yd Comp</t>
  </si>
  <si>
    <t>Drop Box Svc - 35 Yd Comp - Rent</t>
  </si>
  <si>
    <t>Drop Box Svc - 40 Yd Comp</t>
  </si>
  <si>
    <t>Drop Box Svc - 40 Yd Comp - Rent</t>
  </si>
  <si>
    <t>Drop Box Svc - 45 Yd Comp</t>
  </si>
  <si>
    <t>Drop Box Svc - 45 Yd Comp -Rent</t>
  </si>
  <si>
    <t>Drop Box Svc - Disconnect</t>
  </si>
  <si>
    <t>Drop Box Svc - Comp Material (Cust Owned) Ea p/u</t>
  </si>
  <si>
    <t>15 yd</t>
  </si>
  <si>
    <t>20 yd</t>
  </si>
  <si>
    <t>Drop Box Svc - Comp Material (Cust Owned) Spc p/u</t>
  </si>
  <si>
    <t>15/20 yd</t>
  </si>
  <si>
    <t>30 yd</t>
  </si>
  <si>
    <t>40 yd</t>
  </si>
  <si>
    <t>30/40yd</t>
  </si>
  <si>
    <t>Annual Drop Box</t>
  </si>
  <si>
    <t>Residential Revenue</t>
  </si>
  <si>
    <t>Commerical Revenue</t>
  </si>
  <si>
    <t>Industrial Revenue</t>
  </si>
  <si>
    <t>Per Pro</t>
  </si>
  <si>
    <t>Forma</t>
  </si>
  <si>
    <t>Per Price</t>
  </si>
  <si>
    <t>Out</t>
  </si>
  <si>
    <t>Variance</t>
  </si>
  <si>
    <t>Labor Pro Forma Adjustment</t>
  </si>
  <si>
    <t>GROSS WAGES</t>
  </si>
  <si>
    <t>INCREASE</t>
  </si>
  <si>
    <t>PRO FORMA WAGE</t>
  </si>
  <si>
    <t>% CHANGE</t>
  </si>
  <si>
    <t>Stock-Holder</t>
  </si>
  <si>
    <t>Drivers</t>
  </si>
  <si>
    <t>Shop</t>
  </si>
  <si>
    <t>CONTROLLER</t>
  </si>
  <si>
    <t>GENERAL MANAGER</t>
  </si>
  <si>
    <t>STOCKHOLDER</t>
  </si>
  <si>
    <t>ROSTER WAGES</t>
  </si>
  <si>
    <t>BASIN DISPOSAL INC</t>
  </si>
  <si>
    <t>BALANCE SHEET</t>
  </si>
  <si>
    <t>As of September 30, 2016</t>
  </si>
  <si>
    <t>Actual</t>
  </si>
  <si>
    <t>Balance Sheet</t>
  </si>
  <si>
    <t>Acct</t>
  </si>
  <si>
    <t>ASSETS</t>
  </si>
  <si>
    <t>Current assets:</t>
  </si>
  <si>
    <t>Cash and cash equivalents</t>
  </si>
  <si>
    <t>Accounts receivable, net of allowance for doubtful accounts</t>
  </si>
  <si>
    <t>Due From Related party</t>
  </si>
  <si>
    <t>Prepaids and Other</t>
  </si>
  <si>
    <t>Property and equipment,</t>
  </si>
  <si>
    <t>Equipment and Vehicles</t>
  </si>
  <si>
    <t>Less: Accumulated Depreciation</t>
  </si>
  <si>
    <t>Net Property and Equipment</t>
  </si>
  <si>
    <t>Other Assets</t>
  </si>
  <si>
    <t>Land and Improvements</t>
  </si>
  <si>
    <t>Total Assets</t>
  </si>
  <si>
    <t>LIABILITIES AND EQUITY</t>
  </si>
  <si>
    <t>Current liabilities:</t>
  </si>
  <si>
    <t>Accounts Payable</t>
  </si>
  <si>
    <t>Accrued  Payroll Liabilities</t>
  </si>
  <si>
    <t>Accrued Business Taxes</t>
  </si>
  <si>
    <t>Due to Related Party</t>
  </si>
  <si>
    <t>Current Portion of Long Term Debt</t>
  </si>
  <si>
    <t>Deferred Revenue</t>
  </si>
  <si>
    <t>Long Term liabilities:</t>
  </si>
  <si>
    <t>Long Term Debt</t>
  </si>
  <si>
    <t>Other liabilities</t>
  </si>
  <si>
    <t>Total liabilities</t>
  </si>
  <si>
    <t>Equity:</t>
  </si>
  <si>
    <t>Common Stock and Paid in Capital</t>
  </si>
  <si>
    <t>Member's Equity</t>
  </si>
  <si>
    <t>Distributions - General</t>
  </si>
  <si>
    <t>Distributions - Fed Tax</t>
  </si>
  <si>
    <t>Distributions - Debt</t>
  </si>
  <si>
    <t>Retained Earnings</t>
  </si>
  <si>
    <t>Year To Date Net Earning/(Loss)</t>
  </si>
  <si>
    <t>Total liabilities and equity</t>
  </si>
  <si>
    <t>Adjust Depreciation per schedule</t>
  </si>
  <si>
    <t>Remove lobby expense Linda Dennis</t>
  </si>
  <si>
    <t>Remove lobby expense WRRA Dues</t>
  </si>
  <si>
    <t>Remove officer life insurance</t>
  </si>
  <si>
    <t>Record Revenue from Disposal Fee Increase rate</t>
  </si>
  <si>
    <t>Rate Case Expenses</t>
  </si>
  <si>
    <t xml:space="preserve">October </t>
  </si>
  <si>
    <t>Weldon Burton</t>
  </si>
  <si>
    <t>November</t>
  </si>
  <si>
    <t>January</t>
  </si>
  <si>
    <t>February</t>
  </si>
  <si>
    <t xml:space="preserve">March </t>
  </si>
  <si>
    <t>Estimated future</t>
  </si>
  <si>
    <t>Bell &amp; Associates</t>
  </si>
  <si>
    <t>Total accounting</t>
  </si>
  <si>
    <t>Mailing customer notice</t>
  </si>
  <si>
    <t>Postage  6,150 mailings @ .49</t>
  </si>
  <si>
    <t>Printing &amp; envelopes 6,150 @.75</t>
  </si>
  <si>
    <t>Total Rate Case Expense</t>
  </si>
  <si>
    <t>Customer</t>
  </si>
  <si>
    <t>SEE Labor Recon_BDI_RateSub Model for detail</t>
  </si>
  <si>
    <t xml:space="preserve">Depatment of Labor &amp; Industries </t>
  </si>
  <si>
    <t>Rate Increases 2015, 2016 &amp; 2017</t>
  </si>
  <si>
    <t>Class</t>
  </si>
  <si>
    <t>Class Code</t>
  </si>
  <si>
    <t>Accident</t>
  </si>
  <si>
    <t>Medical</t>
  </si>
  <si>
    <t xml:space="preserve">Stay at </t>
  </si>
  <si>
    <t>Sub-</t>
  </si>
  <si>
    <t>Supplement</t>
  </si>
  <si>
    <t>Hourly</t>
  </si>
  <si>
    <t>Code</t>
  </si>
  <si>
    <t>Fund</t>
  </si>
  <si>
    <t>Aid Fund</t>
  </si>
  <si>
    <t>Work</t>
  </si>
  <si>
    <t>Pension</t>
  </si>
  <si>
    <t>Rate</t>
  </si>
  <si>
    <t>Employee W/H</t>
  </si>
  <si>
    <t>Net Cost</t>
  </si>
  <si>
    <t>4305-18</t>
  </si>
  <si>
    <t>Solid Waste/Refuse Collection</t>
  </si>
  <si>
    <t>4904-00</t>
  </si>
  <si>
    <t>Clerical Offce NOC &amp; Draftsman</t>
  </si>
  <si>
    <t>6303-00</t>
  </si>
  <si>
    <t>Sales Personnel NOC-Outside</t>
  </si>
  <si>
    <t>Increase in Cost 2016 over 2015</t>
  </si>
  <si>
    <t>Dollars</t>
  </si>
  <si>
    <t>Percent</t>
  </si>
  <si>
    <t>Increase in Cost 2017 over 2016 - going forward increase</t>
  </si>
  <si>
    <t>Category not used by Basin</t>
  </si>
  <si>
    <t>L&amp;I Cost Calculation</t>
  </si>
  <si>
    <t>Test Period Premium Cost</t>
  </si>
  <si>
    <t>2017 Cost increase</t>
  </si>
  <si>
    <t>Premium Increase</t>
  </si>
  <si>
    <t>Jul_2016</t>
  </si>
  <si>
    <t>Aug_2016</t>
  </si>
  <si>
    <t>Sep_2016</t>
  </si>
  <si>
    <t>Jan_2017</t>
  </si>
  <si>
    <t>Feb_2017</t>
  </si>
  <si>
    <t>Fixed</t>
  </si>
  <si>
    <t>Estimated Pro Forma Increase</t>
  </si>
  <si>
    <t>Total Premium Cost</t>
  </si>
  <si>
    <t>2017 Cost Increase</t>
  </si>
  <si>
    <t>Medical Premium Cost Calculation Increase</t>
  </si>
  <si>
    <t>The ‘fixed’ amount is the actual insurance premiums.</t>
  </si>
  <si>
    <t xml:space="preserve">The ‘actual’ amount is the amount of dollars that BDI spent on Rx, doc visits, surgeries, etc., below the $40,000 reinsurance limit.  </t>
  </si>
  <si>
    <t xml:space="preserve">Any person who’s medical expenses exceed the $40,000, the reinsurance kicks in and reimburses the BDI Med Plan.  </t>
  </si>
  <si>
    <t>These amounts are then netted out against the incurred expenses.  Thus “actual’ is the net amount paid by BDI for medical claims.</t>
  </si>
  <si>
    <t>Medical Ins</t>
  </si>
  <si>
    <t>Premium Inc</t>
  </si>
  <si>
    <t>PA-6</t>
  </si>
  <si>
    <t>PA-7</t>
  </si>
  <si>
    <t xml:space="preserve">Industrial </t>
  </si>
  <si>
    <t>Insurance L&amp;I</t>
  </si>
  <si>
    <t>Disposal Fees - Tranfer Station - New</t>
  </si>
  <si>
    <t>Disposal Rate-new</t>
  </si>
  <si>
    <t>Tonnage</t>
  </si>
  <si>
    <t>Disposal Rate-old</t>
  </si>
  <si>
    <t>Disposal Fees - Tranfer Station</t>
  </si>
  <si>
    <t>Tonnage Recon to 12 Month P&amp;L</t>
  </si>
  <si>
    <t>Disposal Cost Per Contract</t>
  </si>
  <si>
    <t>&amp; Regulated Area</t>
  </si>
  <si>
    <t>Pro Forma</t>
  </si>
  <si>
    <t>Disposal Rate</t>
  </si>
  <si>
    <t>Disposal Cost</t>
  </si>
  <si>
    <t>Calculation of New Hire salary cost and benefits</t>
  </si>
  <si>
    <t>New Hires</t>
  </si>
  <si>
    <t>Emp ID</t>
  </si>
  <si>
    <t>Annual Salary</t>
  </si>
  <si>
    <t>Supporting</t>
  </si>
  <si>
    <t>Position in Exam period</t>
  </si>
  <si>
    <t>Salary in Exam Period</t>
  </si>
  <si>
    <t>Allocated to other entities</t>
  </si>
  <si>
    <t>New Hires Allocated to BDI'</t>
  </si>
  <si>
    <t>Replacment Employees</t>
  </si>
  <si>
    <t>Net Adj</t>
  </si>
  <si>
    <t>Total new hire</t>
  </si>
  <si>
    <t xml:space="preserve">Customer Service </t>
  </si>
  <si>
    <t>Driver</t>
  </si>
  <si>
    <t>Container</t>
  </si>
  <si>
    <t>Accountant</t>
  </si>
  <si>
    <t>BDI,EDS,YAK,WW,BLU</t>
  </si>
  <si>
    <t>Operations Manager</t>
  </si>
  <si>
    <t>BDI,EDS,YAK,WW</t>
  </si>
  <si>
    <t>FEL Lead</t>
  </si>
  <si>
    <t>Total Salary Cost</t>
  </si>
  <si>
    <t>Calculated as a ratio to total payroll by category to benefit or tax costs</t>
  </si>
  <si>
    <t>Group Insurnace</t>
  </si>
  <si>
    <t>Workers Comp</t>
  </si>
  <si>
    <t>Employee Benefits</t>
  </si>
  <si>
    <t>Payroll Taxes</t>
  </si>
  <si>
    <t>Stockholder Life Insurance</t>
  </si>
  <si>
    <t>not include disposal tonnage</t>
  </si>
  <si>
    <t>Trucking Fees which did</t>
  </si>
  <si>
    <t>PA-8</t>
  </si>
  <si>
    <t>PA-9</t>
  </si>
  <si>
    <t xml:space="preserve">New Hrie </t>
  </si>
  <si>
    <t>Salary</t>
  </si>
  <si>
    <t xml:space="preserve">401K Contribution </t>
  </si>
  <si>
    <t>Employees</t>
  </si>
  <si>
    <t>Gross Wages</t>
  </si>
  <si>
    <t>401K</t>
  </si>
  <si>
    <t>Contribution %</t>
  </si>
  <si>
    <t>To 5%</t>
  </si>
  <si>
    <t>Increase in contribution</t>
  </si>
  <si>
    <t>See 401K Workbook for further informaitnon</t>
  </si>
  <si>
    <t>Amortized Liab Ins</t>
  </si>
  <si>
    <t>2015_Oct</t>
  </si>
  <si>
    <t>2015_Nov</t>
  </si>
  <si>
    <t>2015_Dec</t>
  </si>
  <si>
    <t>2016_Jan</t>
  </si>
  <si>
    <t>2016_Feb</t>
  </si>
  <si>
    <t>2016_Mar</t>
  </si>
  <si>
    <t>2016_Apr</t>
  </si>
  <si>
    <t>2016_May</t>
  </si>
  <si>
    <t>2016_Jun</t>
  </si>
  <si>
    <t>2016_Jul</t>
  </si>
  <si>
    <t>2016_Aug</t>
  </si>
  <si>
    <t>2016_Sep</t>
  </si>
  <si>
    <t>2016_Oct</t>
  </si>
  <si>
    <t>2016_Nov</t>
  </si>
  <si>
    <t>2016_Dec</t>
  </si>
  <si>
    <t>2017_Jan</t>
  </si>
  <si>
    <t>2017_Feb</t>
  </si>
  <si>
    <t>2017_Mar</t>
  </si>
  <si>
    <t>2017_Apr</t>
  </si>
  <si>
    <t>2017_May</t>
  </si>
  <si>
    <t>2017_Jun</t>
  </si>
  <si>
    <t>PA-10</t>
  </si>
  <si>
    <t>General</t>
  </si>
  <si>
    <t>PA-11</t>
  </si>
  <si>
    <t>Contribution</t>
  </si>
  <si>
    <t>RA-2</t>
  </si>
  <si>
    <t>Remove Int Inc</t>
  </si>
  <si>
    <t>Interest Exp</t>
  </si>
  <si>
    <t>Set up adjustment for UTC Disposal Fee Case</t>
  </si>
  <si>
    <t>effective 2/1/17 TG-161280 &amp;</t>
  </si>
  <si>
    <t>request filed effective February 1, 2017 TG-161280</t>
  </si>
  <si>
    <t>Wage and Benefit adjustment</t>
  </si>
  <si>
    <t xml:space="preserve">Benefit Ajdustment </t>
  </si>
  <si>
    <t>Medical Insurance Premium Adjustments</t>
  </si>
  <si>
    <t>Rate Case Costs</t>
  </si>
  <si>
    <t>10-000-4303-000</t>
  </si>
  <si>
    <t>10-000-4700-000</t>
  </si>
  <si>
    <t>10-000-2550-000</t>
  </si>
  <si>
    <t>10-000-2550-020</t>
  </si>
  <si>
    <t>10-000-2550-030</t>
  </si>
  <si>
    <t>10-000-2550-040</t>
  </si>
  <si>
    <t>10-000-2550-060</t>
  </si>
  <si>
    <t>Period</t>
  </si>
  <si>
    <t>TOTAL</t>
  </si>
  <si>
    <t>LLC</t>
  </si>
  <si>
    <t>EDS</t>
  </si>
  <si>
    <t>YAK</t>
  </si>
  <si>
    <t>WW</t>
  </si>
  <si>
    <t>BLU</t>
  </si>
  <si>
    <t>Examination</t>
  </si>
  <si>
    <t>Post Exam</t>
  </si>
  <si>
    <t>2017_Jul</t>
  </si>
  <si>
    <t>2017_Aug</t>
  </si>
  <si>
    <t>2017_Sep</t>
  </si>
  <si>
    <t>2017_Oct</t>
  </si>
  <si>
    <t>2017_Nov</t>
  </si>
  <si>
    <t>2017_Dec</t>
  </si>
  <si>
    <t>Examination Pd</t>
  </si>
  <si>
    <t>General Liability Insurance Expense</t>
  </si>
  <si>
    <t>Test period ending 9/30/16</t>
  </si>
  <si>
    <t>BDI Insurance Fleet Equip Costs</t>
  </si>
  <si>
    <t xml:space="preserve">BDI Insurance Property &amp; Casulty </t>
  </si>
  <si>
    <t>Premium Cost from above</t>
  </si>
  <si>
    <t>adjustment</t>
  </si>
  <si>
    <t xml:space="preserve">The property damage account in pro forma is where hauler pays for self-insurnace claims or deductible costs </t>
  </si>
  <si>
    <t>See Insurance Pro Forma File</t>
  </si>
  <si>
    <t>PA-12</t>
  </si>
  <si>
    <t>WUTC Reg Fee</t>
  </si>
  <si>
    <t>Drop Box Disposal Pass-thru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</si>
</sst>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#,##0.0000_);\(#,##0.0000\)"/>
    <numFmt numFmtId="166" formatCode="0_)"/>
    <numFmt numFmtId="167" formatCode="#,##0.000_);\(#,##0.000\)"/>
    <numFmt numFmtId="168" formatCode="0.0000%"/>
    <numFmt numFmtId="169" formatCode="#,##0.000000_);\(#,##0.000000\)"/>
    <numFmt numFmtId="170" formatCode="0.0%"/>
    <numFmt numFmtId="171" formatCode="_(* #,##0_);_(* \(#,##0\);_(* &quot;-&quot;??_);_(@_)"/>
    <numFmt numFmtId="172" formatCode="[$-409]d\-mmm\-yy;@"/>
    <numFmt numFmtId="173" formatCode="&quot;$&quot;#,##0"/>
    <numFmt numFmtId="174" formatCode="_(&quot;$&quot;* #,##0_);_(&quot;$&quot;* \(#,##0\);_(&quot;$&quot;* &quot;-&quot;??_);_(@_)"/>
    <numFmt numFmtId="175" formatCode="&quot;$&quot;#,##0;[Red]&quot;$&quot;#,##0"/>
    <numFmt numFmtId="176" formatCode="&quot;$&quot;#,##0.00;[Red]&quot;$&quot;#,##0.00"/>
    <numFmt numFmtId="177" formatCode="#,##0.00000"/>
    <numFmt numFmtId="178" formatCode="#,##0.0000"/>
    <numFmt numFmtId="179" formatCode="&quot;$&quot;#,##0.00"/>
  </numFmts>
  <fonts count="80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"/>
    </font>
    <font>
      <sz val="9"/>
      <name val="Helv"/>
    </font>
    <font>
      <sz val="9"/>
      <color indexed="10"/>
      <name val="Helv"/>
    </font>
    <font>
      <sz val="14"/>
      <name val="Helv"/>
    </font>
    <font>
      <sz val="11"/>
      <color rgb="FF3F3F76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1"/>
      <color indexed="8"/>
      <name val="Arial Narrow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sz val="11"/>
      <color rgb="FF0033CC"/>
      <name val="Arial"/>
      <family val="2"/>
    </font>
    <font>
      <b/>
      <sz val="10"/>
      <color indexed="8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Wingdings 2"/>
      <family val="1"/>
      <charset val="2"/>
    </font>
    <font>
      <sz val="12"/>
      <name val="Helv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u/>
      <sz val="11"/>
      <name val="Times New Roman"/>
      <family val="1"/>
    </font>
    <font>
      <i/>
      <sz val="11"/>
      <name val="Times New Roman"/>
      <family val="1"/>
    </font>
    <font>
      <sz val="11"/>
      <color rgb="FFFF0000"/>
      <name val="Times New Roman"/>
      <family val="1"/>
    </font>
    <font>
      <b/>
      <i/>
      <sz val="11"/>
      <name val="Times New Roman"/>
      <family val="1"/>
    </font>
    <font>
      <b/>
      <sz val="11"/>
      <color theme="1"/>
      <name val="Arial"/>
      <family val="2"/>
    </font>
    <font>
      <sz val="12"/>
      <name val="Times New Roman"/>
      <family val="1"/>
    </font>
    <font>
      <sz val="11"/>
      <color indexed="10"/>
      <name val="Arial"/>
      <family val="2"/>
    </font>
    <font>
      <b/>
      <sz val="10"/>
      <color indexed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u/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sz val="11"/>
      <name val="Centaur"/>
      <family val="1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sz val="11"/>
      <color rgb="FF1F497D"/>
      <name val="Calibri"/>
      <family val="2"/>
    </font>
    <font>
      <sz val="11"/>
      <color rgb="FF000000"/>
      <name val="Calibri"/>
      <family val="2"/>
    </font>
    <font>
      <strike/>
      <sz val="10"/>
      <color indexed="8"/>
      <name val="Arial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mbria"/>
      <family val="1"/>
      <scheme val="major"/>
    </font>
    <font>
      <sz val="12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Helv"/>
    </font>
    <font>
      <sz val="11"/>
      <color indexed="8"/>
      <name val="Cambria"/>
      <family val="1"/>
      <scheme val="maj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4"/>
      <name val="Cambria"/>
      <family val="1"/>
      <scheme val="major"/>
    </font>
    <font>
      <b/>
      <sz val="14"/>
      <name val="Times New Roman"/>
      <family val="1"/>
    </font>
    <font>
      <b/>
      <sz val="12"/>
      <name val="Cambria"/>
      <family val="1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0">
    <xf numFmtId="164" fontId="0" fillId="0" borderId="0"/>
    <xf numFmtId="0" fontId="9" fillId="2" borderId="10" applyNumberFormat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" fillId="0" borderId="0"/>
    <xf numFmtId="0" fontId="19" fillId="0" borderId="0"/>
    <xf numFmtId="9" fontId="10" fillId="0" borderId="0" applyFont="0" applyFill="0" applyBorder="0" applyAlignment="0" applyProtection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" fillId="0" borderId="0"/>
    <xf numFmtId="0" fontId="19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 applyNumberFormat="0" applyFill="0" applyBorder="0" applyAlignment="0" applyProtection="0"/>
  </cellStyleXfs>
  <cellXfs count="631">
    <xf numFmtId="164" fontId="0" fillId="0" borderId="0" xfId="0"/>
    <xf numFmtId="164" fontId="5" fillId="0" borderId="0" xfId="0" applyFont="1"/>
    <xf numFmtId="164" fontId="5" fillId="0" borderId="0" xfId="0" applyFont="1" applyAlignment="1" applyProtection="1">
      <alignment horizontal="left"/>
    </xf>
    <xf numFmtId="164" fontId="5" fillId="0" borderId="0" xfId="0" applyFont="1" applyAlignment="1" applyProtection="1">
      <alignment horizontal="center"/>
    </xf>
    <xf numFmtId="10" fontId="5" fillId="0" borderId="0" xfId="0" applyNumberFormat="1" applyFont="1" applyProtection="1"/>
    <xf numFmtId="37" fontId="5" fillId="0" borderId="0" xfId="0" applyNumberFormat="1" applyFont="1" applyProtection="1"/>
    <xf numFmtId="39" fontId="5" fillId="0" borderId="0" xfId="0" applyNumberFormat="1" applyFont="1" applyProtection="1"/>
    <xf numFmtId="165" fontId="5" fillId="0" borderId="0" xfId="0" applyNumberFormat="1" applyFont="1" applyProtection="1"/>
    <xf numFmtId="164" fontId="5" fillId="0" borderId="0" xfId="0" applyFont="1" applyProtection="1"/>
    <xf numFmtId="167" fontId="5" fillId="0" borderId="0" xfId="0" applyNumberFormat="1" applyFont="1" applyProtection="1"/>
    <xf numFmtId="168" fontId="5" fillId="0" borderId="0" xfId="0" applyNumberFormat="1" applyFont="1" applyProtection="1"/>
    <xf numFmtId="164" fontId="6" fillId="0" borderId="0" xfId="0" applyFont="1"/>
    <xf numFmtId="164" fontId="6" fillId="0" borderId="0" xfId="0" applyFont="1" applyAlignment="1" applyProtection="1">
      <alignment horizontal="left"/>
    </xf>
    <xf numFmtId="5" fontId="6" fillId="0" borderId="0" xfId="0" applyNumberFormat="1" applyFont="1" applyProtection="1"/>
    <xf numFmtId="166" fontId="6" fillId="0" borderId="0" xfId="0" applyNumberFormat="1" applyFont="1" applyAlignment="1" applyProtection="1">
      <alignment horizontal="left"/>
    </xf>
    <xf numFmtId="164" fontId="6" fillId="0" borderId="0" xfId="0" applyFont="1" applyAlignment="1" applyProtection="1">
      <alignment horizontal="right"/>
    </xf>
    <xf numFmtId="39" fontId="6" fillId="0" borderId="0" xfId="0" applyNumberFormat="1" applyFont="1" applyProtection="1"/>
    <xf numFmtId="164" fontId="6" fillId="0" borderId="0" xfId="0" applyFont="1" applyProtection="1"/>
    <xf numFmtId="164" fontId="6" fillId="0" borderId="0" xfId="0" applyFont="1" applyAlignment="1" applyProtection="1">
      <alignment horizontal="fill"/>
    </xf>
    <xf numFmtId="169" fontId="6" fillId="0" borderId="0" xfId="0" applyNumberFormat="1" applyFont="1" applyProtection="1"/>
    <xf numFmtId="164" fontId="6" fillId="0" borderId="1" xfId="0" applyFont="1" applyBorder="1" applyAlignment="1" applyProtection="1">
      <alignment horizontal="left"/>
    </xf>
    <xf numFmtId="10" fontId="6" fillId="0" borderId="0" xfId="0" applyNumberFormat="1" applyFont="1" applyProtection="1"/>
    <xf numFmtId="165" fontId="6" fillId="0" borderId="0" xfId="0" applyNumberFormat="1" applyFont="1" applyProtection="1"/>
    <xf numFmtId="5" fontId="7" fillId="0" borderId="0" xfId="0" applyNumberFormat="1" applyFont="1" applyProtection="1"/>
    <xf numFmtId="167" fontId="7" fillId="0" borderId="0" xfId="0" applyNumberFormat="1" applyFont="1" applyProtection="1"/>
    <xf numFmtId="164" fontId="8" fillId="0" borderId="2" xfId="0" applyFont="1" applyBorder="1"/>
    <xf numFmtId="164" fontId="6" fillId="0" borderId="3" xfId="0" applyFont="1" applyBorder="1"/>
    <xf numFmtId="164" fontId="6" fillId="0" borderId="4" xfId="0" applyFont="1" applyBorder="1"/>
    <xf numFmtId="164" fontId="6" fillId="0" borderId="5" xfId="0" applyFont="1" applyBorder="1"/>
    <xf numFmtId="164" fontId="6" fillId="0" borderId="0" xfId="0" applyFont="1" applyBorder="1"/>
    <xf numFmtId="164" fontId="6" fillId="0" borderId="6" xfId="0" applyFont="1" applyBorder="1"/>
    <xf numFmtId="164" fontId="6" fillId="0" borderId="7" xfId="0" applyFont="1" applyBorder="1"/>
    <xf numFmtId="164" fontId="6" fillId="0" borderId="8" xfId="0" applyFont="1" applyBorder="1"/>
    <xf numFmtId="164" fontId="6" fillId="0" borderId="9" xfId="0" applyFont="1" applyBorder="1"/>
    <xf numFmtId="170" fontId="7" fillId="0" borderId="0" xfId="0" applyNumberFormat="1" applyFont="1" applyProtection="1"/>
    <xf numFmtId="170" fontId="6" fillId="0" borderId="0" xfId="0" applyNumberFormat="1" applyFont="1" applyProtection="1"/>
    <xf numFmtId="171" fontId="13" fillId="0" borderId="0" xfId="3" applyNumberFormat="1" applyFont="1" applyAlignment="1">
      <alignment horizontal="left"/>
    </xf>
    <xf numFmtId="0" fontId="14" fillId="0" borderId="0" xfId="3" applyNumberFormat="1" applyFont="1" applyAlignment="1">
      <alignment horizontal="center"/>
    </xf>
    <xf numFmtId="171" fontId="15" fillId="0" borderId="0" xfId="3" applyNumberFormat="1" applyFont="1" applyAlignment="1">
      <alignment horizontal="center"/>
    </xf>
    <xf numFmtId="171" fontId="16" fillId="0" borderId="0" xfId="2" applyNumberFormat="1" applyFont="1" applyAlignment="1">
      <alignment horizontal="center"/>
    </xf>
    <xf numFmtId="0" fontId="13" fillId="0" borderId="0" xfId="4" applyFont="1" applyAlignment="1">
      <alignment horizontal="left"/>
    </xf>
    <xf numFmtId="0" fontId="14" fillId="0" borderId="0" xfId="4" applyNumberFormat="1" applyFont="1" applyAlignment="1">
      <alignment horizontal="center"/>
    </xf>
    <xf numFmtId="49" fontId="17" fillId="0" borderId="8" xfId="4" applyNumberFormat="1" applyFont="1" applyBorder="1" applyAlignment="1">
      <alignment horizontal="center"/>
    </xf>
    <xf numFmtId="171" fontId="16" fillId="0" borderId="8" xfId="2" applyNumberFormat="1" applyFont="1" applyBorder="1" applyAlignment="1">
      <alignment horizontal="center"/>
    </xf>
    <xf numFmtId="171" fontId="10" fillId="0" borderId="0" xfId="2" applyNumberFormat="1" applyFont="1" applyAlignment="1">
      <alignment horizontal="left"/>
    </xf>
    <xf numFmtId="0" fontId="11" fillId="0" borderId="0" xfId="2" applyNumberFormat="1" applyFont="1" applyAlignment="1">
      <alignment horizontal="center"/>
    </xf>
    <xf numFmtId="172" fontId="9" fillId="2" borderId="10" xfId="1" applyNumberFormat="1" applyAlignment="1">
      <alignment horizontal="center"/>
    </xf>
    <xf numFmtId="0" fontId="18" fillId="0" borderId="0" xfId="4" applyFont="1" applyAlignment="1">
      <alignment horizontal="left"/>
    </xf>
    <xf numFmtId="0" fontId="15" fillId="0" borderId="0" xfId="4" applyFont="1" applyAlignment="1">
      <alignment horizontal="center"/>
    </xf>
    <xf numFmtId="0" fontId="16" fillId="0" borderId="0" xfId="5" applyFont="1" applyAlignment="1">
      <alignment horizontal="center"/>
    </xf>
    <xf numFmtId="171" fontId="20" fillId="0" borderId="0" xfId="3" applyNumberFormat="1" applyFont="1" applyAlignment="1">
      <alignment horizontal="center"/>
    </xf>
    <xf numFmtId="171" fontId="16" fillId="0" borderId="0" xfId="5" applyNumberFormat="1" applyFont="1" applyAlignment="1">
      <alignment horizontal="center"/>
    </xf>
    <xf numFmtId="171" fontId="20" fillId="0" borderId="8" xfId="3" applyNumberFormat="1" applyFont="1" applyBorder="1" applyAlignment="1">
      <alignment horizontal="center"/>
    </xf>
    <xf numFmtId="0" fontId="21" fillId="3" borderId="0" xfId="4" applyFont="1" applyFill="1" applyAlignment="1">
      <alignment horizontal="left"/>
    </xf>
    <xf numFmtId="0" fontId="14" fillId="3" borderId="0" xfId="4" applyNumberFormat="1" applyFont="1" applyFill="1" applyAlignment="1">
      <alignment horizontal="center"/>
    </xf>
    <xf numFmtId="171" fontId="15" fillId="3" borderId="0" xfId="3" applyNumberFormat="1" applyFont="1" applyFill="1" applyAlignment="1">
      <alignment horizontal="center"/>
    </xf>
    <xf numFmtId="171" fontId="16" fillId="3" borderId="0" xfId="5" applyNumberFormat="1" applyFont="1" applyFill="1" applyAlignment="1">
      <alignment horizontal="center"/>
    </xf>
    <xf numFmtId="0" fontId="21" fillId="0" borderId="0" xfId="4" applyFont="1" applyAlignment="1">
      <alignment horizontal="left"/>
    </xf>
    <xf numFmtId="171" fontId="20" fillId="0" borderId="0" xfId="3" applyNumberFormat="1" applyFont="1" applyBorder="1" applyAlignment="1">
      <alignment horizontal="center"/>
    </xf>
    <xf numFmtId="171" fontId="16" fillId="3" borderId="0" xfId="3" applyNumberFormat="1" applyFont="1" applyFill="1" applyBorder="1" applyAlignment="1">
      <alignment horizontal="center"/>
    </xf>
    <xf numFmtId="0" fontId="21" fillId="3" borderId="11" xfId="4" applyFont="1" applyFill="1" applyBorder="1" applyAlignment="1">
      <alignment horizontal="left"/>
    </xf>
    <xf numFmtId="0" fontId="14" fillId="3" borderId="11" xfId="4" applyNumberFormat="1" applyFont="1" applyFill="1" applyBorder="1" applyAlignment="1">
      <alignment horizontal="center"/>
    </xf>
    <xf numFmtId="171" fontId="18" fillId="3" borderId="11" xfId="3" applyNumberFormat="1" applyFont="1" applyFill="1" applyBorder="1" applyAlignment="1">
      <alignment horizontal="center"/>
    </xf>
    <xf numFmtId="0" fontId="21" fillId="4" borderId="0" xfId="4" applyFont="1" applyFill="1" applyAlignment="1">
      <alignment horizontal="left"/>
    </xf>
    <xf numFmtId="0" fontId="14" fillId="4" borderId="0" xfId="4" applyNumberFormat="1" applyFont="1" applyFill="1" applyAlignment="1">
      <alignment horizontal="center"/>
    </xf>
    <xf numFmtId="171" fontId="15" fillId="4" borderId="0" xfId="3" applyNumberFormat="1" applyFont="1" applyFill="1" applyAlignment="1">
      <alignment horizontal="center"/>
    </xf>
    <xf numFmtId="171" fontId="16" fillId="4" borderId="0" xfId="5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171" fontId="11" fillId="4" borderId="0" xfId="2" applyNumberFormat="1" applyFont="1" applyFill="1" applyAlignment="1">
      <alignment horizontal="left"/>
    </xf>
    <xf numFmtId="171" fontId="11" fillId="0" borderId="0" xfId="2" applyNumberFormat="1" applyFont="1" applyAlignment="1">
      <alignment horizontal="left"/>
    </xf>
    <xf numFmtId="0" fontId="14" fillId="0" borderId="0" xfId="4" applyNumberFormat="1" applyFont="1" applyFill="1" applyAlignment="1">
      <alignment horizontal="center"/>
    </xf>
    <xf numFmtId="171" fontId="15" fillId="0" borderId="0" xfId="3" applyNumberFormat="1" applyFont="1" applyFill="1" applyAlignment="1">
      <alignment horizontal="center"/>
    </xf>
    <xf numFmtId="0" fontId="21" fillId="4" borderId="11" xfId="4" applyFont="1" applyFill="1" applyBorder="1" applyAlignment="1">
      <alignment horizontal="left"/>
    </xf>
    <xf numFmtId="0" fontId="14" fillId="4" borderId="11" xfId="4" applyNumberFormat="1" applyFont="1" applyFill="1" applyBorder="1" applyAlignment="1">
      <alignment horizontal="center"/>
    </xf>
    <xf numFmtId="171" fontId="18" fillId="4" borderId="11" xfId="3" applyNumberFormat="1" applyFont="1" applyFill="1" applyBorder="1" applyAlignment="1">
      <alignment horizontal="center"/>
    </xf>
    <xf numFmtId="171" fontId="22" fillId="4" borderId="11" xfId="5" applyNumberFormat="1" applyFont="1" applyFill="1" applyBorder="1" applyAlignment="1">
      <alignment horizontal="center"/>
    </xf>
    <xf numFmtId="0" fontId="21" fillId="0" borderId="12" xfId="4" applyFont="1" applyBorder="1" applyAlignment="1">
      <alignment horizontal="left"/>
    </xf>
    <xf numFmtId="0" fontId="14" fillId="0" borderId="12" xfId="4" applyNumberFormat="1" applyFont="1" applyBorder="1" applyAlignment="1">
      <alignment horizontal="center"/>
    </xf>
    <xf numFmtId="171" fontId="18" fillId="0" borderId="12" xfId="3" applyNumberFormat="1" applyFont="1" applyBorder="1" applyAlignment="1">
      <alignment horizontal="center"/>
    </xf>
    <xf numFmtId="171" fontId="22" fillId="0" borderId="12" xfId="5" applyNumberFormat="1" applyFont="1" applyBorder="1" applyAlignment="1">
      <alignment horizontal="center"/>
    </xf>
    <xf numFmtId="0" fontId="14" fillId="0" borderId="0" xfId="2" applyNumberFormat="1" applyFont="1" applyAlignment="1">
      <alignment horizontal="center"/>
    </xf>
    <xf numFmtId="0" fontId="21" fillId="5" borderId="0" xfId="4" applyFont="1" applyFill="1" applyAlignment="1">
      <alignment horizontal="left"/>
    </xf>
    <xf numFmtId="0" fontId="14" fillId="5" borderId="0" xfId="4" applyNumberFormat="1" applyFont="1" applyFill="1" applyAlignment="1">
      <alignment horizontal="center"/>
    </xf>
    <xf numFmtId="171" fontId="15" fillId="5" borderId="0" xfId="3" applyNumberFormat="1" applyFont="1" applyFill="1" applyAlignment="1">
      <alignment horizontal="center"/>
    </xf>
    <xf numFmtId="171" fontId="16" fillId="5" borderId="0" xfId="5" applyNumberFormat="1" applyFont="1" applyFill="1" applyAlignment="1">
      <alignment horizontal="center"/>
    </xf>
    <xf numFmtId="0" fontId="21" fillId="5" borderId="11" xfId="4" applyFont="1" applyFill="1" applyBorder="1" applyAlignment="1">
      <alignment horizontal="left"/>
    </xf>
    <xf numFmtId="0" fontId="14" fillId="5" borderId="11" xfId="4" applyNumberFormat="1" applyFont="1" applyFill="1" applyBorder="1" applyAlignment="1">
      <alignment horizontal="center"/>
    </xf>
    <xf numFmtId="171" fontId="18" fillId="5" borderId="11" xfId="3" applyNumberFormat="1" applyFont="1" applyFill="1" applyBorder="1" applyAlignment="1">
      <alignment horizontal="center"/>
    </xf>
    <xf numFmtId="171" fontId="22" fillId="5" borderId="11" xfId="5" applyNumberFormat="1" applyFont="1" applyFill="1" applyBorder="1" applyAlignment="1">
      <alignment horizontal="center"/>
    </xf>
    <xf numFmtId="0" fontId="23" fillId="0" borderId="13" xfId="4" applyFont="1" applyBorder="1" applyAlignment="1">
      <alignment horizontal="left"/>
    </xf>
    <xf numFmtId="0" fontId="24" fillId="0" borderId="13" xfId="4" applyNumberFormat="1" applyFont="1" applyBorder="1" applyAlignment="1">
      <alignment horizontal="center"/>
    </xf>
    <xf numFmtId="171" fontId="23" fillId="0" borderId="13" xfId="3" applyNumberFormat="1" applyFont="1" applyBorder="1" applyAlignment="1">
      <alignment horizontal="center"/>
    </xf>
    <xf numFmtId="171" fontId="25" fillId="0" borderId="13" xfId="5" applyNumberFormat="1" applyFont="1" applyBorder="1" applyAlignment="1">
      <alignment horizontal="center"/>
    </xf>
    <xf numFmtId="171" fontId="18" fillId="0" borderId="0" xfId="3" applyNumberFormat="1" applyFont="1" applyAlignment="1">
      <alignment horizontal="center"/>
    </xf>
    <xf numFmtId="171" fontId="22" fillId="0" borderId="0" xfId="2" applyNumberFormat="1" applyFont="1" applyAlignment="1">
      <alignment horizontal="center"/>
    </xf>
    <xf numFmtId="0" fontId="28" fillId="0" borderId="0" xfId="5" applyFont="1" applyProtection="1"/>
    <xf numFmtId="0" fontId="29" fillId="0" borderId="0" xfId="5" applyFont="1" applyAlignment="1" applyProtection="1">
      <alignment horizontal="center"/>
    </xf>
    <xf numFmtId="171" fontId="13" fillId="0" borderId="0" xfId="2" applyNumberFormat="1" applyFont="1" applyProtection="1"/>
    <xf numFmtId="0" fontId="13" fillId="0" borderId="0" xfId="5" applyFont="1" applyProtection="1"/>
    <xf numFmtId="0" fontId="10" fillId="0" borderId="0" xfId="5" applyFont="1"/>
    <xf numFmtId="0" fontId="13" fillId="0" borderId="0" xfId="5" applyFont="1" applyFill="1" applyProtection="1"/>
    <xf numFmtId="0" fontId="11" fillId="0" borderId="0" xfId="5" applyFont="1" applyAlignment="1" applyProtection="1">
      <alignment horizontal="center"/>
    </xf>
    <xf numFmtId="171" fontId="13" fillId="0" borderId="0" xfId="2" applyNumberFormat="1" applyFont="1" applyAlignment="1" applyProtection="1">
      <alignment horizontal="center"/>
    </xf>
    <xf numFmtId="0" fontId="13" fillId="0" borderId="0" xfId="5" applyFont="1" applyAlignment="1" applyProtection="1">
      <alignment horizontal="center"/>
    </xf>
    <xf numFmtId="0" fontId="21" fillId="0" borderId="0" xfId="5" applyFont="1" applyProtection="1"/>
    <xf numFmtId="0" fontId="30" fillId="0" borderId="0" xfId="5" applyFont="1" applyAlignment="1" applyProtection="1">
      <alignment horizontal="center"/>
    </xf>
    <xf numFmtId="0" fontId="21" fillId="3" borderId="0" xfId="5" applyFont="1" applyFill="1" applyProtection="1"/>
    <xf numFmtId="0" fontId="29" fillId="3" borderId="0" xfId="5" applyFont="1" applyFill="1" applyAlignment="1" applyProtection="1">
      <alignment horizontal="center"/>
    </xf>
    <xf numFmtId="171" fontId="13" fillId="3" borderId="0" xfId="2" applyNumberFormat="1" applyFont="1" applyFill="1" applyProtection="1"/>
    <xf numFmtId="0" fontId="13" fillId="3" borderId="0" xfId="5" applyFont="1" applyFill="1" applyProtection="1"/>
    <xf numFmtId="5" fontId="13" fillId="0" borderId="0" xfId="5" applyNumberFormat="1" applyFont="1" applyBorder="1" applyProtection="1"/>
    <xf numFmtId="5" fontId="13" fillId="0" borderId="0" xfId="5" applyNumberFormat="1" applyFont="1" applyProtection="1"/>
    <xf numFmtId="5" fontId="13" fillId="5" borderId="0" xfId="5" applyNumberFormat="1" applyFont="1" applyFill="1" applyProtection="1"/>
    <xf numFmtId="171" fontId="13" fillId="5" borderId="0" xfId="2" applyNumberFormat="1" applyFont="1" applyFill="1" applyProtection="1"/>
    <xf numFmtId="171" fontId="13" fillId="0" borderId="0" xfId="5" applyNumberFormat="1" applyFont="1" applyProtection="1"/>
    <xf numFmtId="0" fontId="13" fillId="5" borderId="0" xfId="5" applyFont="1" applyFill="1" applyProtection="1"/>
    <xf numFmtId="37" fontId="13" fillId="5" borderId="0" xfId="5" applyNumberFormat="1" applyFont="1" applyFill="1" applyProtection="1"/>
    <xf numFmtId="37" fontId="13" fillId="0" borderId="0" xfId="5" applyNumberFormat="1" applyFont="1" applyProtection="1"/>
    <xf numFmtId="37" fontId="13" fillId="0" borderId="0" xfId="5" applyNumberFormat="1" applyFont="1" applyFill="1" applyProtection="1"/>
    <xf numFmtId="37" fontId="13" fillId="5" borderId="0" xfId="5" applyNumberFormat="1" applyFont="1" applyFill="1" applyBorder="1" applyProtection="1"/>
    <xf numFmtId="171" fontId="10" fillId="0" borderId="0" xfId="2" applyNumberFormat="1" applyFont="1" applyProtection="1"/>
    <xf numFmtId="171" fontId="13" fillId="0" borderId="14" xfId="2" applyNumberFormat="1" applyFont="1" applyFill="1" applyBorder="1" applyProtection="1"/>
    <xf numFmtId="5" fontId="13" fillId="0" borderId="8" xfId="5" applyNumberFormat="1" applyFont="1" applyBorder="1" applyProtection="1"/>
    <xf numFmtId="37" fontId="13" fillId="0" borderId="14" xfId="5" applyNumberFormat="1" applyFont="1" applyBorder="1" applyProtection="1"/>
    <xf numFmtId="37" fontId="13" fillId="5" borderId="14" xfId="5" applyNumberFormat="1" applyFont="1" applyFill="1" applyBorder="1" applyProtection="1"/>
    <xf numFmtId="37" fontId="13" fillId="0" borderId="14" xfId="5" applyNumberFormat="1" applyFont="1" applyFill="1" applyBorder="1" applyProtection="1"/>
    <xf numFmtId="0" fontId="21" fillId="6" borderId="0" xfId="5" applyFont="1" applyFill="1" applyProtection="1"/>
    <xf numFmtId="0" fontId="29" fillId="6" borderId="0" xfId="5" applyFont="1" applyFill="1" applyAlignment="1" applyProtection="1">
      <alignment horizontal="center"/>
    </xf>
    <xf numFmtId="171" fontId="13" fillId="6" borderId="0" xfId="2" applyNumberFormat="1" applyFont="1" applyFill="1" applyProtection="1"/>
    <xf numFmtId="0" fontId="13" fillId="6" borderId="0" xfId="5" applyFont="1" applyFill="1" applyProtection="1"/>
    <xf numFmtId="10" fontId="13" fillId="0" borderId="0" xfId="6" applyNumberFormat="1" applyFont="1" applyFill="1" applyProtection="1"/>
    <xf numFmtId="171" fontId="13" fillId="0" borderId="0" xfId="2" applyNumberFormat="1" applyFont="1" applyFill="1" applyProtection="1"/>
    <xf numFmtId="37" fontId="13" fillId="0" borderId="0" xfId="5" applyNumberFormat="1" applyFont="1" applyFill="1" applyBorder="1" applyProtection="1"/>
    <xf numFmtId="37" fontId="13" fillId="7" borderId="15" xfId="5" applyNumberFormat="1" applyFont="1" applyFill="1" applyBorder="1" applyProtection="1"/>
    <xf numFmtId="10" fontId="31" fillId="0" borderId="0" xfId="6" applyNumberFormat="1" applyFont="1" applyFill="1" applyBorder="1" applyProtection="1"/>
    <xf numFmtId="171" fontId="13" fillId="0" borderId="0" xfId="2" applyNumberFormat="1" applyFont="1" applyFill="1" applyBorder="1" applyProtection="1"/>
    <xf numFmtId="0" fontId="10" fillId="5" borderId="0" xfId="5" applyFont="1" applyFill="1"/>
    <xf numFmtId="0" fontId="13" fillId="0" borderId="0" xfId="5" applyFont="1" applyFill="1" applyBorder="1" applyProtection="1"/>
    <xf numFmtId="37" fontId="13" fillId="5" borderId="0" xfId="5" applyNumberFormat="1" applyFont="1" applyFill="1" applyBorder="1" applyAlignment="1" applyProtection="1"/>
    <xf numFmtId="0" fontId="13" fillId="0" borderId="0" xfId="5" applyFont="1" applyBorder="1" applyProtection="1"/>
    <xf numFmtId="0" fontId="10" fillId="0" borderId="0" xfId="5" applyFont="1" applyFill="1"/>
    <xf numFmtId="0" fontId="29" fillId="0" borderId="0" xfId="5" applyFont="1" applyAlignment="1">
      <alignment horizontal="center"/>
    </xf>
    <xf numFmtId="171" fontId="10" fillId="0" borderId="0" xfId="2" applyNumberFormat="1" applyFont="1" applyFill="1" applyBorder="1"/>
    <xf numFmtId="171" fontId="10" fillId="0" borderId="0" xfId="2" applyNumberFormat="1" applyFont="1" applyFill="1"/>
    <xf numFmtId="171" fontId="10" fillId="0" borderId="0" xfId="2" applyNumberFormat="1" applyFont="1" applyFill="1" applyProtection="1"/>
    <xf numFmtId="171" fontId="10" fillId="5" borderId="0" xfId="2" applyNumberFormat="1" applyFont="1" applyFill="1"/>
    <xf numFmtId="0" fontId="29" fillId="0" borderId="0" xfId="5" applyFont="1" applyFill="1" applyAlignment="1" applyProtection="1">
      <alignment horizontal="center"/>
    </xf>
    <xf numFmtId="171" fontId="13" fillId="0" borderId="13" xfId="2" applyNumberFormat="1" applyFont="1" applyBorder="1" applyProtection="1"/>
    <xf numFmtId="37" fontId="13" fillId="0" borderId="13" xfId="5" applyNumberFormat="1" applyFont="1" applyBorder="1" applyProtection="1"/>
    <xf numFmtId="171" fontId="10" fillId="0" borderId="0" xfId="2" applyNumberFormat="1" applyFont="1"/>
    <xf numFmtId="171" fontId="13" fillId="0" borderId="0" xfId="2" applyNumberFormat="1" applyFont="1" applyBorder="1" applyProtection="1"/>
    <xf numFmtId="164" fontId="33" fillId="0" borderId="0" xfId="0" applyFont="1"/>
    <xf numFmtId="10" fontId="13" fillId="0" borderId="0" xfId="5" applyNumberFormat="1" applyFont="1" applyBorder="1" applyProtection="1"/>
    <xf numFmtId="171" fontId="10" fillId="0" borderId="0" xfId="5" applyNumberFormat="1" applyFont="1"/>
    <xf numFmtId="43" fontId="10" fillId="0" borderId="0" xfId="5" applyNumberFormat="1" applyFont="1"/>
    <xf numFmtId="10" fontId="13" fillId="0" borderId="0" xfId="5" applyNumberFormat="1" applyFont="1" applyProtection="1"/>
    <xf numFmtId="3" fontId="37" fillId="0" borderId="0" xfId="0" applyNumberFormat="1" applyFont="1" applyAlignment="1"/>
    <xf numFmtId="3" fontId="38" fillId="0" borderId="0" xfId="0" applyNumberFormat="1" applyFont="1" applyAlignment="1">
      <alignment horizontal="centerContinuous"/>
    </xf>
    <xf numFmtId="3" fontId="37" fillId="0" borderId="0" xfId="0" applyNumberFormat="1" applyFont="1" applyAlignment="1">
      <alignment horizontal="centerContinuous"/>
    </xf>
    <xf numFmtId="3" fontId="37" fillId="0" borderId="0" xfId="0" applyNumberFormat="1" applyFont="1" applyFill="1" applyAlignment="1">
      <alignment horizontal="centerContinuous"/>
    </xf>
    <xf numFmtId="3" fontId="37" fillId="0" borderId="0" xfId="0" applyNumberFormat="1" applyFont="1" applyAlignment="1">
      <alignment horizontal="right"/>
    </xf>
    <xf numFmtId="3" fontId="37" fillId="0" borderId="0" xfId="0" applyNumberFormat="1" applyFont="1" applyFill="1" applyAlignment="1"/>
    <xf numFmtId="3" fontId="37" fillId="0" borderId="0" xfId="0" applyNumberFormat="1" applyFont="1" applyAlignment="1">
      <alignment horizontal="left"/>
    </xf>
    <xf numFmtId="3" fontId="36" fillId="0" borderId="0" xfId="0" applyNumberFormat="1" applyFont="1" applyAlignment="1"/>
    <xf numFmtId="3" fontId="37" fillId="0" borderId="17" xfId="0" applyNumberFormat="1" applyFont="1" applyBorder="1" applyAlignment="1"/>
    <xf numFmtId="1" fontId="37" fillId="0" borderId="0" xfId="0" applyNumberFormat="1" applyFont="1" applyFill="1" applyAlignment="1"/>
    <xf numFmtId="3" fontId="37" fillId="0" borderId="0" xfId="0" applyNumberFormat="1" applyFont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 applyAlignment="1"/>
    <xf numFmtId="3" fontId="38" fillId="0" borderId="0" xfId="0" applyNumberFormat="1" applyFont="1" applyFill="1" applyAlignment="1">
      <alignment horizontal="centerContinuous"/>
    </xf>
    <xf numFmtId="3" fontId="38" fillId="0" borderId="0" xfId="0" applyNumberFormat="1" applyFont="1" applyAlignment="1">
      <alignment horizontal="right"/>
    </xf>
    <xf numFmtId="3" fontId="38" fillId="0" borderId="0" xfId="0" applyNumberFormat="1" applyFont="1" applyFill="1" applyAlignment="1"/>
    <xf numFmtId="3" fontId="39" fillId="0" borderId="0" xfId="0" applyNumberFormat="1" applyFont="1" applyAlignment="1"/>
    <xf numFmtId="3" fontId="40" fillId="0" borderId="0" xfId="0" applyNumberFormat="1" applyFont="1" applyAlignment="1"/>
    <xf numFmtId="3" fontId="40" fillId="0" borderId="0" xfId="0" applyNumberFormat="1" applyFont="1" applyFill="1" applyAlignment="1">
      <alignment horizontal="right"/>
    </xf>
    <xf numFmtId="3" fontId="40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right"/>
    </xf>
    <xf numFmtId="14" fontId="40" fillId="0" borderId="0" xfId="0" applyNumberFormat="1" applyFont="1" applyAlignment="1">
      <alignment horizontal="center"/>
    </xf>
    <xf numFmtId="9" fontId="37" fillId="0" borderId="0" xfId="0" applyNumberFormat="1" applyFont="1" applyFill="1" applyAlignment="1"/>
    <xf numFmtId="3" fontId="37" fillId="0" borderId="0" xfId="0" applyNumberFormat="1" applyFont="1" applyFill="1" applyAlignment="1">
      <alignment horizontal="center"/>
    </xf>
    <xf numFmtId="3" fontId="37" fillId="0" borderId="0" xfId="11" applyNumberFormat="1" applyFont="1" applyFill="1" applyAlignment="1">
      <alignment horizontal="right"/>
    </xf>
    <xf numFmtId="4" fontId="37" fillId="0" borderId="0" xfId="0" applyNumberFormat="1" applyFont="1" applyAlignment="1"/>
    <xf numFmtId="1" fontId="37" fillId="0" borderId="0" xfId="0" applyNumberFormat="1" applyFont="1" applyAlignment="1"/>
    <xf numFmtId="9" fontId="37" fillId="0" borderId="0" xfId="0" applyNumberFormat="1" applyFont="1" applyAlignment="1"/>
    <xf numFmtId="3" fontId="37" fillId="0" borderId="18" xfId="0" applyNumberFormat="1" applyFont="1" applyBorder="1" applyAlignment="1">
      <alignment horizontal="right"/>
    </xf>
    <xf numFmtId="3" fontId="37" fillId="0" borderId="18" xfId="0" applyNumberFormat="1" applyFont="1" applyBorder="1" applyAlignment="1"/>
    <xf numFmtId="3" fontId="41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left"/>
    </xf>
    <xf numFmtId="3" fontId="37" fillId="0" borderId="19" xfId="0" applyNumberFormat="1" applyFont="1" applyBorder="1" applyAlignment="1">
      <alignment horizontal="right"/>
    </xf>
    <xf numFmtId="3" fontId="37" fillId="0" borderId="19" xfId="0" applyNumberFormat="1" applyFont="1" applyBorder="1" applyAlignment="1"/>
    <xf numFmtId="9" fontId="37" fillId="0" borderId="19" xfId="0" applyNumberFormat="1" applyFont="1" applyBorder="1" applyAlignment="1"/>
    <xf numFmtId="3" fontId="37" fillId="0" borderId="0" xfId="0" applyNumberFormat="1" applyFont="1" applyFill="1" applyAlignment="1">
      <alignment horizontal="right"/>
    </xf>
    <xf numFmtId="3" fontId="36" fillId="0" borderId="0" xfId="0" applyNumberFormat="1" applyFont="1" applyAlignment="1">
      <alignment horizontal="left"/>
    </xf>
    <xf numFmtId="0" fontId="37" fillId="0" borderId="0" xfId="12" applyNumberFormat="1" applyFont="1" applyFill="1" applyBorder="1" applyAlignment="1" applyProtection="1">
      <alignment horizontal="left"/>
    </xf>
    <xf numFmtId="0" fontId="37" fillId="0" borderId="0" xfId="11" applyFont="1" applyFill="1" applyAlignment="1"/>
    <xf numFmtId="0" fontId="36" fillId="0" borderId="17" xfId="5" applyFont="1" applyBorder="1" applyAlignment="1">
      <alignment vertical="top"/>
    </xf>
    <xf numFmtId="0" fontId="37" fillId="0" borderId="0" xfId="11" quotePrefix="1" applyFont="1" applyFill="1" applyAlignment="1"/>
    <xf numFmtId="4" fontId="37" fillId="0" borderId="0" xfId="0" applyNumberFormat="1" applyFont="1" applyFill="1" applyAlignment="1"/>
    <xf numFmtId="0" fontId="37" fillId="0" borderId="0" xfId="11" quotePrefix="1" applyNumberFormat="1" applyFont="1" applyFill="1" applyAlignment="1"/>
    <xf numFmtId="3" fontId="36" fillId="0" borderId="0" xfId="0" applyNumberFormat="1" applyFont="1" applyFill="1" applyAlignment="1"/>
    <xf numFmtId="0" fontId="36" fillId="0" borderId="17" xfId="5" applyFont="1" applyFill="1" applyBorder="1" applyAlignment="1">
      <alignment vertical="top"/>
    </xf>
    <xf numFmtId="171" fontId="37" fillId="0" borderId="0" xfId="7" applyNumberFormat="1" applyFont="1" applyFill="1" applyAlignment="1">
      <alignment horizontal="right"/>
    </xf>
    <xf numFmtId="0" fontId="37" fillId="0" borderId="0" xfId="5" applyFont="1" applyFill="1"/>
    <xf numFmtId="3" fontId="36" fillId="0" borderId="0" xfId="0" applyNumberFormat="1" applyFont="1" applyBorder="1" applyAlignment="1"/>
    <xf numFmtId="164" fontId="37" fillId="0" borderId="0" xfId="0" applyFont="1" applyFill="1" applyAlignment="1"/>
    <xf numFmtId="164" fontId="37" fillId="0" borderId="0" xfId="0" applyFont="1" applyAlignment="1"/>
    <xf numFmtId="43" fontId="37" fillId="0" borderId="0" xfId="0" applyNumberFormat="1" applyFont="1" applyFill="1" applyAlignment="1"/>
    <xf numFmtId="0" fontId="37" fillId="0" borderId="0" xfId="13" applyNumberFormat="1" applyFont="1" applyFill="1" applyBorder="1" applyAlignment="1" applyProtection="1">
      <alignment horizontal="left"/>
    </xf>
    <xf numFmtId="4" fontId="37" fillId="0" borderId="0" xfId="13" applyNumberFormat="1" applyFont="1" applyFill="1" applyBorder="1" applyAlignment="1" applyProtection="1">
      <alignment horizontal="right"/>
    </xf>
    <xf numFmtId="49" fontId="36" fillId="0" borderId="17" xfId="5" applyNumberFormat="1" applyFont="1" applyBorder="1" applyAlignment="1">
      <alignment vertical="top"/>
    </xf>
    <xf numFmtId="1" fontId="36" fillId="0" borderId="0" xfId="0" applyNumberFormat="1" applyFont="1" applyFill="1" applyAlignment="1"/>
    <xf numFmtId="9" fontId="36" fillId="0" borderId="0" xfId="0" applyNumberFormat="1" applyFont="1" applyFill="1" applyAlignment="1"/>
    <xf numFmtId="3" fontId="36" fillId="0" borderId="0" xfId="0" applyNumberFormat="1" applyFont="1" applyFill="1" applyAlignment="1">
      <alignment horizontal="center"/>
    </xf>
    <xf numFmtId="164" fontId="36" fillId="0" borderId="0" xfId="0" applyFont="1" applyFill="1" applyAlignment="1"/>
    <xf numFmtId="3" fontId="36" fillId="0" borderId="17" xfId="5" applyNumberFormat="1" applyFont="1" applyBorder="1" applyAlignment="1">
      <alignment horizontal="right" vertical="top"/>
    </xf>
    <xf numFmtId="4" fontId="36" fillId="0" borderId="0" xfId="0" applyNumberFormat="1" applyFont="1" applyFill="1" applyAlignment="1"/>
    <xf numFmtId="4" fontId="36" fillId="0" borderId="0" xfId="0" applyNumberFormat="1" applyFont="1" applyAlignment="1"/>
    <xf numFmtId="164" fontId="36" fillId="0" borderId="0" xfId="0" applyFont="1" applyAlignment="1"/>
    <xf numFmtId="0" fontId="37" fillId="0" borderId="0" xfId="0" applyNumberFormat="1" applyFont="1" applyAlignment="1"/>
    <xf numFmtId="1" fontId="37" fillId="0" borderId="0" xfId="0" applyNumberFormat="1" applyFont="1" applyAlignment="1">
      <alignment horizontal="right"/>
    </xf>
    <xf numFmtId="3" fontId="37" fillId="0" borderId="0" xfId="11" applyNumberFormat="1" applyFont="1" applyFill="1" applyBorder="1" applyAlignment="1">
      <alignment horizontal="right"/>
    </xf>
    <xf numFmtId="3" fontId="37" fillId="0" borderId="0" xfId="0" applyNumberFormat="1" applyFont="1" applyBorder="1" applyAlignment="1"/>
    <xf numFmtId="0" fontId="37" fillId="0" borderId="0" xfId="11" applyFont="1" applyAlignment="1"/>
    <xf numFmtId="3" fontId="37" fillId="0" borderId="0" xfId="11" applyNumberFormat="1" applyFont="1" applyAlignment="1">
      <alignment horizontal="right"/>
    </xf>
    <xf numFmtId="3" fontId="36" fillId="0" borderId="0" xfId="5" applyNumberFormat="1" applyFont="1" applyBorder="1" applyAlignment="1"/>
    <xf numFmtId="3" fontId="36" fillId="0" borderId="0" xfId="5" applyNumberFormat="1" applyFont="1" applyAlignment="1"/>
    <xf numFmtId="3" fontId="37" fillId="0" borderId="0" xfId="0" applyNumberFormat="1" applyFont="1" applyFill="1" applyAlignment="1">
      <alignment horizontal="left"/>
    </xf>
    <xf numFmtId="171" fontId="37" fillId="0" borderId="0" xfId="7" applyNumberFormat="1" applyFont="1" applyFill="1" applyBorder="1" applyAlignment="1">
      <alignment horizontal="right"/>
    </xf>
    <xf numFmtId="0" fontId="37" fillId="0" borderId="0" xfId="11" applyFont="1" applyFill="1" applyBorder="1" applyAlignment="1"/>
    <xf numFmtId="4" fontId="37" fillId="0" borderId="0" xfId="12" applyNumberFormat="1" applyFont="1" applyFill="1" applyBorder="1" applyAlignment="1" applyProtection="1">
      <alignment horizontal="right"/>
    </xf>
    <xf numFmtId="1" fontId="36" fillId="0" borderId="0" xfId="0" applyNumberFormat="1" applyFont="1" applyAlignment="1"/>
    <xf numFmtId="9" fontId="36" fillId="0" borderId="0" xfId="0" applyNumberFormat="1" applyFont="1" applyAlignment="1"/>
    <xf numFmtId="3" fontId="36" fillId="0" borderId="0" xfId="0" applyNumberFormat="1" applyFont="1" applyAlignment="1">
      <alignment horizontal="center"/>
    </xf>
    <xf numFmtId="1" fontId="36" fillId="0" borderId="17" xfId="5" applyNumberFormat="1" applyFont="1" applyBorder="1" applyAlignment="1">
      <alignment horizontal="right" vertical="top" wrapText="1"/>
    </xf>
    <xf numFmtId="1" fontId="36" fillId="0" borderId="0" xfId="5" applyNumberFormat="1" applyFont="1" applyBorder="1" applyAlignment="1">
      <alignment horizontal="right" vertical="top" wrapText="1"/>
    </xf>
    <xf numFmtId="3" fontId="37" fillId="0" borderId="18" xfId="0" applyNumberFormat="1" applyFont="1" applyFill="1" applyBorder="1" applyAlignment="1">
      <alignment horizontal="right"/>
    </xf>
    <xf numFmtId="0" fontId="36" fillId="0" borderId="0" xfId="5" applyFont="1" applyFill="1" applyBorder="1" applyAlignment="1">
      <alignment horizontal="left" vertical="top"/>
    </xf>
    <xf numFmtId="3" fontId="43" fillId="0" borderId="0" xfId="0" applyNumberFormat="1" applyFont="1" applyAlignment="1"/>
    <xf numFmtId="3" fontId="37" fillId="0" borderId="0" xfId="0" applyNumberFormat="1" applyFont="1" applyBorder="1" applyAlignment="1">
      <alignment horizontal="right"/>
    </xf>
    <xf numFmtId="4" fontId="37" fillId="0" borderId="0" xfId="0" applyNumberFormat="1" applyFont="1" applyFill="1" applyAlignment="1">
      <alignment horizontal="left"/>
    </xf>
    <xf numFmtId="171" fontId="37" fillId="0" borderId="0" xfId="7" applyNumberFormat="1" applyFont="1" applyFill="1" applyBorder="1" applyAlignment="1"/>
    <xf numFmtId="0" fontId="37" fillId="0" borderId="0" xfId="5" applyNumberFormat="1" applyFont="1" applyFill="1" applyBorder="1" applyAlignment="1" applyProtection="1">
      <alignment horizontal="left"/>
    </xf>
    <xf numFmtId="3" fontId="37" fillId="0" borderId="0" xfId="5" applyNumberFormat="1" applyFont="1" applyFill="1" applyBorder="1" applyAlignment="1" applyProtection="1">
      <alignment horizontal="right"/>
    </xf>
    <xf numFmtId="3" fontId="36" fillId="0" borderId="0" xfId="0" applyNumberFormat="1" applyFont="1" applyFill="1" applyAlignment="1">
      <alignment horizontal="right"/>
    </xf>
    <xf numFmtId="3" fontId="37" fillId="0" borderId="0" xfId="12" applyNumberFormat="1" applyFont="1" applyFill="1" applyBorder="1" applyAlignment="1" applyProtection="1">
      <alignment horizontal="right"/>
    </xf>
    <xf numFmtId="164" fontId="44" fillId="0" borderId="20" xfId="0" applyFont="1" applyBorder="1"/>
    <xf numFmtId="44" fontId="44" fillId="0" borderId="20" xfId="8" applyNumberFormat="1" applyFont="1" applyBorder="1"/>
    <xf numFmtId="164" fontId="45" fillId="0" borderId="0" xfId="0" applyFont="1"/>
    <xf numFmtId="39" fontId="45" fillId="0" borderId="0" xfId="0" applyNumberFormat="1" applyFont="1"/>
    <xf numFmtId="164" fontId="45" fillId="0" borderId="0" xfId="0" applyFont="1" applyAlignment="1">
      <alignment horizontal="right"/>
    </xf>
    <xf numFmtId="164" fontId="44" fillId="0" borderId="20" xfId="0" applyFont="1" applyBorder="1" applyAlignment="1"/>
    <xf numFmtId="164" fontId="44" fillId="0" borderId="20" xfId="0" applyFont="1" applyBorder="1" applyAlignment="1">
      <alignment vertical="top"/>
    </xf>
    <xf numFmtId="0" fontId="15" fillId="0" borderId="0" xfId="5" applyFont="1" applyProtection="1"/>
    <xf numFmtId="171" fontId="15" fillId="0" borderId="0" xfId="2" applyNumberFormat="1" applyFont="1" applyProtection="1"/>
    <xf numFmtId="171" fontId="15" fillId="0" borderId="0" xfId="2" applyNumberFormat="1" applyFont="1" applyBorder="1" applyProtection="1"/>
    <xf numFmtId="171" fontId="16" fillId="0" borderId="0" xfId="2" applyNumberFormat="1" applyFont="1"/>
    <xf numFmtId="0" fontId="16" fillId="0" borderId="0" xfId="5" applyFont="1"/>
    <xf numFmtId="171" fontId="16" fillId="0" borderId="0" xfId="2" applyNumberFormat="1" applyFont="1" applyBorder="1"/>
    <xf numFmtId="0" fontId="15" fillId="0" borderId="0" xfId="5" applyFont="1" applyAlignment="1" applyProtection="1">
      <alignment horizontal="center"/>
    </xf>
    <xf numFmtId="171" fontId="15" fillId="0" borderId="0" xfId="2" applyNumberFormat="1" applyFont="1" applyAlignment="1" applyProtection="1">
      <alignment horizontal="center"/>
    </xf>
    <xf numFmtId="171" fontId="22" fillId="0" borderId="0" xfId="2" applyNumberFormat="1" applyFont="1" applyAlignment="1" applyProtection="1">
      <alignment horizontal="center"/>
    </xf>
    <xf numFmtId="0" fontId="22" fillId="0" borderId="0" xfId="5" applyFont="1" applyAlignment="1" applyProtection="1">
      <alignment horizontal="center"/>
    </xf>
    <xf numFmtId="171" fontId="18" fillId="0" borderId="0" xfId="2" applyNumberFormat="1" applyFont="1" applyAlignment="1" applyProtection="1">
      <alignment horizontal="center"/>
    </xf>
    <xf numFmtId="0" fontId="18" fillId="0" borderId="0" xfId="5" applyFont="1" applyAlignment="1" applyProtection="1">
      <alignment horizontal="left" vertical="center"/>
    </xf>
    <xf numFmtId="171" fontId="15" fillId="0" borderId="0" xfId="2" applyNumberFormat="1" applyFont="1" applyAlignment="1" applyProtection="1">
      <alignment horizontal="center" wrapText="1"/>
    </xf>
    <xf numFmtId="171" fontId="18" fillId="0" borderId="8" xfId="2" applyNumberFormat="1" applyFont="1" applyBorder="1" applyAlignment="1" applyProtection="1">
      <alignment horizontal="center" vertical="center"/>
    </xf>
    <xf numFmtId="0" fontId="18" fillId="0" borderId="8" xfId="5" applyFont="1" applyBorder="1" applyAlignment="1" applyProtection="1">
      <alignment horizontal="center" vertical="center"/>
    </xf>
    <xf numFmtId="0" fontId="18" fillId="0" borderId="8" xfId="5" applyFont="1" applyBorder="1" applyAlignment="1" applyProtection="1">
      <alignment horizontal="center" vertical="center" wrapText="1"/>
    </xf>
    <xf numFmtId="5" fontId="15" fillId="0" borderId="0" xfId="5" applyNumberFormat="1" applyFont="1" applyProtection="1"/>
    <xf numFmtId="5" fontId="15" fillId="0" borderId="0" xfId="5" applyNumberFormat="1" applyFont="1" applyBorder="1" applyProtection="1"/>
    <xf numFmtId="171" fontId="15" fillId="0" borderId="0" xfId="2" applyNumberFormat="1" applyFont="1" applyFill="1" applyProtection="1"/>
    <xf numFmtId="171" fontId="15" fillId="0" borderId="0" xfId="5" applyNumberFormat="1" applyFont="1" applyBorder="1" applyProtection="1"/>
    <xf numFmtId="171" fontId="15" fillId="0" borderId="14" xfId="2" applyNumberFormat="1" applyFont="1" applyBorder="1" applyProtection="1"/>
    <xf numFmtId="171" fontId="15" fillId="0" borderId="8" xfId="2" applyNumberFormat="1" applyFont="1" applyBorder="1" applyProtection="1"/>
    <xf numFmtId="0" fontId="18" fillId="0" borderId="21" xfId="5" applyFont="1" applyBorder="1" applyProtection="1"/>
    <xf numFmtId="171" fontId="16" fillId="0" borderId="21" xfId="2" applyNumberFormat="1" applyFont="1" applyBorder="1" applyProtection="1"/>
    <xf numFmtId="0" fontId="18" fillId="0" borderId="21" xfId="5" applyFont="1" applyBorder="1" applyAlignment="1" applyProtection="1">
      <alignment horizontal="center"/>
    </xf>
    <xf numFmtId="171" fontId="15" fillId="0" borderId="21" xfId="2" applyNumberFormat="1" applyFont="1" applyBorder="1" applyProtection="1"/>
    <xf numFmtId="0" fontId="16" fillId="0" borderId="0" xfId="5" applyFont="1" applyProtection="1"/>
    <xf numFmtId="0" fontId="18" fillId="0" borderId="22" xfId="5" applyFont="1" applyBorder="1" applyAlignment="1" applyProtection="1">
      <alignment horizontal="center"/>
    </xf>
    <xf numFmtId="10" fontId="18" fillId="0" borderId="0" xfId="6" applyNumberFormat="1" applyFont="1" applyProtection="1"/>
    <xf numFmtId="0" fontId="18" fillId="0" borderId="0" xfId="5" applyFont="1" applyProtection="1"/>
    <xf numFmtId="0" fontId="18" fillId="0" borderId="0" xfId="5" applyFont="1" applyBorder="1" applyProtection="1"/>
    <xf numFmtId="0" fontId="18" fillId="0" borderId="0" xfId="5" applyFont="1" applyBorder="1" applyAlignment="1" applyProtection="1">
      <alignment horizontal="center"/>
    </xf>
    <xf numFmtId="0" fontId="15" fillId="0" borderId="0" xfId="5" applyFont="1" applyFill="1" applyProtection="1"/>
    <xf numFmtId="0" fontId="18" fillId="0" borderId="0" xfId="5" applyFont="1" applyFill="1" applyAlignment="1" applyProtection="1">
      <alignment horizontal="center"/>
    </xf>
    <xf numFmtId="0" fontId="16" fillId="0" borderId="0" xfId="5" applyFont="1" applyFill="1"/>
    <xf numFmtId="171" fontId="15" fillId="0" borderId="0" xfId="2" applyNumberFormat="1" applyFont="1" applyFill="1" applyBorder="1" applyProtection="1"/>
    <xf numFmtId="37" fontId="18" fillId="0" borderId="0" xfId="5" applyNumberFormat="1" applyFont="1" applyAlignment="1" applyProtection="1">
      <alignment horizontal="center"/>
    </xf>
    <xf numFmtId="37" fontId="18" fillId="0" borderId="0" xfId="5" applyNumberFormat="1" applyFont="1" applyBorder="1" applyAlignment="1" applyProtection="1">
      <alignment horizontal="center"/>
    </xf>
    <xf numFmtId="37" fontId="18" fillId="0" borderId="0" xfId="5" applyNumberFormat="1" applyFont="1" applyFill="1" applyBorder="1" applyAlignment="1" applyProtection="1">
      <alignment horizontal="center"/>
    </xf>
    <xf numFmtId="0" fontId="15" fillId="0" borderId="0" xfId="5" quotePrefix="1" applyFont="1" applyProtection="1"/>
    <xf numFmtId="171" fontId="46" fillId="0" borderId="0" xfId="2" applyNumberFormat="1" applyFont="1" applyBorder="1" applyProtection="1"/>
    <xf numFmtId="0" fontId="18" fillId="0" borderId="0" xfId="5" applyFont="1" applyAlignment="1" applyProtection="1">
      <alignment horizontal="center"/>
    </xf>
    <xf numFmtId="5" fontId="18" fillId="0" borderId="0" xfId="5" applyNumberFormat="1" applyFont="1" applyBorder="1" applyProtection="1"/>
    <xf numFmtId="10" fontId="15" fillId="0" borderId="0" xfId="5" applyNumberFormat="1" applyFont="1" applyProtection="1"/>
    <xf numFmtId="0" fontId="16" fillId="0" borderId="8" xfId="5" applyFont="1" applyBorder="1"/>
    <xf numFmtId="171" fontId="16" fillId="0" borderId="8" xfId="2" applyNumberFormat="1" applyFont="1" applyBorder="1"/>
    <xf numFmtId="171" fontId="15" fillId="0" borderId="13" xfId="2" applyNumberFormat="1" applyFont="1" applyBorder="1" applyProtection="1"/>
    <xf numFmtId="0" fontId="16" fillId="0" borderId="0" xfId="5" applyFont="1" applyBorder="1"/>
    <xf numFmtId="10" fontId="15" fillId="0" borderId="0" xfId="6" applyNumberFormat="1" applyFont="1" applyProtection="1"/>
    <xf numFmtId="10" fontId="15" fillId="0" borderId="0" xfId="6" applyNumberFormat="1" applyFont="1" applyBorder="1" applyProtection="1"/>
    <xf numFmtId="10" fontId="18" fillId="9" borderId="0" xfId="6" applyNumberFormat="1" applyFont="1" applyFill="1" applyBorder="1" applyProtection="1"/>
    <xf numFmtId="171" fontId="47" fillId="0" borderId="8" xfId="7" applyNumberFormat="1" applyFont="1" applyBorder="1" applyAlignment="1" applyProtection="1">
      <alignment horizontal="center"/>
    </xf>
    <xf numFmtId="164" fontId="47" fillId="0" borderId="8" xfId="0" applyFont="1" applyBorder="1" applyAlignment="1" applyProtection="1">
      <alignment horizontal="center"/>
    </xf>
    <xf numFmtId="10" fontId="48" fillId="0" borderId="0" xfId="9" applyNumberFormat="1" applyFont="1" applyFill="1"/>
    <xf numFmtId="164" fontId="42" fillId="0" borderId="0" xfId="0" applyFont="1"/>
    <xf numFmtId="170" fontId="42" fillId="0" borderId="0" xfId="9" applyNumberFormat="1" applyFont="1"/>
    <xf numFmtId="164" fontId="45" fillId="0" borderId="0" xfId="0" applyFont="1" applyAlignment="1">
      <alignment horizontal="center"/>
    </xf>
    <xf numFmtId="164" fontId="45" fillId="0" borderId="0" xfId="0" quotePrefix="1" applyFont="1" applyAlignment="1">
      <alignment horizontal="center"/>
    </xf>
    <xf numFmtId="3" fontId="45" fillId="0" borderId="16" xfId="0" applyNumberFormat="1" applyFont="1" applyBorder="1"/>
    <xf numFmtId="171" fontId="16" fillId="0" borderId="8" xfId="2" applyNumberFormat="1" applyFont="1" applyBorder="1" applyProtection="1"/>
    <xf numFmtId="49" fontId="36" fillId="0" borderId="17" xfId="5" applyNumberFormat="1" applyFont="1" applyFill="1" applyBorder="1" applyAlignment="1">
      <alignment vertical="top"/>
    </xf>
    <xf numFmtId="3" fontId="36" fillId="0" borderId="0" xfId="5" applyNumberFormat="1" applyFont="1" applyFill="1" applyBorder="1" applyAlignment="1">
      <alignment horizontal="right" vertical="top"/>
    </xf>
    <xf numFmtId="4" fontId="36" fillId="0" borderId="0" xfId="5" applyNumberFormat="1" applyFont="1" applyFill="1" applyBorder="1" applyAlignment="1">
      <alignment horizontal="right" vertical="top"/>
    </xf>
    <xf numFmtId="0" fontId="36" fillId="0" borderId="17" xfId="5" applyFont="1" applyFill="1" applyBorder="1" applyAlignment="1">
      <alignment horizontal="left" vertical="top"/>
    </xf>
    <xf numFmtId="3" fontId="49" fillId="0" borderId="0" xfId="0" applyNumberFormat="1" applyFont="1" applyAlignment="1"/>
    <xf numFmtId="3" fontId="50" fillId="0" borderId="0" xfId="0" applyNumberFormat="1" applyFont="1" applyAlignment="1">
      <alignment horizontal="left"/>
    </xf>
    <xf numFmtId="3" fontId="50" fillId="0" borderId="0" xfId="0" applyNumberFormat="1" applyFont="1" applyAlignment="1"/>
    <xf numFmtId="3" fontId="50" fillId="0" borderId="0" xfId="0" applyNumberFormat="1" applyFont="1" applyFill="1" applyAlignment="1">
      <alignment horizontal="left"/>
    </xf>
    <xf numFmtId="3" fontId="37" fillId="0" borderId="8" xfId="0" applyNumberFormat="1" applyFont="1" applyBorder="1" applyAlignment="1">
      <alignment horizontal="right"/>
    </xf>
    <xf numFmtId="3" fontId="37" fillId="0" borderId="8" xfId="0" applyNumberFormat="1" applyFont="1" applyBorder="1" applyAlignment="1"/>
    <xf numFmtId="3" fontId="37" fillId="0" borderId="8" xfId="0" applyNumberFormat="1" applyFont="1" applyFill="1" applyBorder="1" applyAlignment="1"/>
    <xf numFmtId="3" fontId="38" fillId="0" borderId="0" xfId="0" applyNumberFormat="1" applyFont="1" applyAlignment="1">
      <alignment horizontal="left" vertical="top"/>
    </xf>
    <xf numFmtId="164" fontId="13" fillId="0" borderId="0" xfId="0" applyFont="1" applyAlignment="1">
      <alignment horizontal="center" vertical="top" wrapText="1"/>
    </xf>
    <xf numFmtId="164" fontId="13" fillId="0" borderId="23" xfId="0" applyFont="1" applyBorder="1" applyAlignment="1">
      <alignment horizontal="center" vertical="top" wrapText="1"/>
    </xf>
    <xf numFmtId="164" fontId="13" fillId="0" borderId="0" xfId="0" applyFont="1"/>
    <xf numFmtId="164" fontId="21" fillId="0" borderId="0" xfId="0" applyFont="1" applyAlignment="1">
      <alignment horizontal="centerContinuous" vertical="top"/>
    </xf>
    <xf numFmtId="164" fontId="13" fillId="0" borderId="0" xfId="0" applyFont="1" applyAlignment="1">
      <alignment horizontal="centerContinuous" vertical="top" wrapText="1"/>
    </xf>
    <xf numFmtId="164" fontId="23" fillId="0" borderId="0" xfId="0" applyFont="1" applyAlignment="1">
      <alignment horizontal="centerContinuous" vertical="top"/>
    </xf>
    <xf numFmtId="164" fontId="51" fillId="0" borderId="0" xfId="0" applyFont="1" applyAlignment="1">
      <alignment horizontal="centerContinuous" vertical="top"/>
    </xf>
    <xf numFmtId="164" fontId="52" fillId="0" borderId="0" xfId="0" applyFont="1" applyAlignment="1">
      <alignment horizontal="centerContinuous" vertical="top"/>
    </xf>
    <xf numFmtId="164" fontId="0" fillId="0" borderId="0" xfId="0" applyAlignment="1">
      <alignment horizontal="centerContinuous"/>
    </xf>
    <xf numFmtId="164" fontId="13" fillId="0" borderId="0" xfId="0" applyFont="1" applyAlignment="1">
      <alignment horizontal="centerContinuous" vertical="top"/>
    </xf>
    <xf numFmtId="164" fontId="51" fillId="0" borderId="0" xfId="0" applyFont="1" applyAlignment="1">
      <alignment horizontal="centerContinuous" vertical="center"/>
    </xf>
    <xf numFmtId="164" fontId="53" fillId="0" borderId="0" xfId="0" applyFont="1" applyAlignment="1">
      <alignment horizontal="centerContinuous"/>
    </xf>
    <xf numFmtId="164" fontId="13" fillId="0" borderId="0" xfId="0" applyFont="1" applyAlignment="1">
      <alignment vertical="top"/>
    </xf>
    <xf numFmtId="164" fontId="54" fillId="0" borderId="0" xfId="0" applyFont="1" applyAlignment="1">
      <alignment horizontal="centerContinuous"/>
    </xf>
    <xf numFmtId="164" fontId="13" fillId="0" borderId="0" xfId="0" applyFont="1" applyAlignment="1">
      <alignment horizontal="center" vertical="center" wrapText="1"/>
    </xf>
    <xf numFmtId="164" fontId="13" fillId="0" borderId="0" xfId="0" applyFont="1" applyAlignment="1">
      <alignment horizontal="center" vertical="center"/>
    </xf>
    <xf numFmtId="164" fontId="13" fillId="0" borderId="23" xfId="0" applyFont="1" applyBorder="1" applyAlignment="1">
      <alignment horizontal="center" vertical="center" wrapText="1"/>
    </xf>
    <xf numFmtId="171" fontId="23" fillId="0" borderId="0" xfId="3" applyNumberFormat="1" applyFont="1" applyFill="1" applyBorder="1" applyAlignment="1">
      <alignment horizontal="center"/>
    </xf>
    <xf numFmtId="0" fontId="36" fillId="0" borderId="24" xfId="14" applyFont="1" applyBorder="1"/>
    <xf numFmtId="0" fontId="37" fillId="0" borderId="25" xfId="14" applyFont="1" applyFill="1" applyBorder="1"/>
    <xf numFmtId="43" fontId="37" fillId="0" borderId="25" xfId="15" applyFont="1" applyBorder="1" applyAlignment="1">
      <alignment horizontal="center" vertical="center" wrapText="1"/>
    </xf>
    <xf numFmtId="0" fontId="36" fillId="0" borderId="5" xfId="14" applyFont="1" applyBorder="1"/>
    <xf numFmtId="0" fontId="37" fillId="0" borderId="6" xfId="14" applyFont="1" applyFill="1" applyBorder="1"/>
    <xf numFmtId="3" fontId="37" fillId="0" borderId="26" xfId="9" applyNumberFormat="1" applyFont="1" applyBorder="1"/>
    <xf numFmtId="3" fontId="37" fillId="0" borderId="27" xfId="9" applyNumberFormat="1" applyFont="1" applyBorder="1"/>
    <xf numFmtId="3" fontId="37" fillId="0" borderId="28" xfId="9" applyNumberFormat="1" applyFont="1" applyBorder="1"/>
    <xf numFmtId="0" fontId="38" fillId="0" borderId="25" xfId="14" applyFont="1" applyFill="1" applyBorder="1"/>
    <xf numFmtId="3" fontId="39" fillId="0" borderId="16" xfId="9" applyNumberFormat="1" applyFont="1" applyBorder="1"/>
    <xf numFmtId="0" fontId="37" fillId="10" borderId="6" xfId="14" applyFont="1" applyFill="1" applyBorder="1"/>
    <xf numFmtId="164" fontId="0" fillId="0" borderId="0" xfId="0" applyBorder="1"/>
    <xf numFmtId="164" fontId="0" fillId="11" borderId="0" xfId="0" applyFill="1" applyBorder="1"/>
    <xf numFmtId="164" fontId="0" fillId="0" borderId="7" xfId="0" applyBorder="1"/>
    <xf numFmtId="0" fontId="39" fillId="0" borderId="24" xfId="14" applyFont="1" applyBorder="1"/>
    <xf numFmtId="10" fontId="45" fillId="0" borderId="26" xfId="9" applyNumberFormat="1" applyFont="1" applyBorder="1"/>
    <xf numFmtId="10" fontId="45" fillId="0" borderId="27" xfId="9" applyNumberFormat="1" applyFont="1" applyBorder="1"/>
    <xf numFmtId="10" fontId="45" fillId="0" borderId="28" xfId="9" applyNumberFormat="1" applyFont="1" applyBorder="1"/>
    <xf numFmtId="10" fontId="55" fillId="0" borderId="16" xfId="9" applyNumberFormat="1" applyFont="1" applyBorder="1"/>
    <xf numFmtId="3" fontId="37" fillId="0" borderId="2" xfId="9" applyNumberFormat="1" applyFont="1" applyBorder="1"/>
    <xf numFmtId="43" fontId="45" fillId="0" borderId="16" xfId="15" applyFont="1" applyFill="1" applyBorder="1" applyAlignment="1">
      <alignment horizontal="center" vertical="center" wrapText="1"/>
    </xf>
    <xf numFmtId="3" fontId="37" fillId="0" borderId="5" xfId="9" applyNumberFormat="1" applyFont="1" applyBorder="1"/>
    <xf numFmtId="10" fontId="45" fillId="0" borderId="6" xfId="9" applyNumberFormat="1" applyFont="1" applyBorder="1"/>
    <xf numFmtId="10" fontId="45" fillId="0" borderId="9" xfId="9" applyNumberFormat="1" applyFont="1" applyBorder="1"/>
    <xf numFmtId="3" fontId="37" fillId="0" borderId="7" xfId="9" applyNumberFormat="1" applyFont="1" applyBorder="1"/>
    <xf numFmtId="10" fontId="18" fillId="0" borderId="0" xfId="6" applyNumberFormat="1" applyFont="1" applyFill="1" applyBorder="1" applyProtection="1"/>
    <xf numFmtId="164" fontId="56" fillId="0" borderId="0" xfId="0" applyFont="1" applyAlignment="1">
      <alignment horizontal="centerContinuous"/>
    </xf>
    <xf numFmtId="164" fontId="56" fillId="0" borderId="8" xfId="0" applyFont="1" applyFill="1" applyBorder="1" applyAlignment="1">
      <alignment horizontal="center"/>
    </xf>
    <xf numFmtId="164" fontId="56" fillId="0" borderId="8" xfId="0" applyFont="1" applyBorder="1" applyAlignment="1">
      <alignment horizontal="center"/>
    </xf>
    <xf numFmtId="164" fontId="56" fillId="0" borderId="0" xfId="0" applyFont="1" applyFill="1" applyBorder="1" applyAlignment="1">
      <alignment horizontal="right"/>
    </xf>
    <xf numFmtId="44" fontId="56" fillId="0" borderId="33" xfId="8" applyFont="1" applyBorder="1"/>
    <xf numFmtId="44" fontId="56" fillId="0" borderId="0" xfId="8" applyFont="1"/>
    <xf numFmtId="171" fontId="56" fillId="0" borderId="3" xfId="0" applyNumberFormat="1" applyFont="1" applyBorder="1"/>
    <xf numFmtId="164" fontId="56" fillId="0" borderId="0" xfId="0" applyFont="1"/>
    <xf numFmtId="164" fontId="56" fillId="8" borderId="0" xfId="0" applyFont="1" applyFill="1"/>
    <xf numFmtId="171" fontId="56" fillId="0" borderId="0" xfId="0" applyNumberFormat="1" applyFont="1"/>
    <xf numFmtId="171" fontId="56" fillId="0" borderId="6" xfId="0" applyNumberFormat="1" applyFont="1" applyBorder="1"/>
    <xf numFmtId="44" fontId="56" fillId="8" borderId="0" xfId="8" applyFont="1" applyFill="1"/>
    <xf numFmtId="170" fontId="56" fillId="0" borderId="0" xfId="9" applyNumberFormat="1" applyFont="1"/>
    <xf numFmtId="49" fontId="57" fillId="0" borderId="0" xfId="0" applyNumberFormat="1" applyFont="1"/>
    <xf numFmtId="164" fontId="57" fillId="0" borderId="0" xfId="0" applyFont="1" applyAlignment="1">
      <alignment horizontal="centerContinuous"/>
    </xf>
    <xf numFmtId="14" fontId="57" fillId="0" borderId="0" xfId="0" applyNumberFormat="1" applyFont="1" applyAlignment="1">
      <alignment horizontal="centerContinuous"/>
    </xf>
    <xf numFmtId="164" fontId="57" fillId="0" borderId="0" xfId="0" applyFont="1" applyAlignment="1">
      <alignment horizontal="left"/>
    </xf>
    <xf numFmtId="164" fontId="57" fillId="0" borderId="0" xfId="0" applyFont="1"/>
    <xf numFmtId="164" fontId="57" fillId="0" borderId="29" xfId="0" applyFont="1" applyBorder="1" applyAlignment="1">
      <alignment horizontal="center"/>
    </xf>
    <xf numFmtId="164" fontId="57" fillId="0" borderId="30" xfId="0" applyFont="1" applyBorder="1" applyAlignment="1">
      <alignment horizontal="center"/>
    </xf>
    <xf numFmtId="164" fontId="57" fillId="0" borderId="31" xfId="0" applyFont="1" applyBorder="1" applyAlignment="1">
      <alignment horizontal="center"/>
    </xf>
    <xf numFmtId="164" fontId="57" fillId="0" borderId="32" xfId="0" applyFont="1" applyBorder="1" applyAlignment="1">
      <alignment horizontal="center"/>
    </xf>
    <xf numFmtId="164" fontId="57" fillId="0" borderId="8" xfId="0" applyFont="1" applyBorder="1"/>
    <xf numFmtId="164" fontId="57" fillId="0" borderId="8" xfId="0" applyFont="1" applyFill="1" applyBorder="1" applyAlignment="1">
      <alignment horizontal="center"/>
    </xf>
    <xf numFmtId="164" fontId="57" fillId="0" borderId="0" xfId="0" applyFont="1" applyFill="1" applyBorder="1" applyAlignment="1">
      <alignment horizontal="center"/>
    </xf>
    <xf numFmtId="49" fontId="57" fillId="0" borderId="0" xfId="0" applyNumberFormat="1" applyFont="1" applyAlignment="1">
      <alignment horizontal="center"/>
    </xf>
    <xf numFmtId="171" fontId="57" fillId="0" borderId="0" xfId="7" applyNumberFormat="1" applyFont="1"/>
    <xf numFmtId="171" fontId="57" fillId="0" borderId="0" xfId="0" applyNumberFormat="1" applyFont="1"/>
    <xf numFmtId="44" fontId="57" fillId="0" borderId="0" xfId="8" applyFont="1"/>
    <xf numFmtId="170" fontId="57" fillId="0" borderId="0" xfId="9" applyNumberFormat="1" applyFont="1"/>
    <xf numFmtId="44" fontId="57" fillId="0" borderId="0" xfId="0" applyNumberFormat="1" applyFont="1"/>
    <xf numFmtId="171" fontId="57" fillId="0" borderId="3" xfId="0" applyNumberFormat="1" applyFont="1" applyBorder="1"/>
    <xf numFmtId="171" fontId="57" fillId="0" borderId="4" xfId="0" applyNumberFormat="1" applyFont="1" applyBorder="1"/>
    <xf numFmtId="44" fontId="57" fillId="0" borderId="3" xfId="0" applyNumberFormat="1" applyFont="1" applyBorder="1"/>
    <xf numFmtId="10" fontId="57" fillId="0" borderId="0" xfId="0" applyNumberFormat="1" applyFont="1"/>
    <xf numFmtId="164" fontId="57" fillId="0" borderId="6" xfId="0" applyFont="1" applyBorder="1"/>
    <xf numFmtId="171" fontId="57" fillId="0" borderId="3" xfId="7" applyNumberFormat="1" applyFont="1" applyBorder="1"/>
    <xf numFmtId="171" fontId="57" fillId="0" borderId="4" xfId="7" applyNumberFormat="1" applyFont="1" applyBorder="1"/>
    <xf numFmtId="171" fontId="57" fillId="0" borderId="2" xfId="7" applyNumberFormat="1" applyFont="1" applyBorder="1"/>
    <xf numFmtId="37" fontId="22" fillId="0" borderId="0" xfId="5" applyNumberFormat="1" applyFont="1" applyAlignment="1" applyProtection="1">
      <alignment horizontal="center"/>
    </xf>
    <xf numFmtId="37" fontId="22" fillId="0" borderId="0" xfId="5" applyNumberFormat="1" applyFont="1" applyBorder="1" applyAlignment="1" applyProtection="1">
      <alignment horizontal="center"/>
    </xf>
    <xf numFmtId="37" fontId="22" fillId="0" borderId="0" xfId="5" applyNumberFormat="1" applyFont="1" applyFill="1" applyBorder="1" applyAlignment="1" applyProtection="1">
      <alignment horizontal="center"/>
    </xf>
    <xf numFmtId="39" fontId="0" fillId="0" borderId="0" xfId="0" applyNumberFormat="1"/>
    <xf numFmtId="164" fontId="58" fillId="0" borderId="0" xfId="0" applyFont="1"/>
    <xf numFmtId="43" fontId="58" fillId="0" borderId="0" xfId="7" applyFont="1"/>
    <xf numFmtId="164" fontId="58" fillId="0" borderId="0" xfId="0" pivotButton="1" applyFont="1"/>
    <xf numFmtId="39" fontId="58" fillId="0" borderId="0" xfId="0" applyNumberFormat="1" applyFont="1"/>
    <xf numFmtId="43" fontId="59" fillId="0" borderId="0" xfId="7" applyFont="1"/>
    <xf numFmtId="43" fontId="59" fillId="0" borderId="0" xfId="7" applyFont="1" applyFill="1"/>
    <xf numFmtId="14" fontId="57" fillId="0" borderId="0" xfId="0" applyNumberFormat="1" applyFont="1"/>
    <xf numFmtId="43" fontId="57" fillId="0" borderId="0" xfId="7" applyFont="1"/>
    <xf numFmtId="22" fontId="57" fillId="0" borderId="0" xfId="0" applyNumberFormat="1" applyFont="1"/>
    <xf numFmtId="43" fontId="57" fillId="0" borderId="0" xfId="7" applyFont="1" applyFill="1"/>
    <xf numFmtId="164" fontId="57" fillId="0" borderId="0" xfId="0" applyFont="1" applyFill="1"/>
    <xf numFmtId="49" fontId="57" fillId="0" borderId="0" xfId="0" applyNumberFormat="1" applyFont="1" applyFill="1"/>
    <xf numFmtId="43" fontId="59" fillId="0" borderId="8" xfId="7" applyFont="1" applyBorder="1"/>
    <xf numFmtId="43" fontId="57" fillId="0" borderId="8" xfId="7" applyFont="1" applyFill="1" applyBorder="1"/>
    <xf numFmtId="43" fontId="57" fillId="0" borderId="8" xfId="7" applyFont="1" applyBorder="1"/>
    <xf numFmtId="39" fontId="45" fillId="0" borderId="8" xfId="0" applyNumberFormat="1" applyFont="1" applyBorder="1"/>
    <xf numFmtId="164" fontId="60" fillId="0" borderId="0" xfId="0" applyFont="1"/>
    <xf numFmtId="43" fontId="60" fillId="0" borderId="0" xfId="7" applyFont="1"/>
    <xf numFmtId="43" fontId="56" fillId="0" borderId="0" xfId="7" applyFont="1"/>
    <xf numFmtId="10" fontId="60" fillId="0" borderId="0" xfId="9" applyNumberFormat="1" applyFont="1"/>
    <xf numFmtId="43" fontId="60" fillId="0" borderId="8" xfId="7" applyFont="1" applyBorder="1"/>
    <xf numFmtId="43" fontId="56" fillId="0" borderId="8" xfId="7" applyFont="1" applyBorder="1"/>
    <xf numFmtId="10" fontId="37" fillId="0" borderId="0" xfId="0" applyNumberFormat="1" applyFont="1" applyFill="1" applyAlignment="1"/>
    <xf numFmtId="10" fontId="37" fillId="0" borderId="0" xfId="0" applyNumberFormat="1" applyFont="1" applyAlignment="1"/>
    <xf numFmtId="3" fontId="37" fillId="0" borderId="7" xfId="0" applyNumberFormat="1" applyFont="1" applyBorder="1" applyAlignment="1">
      <alignment horizontal="center"/>
    </xf>
    <xf numFmtId="3" fontId="37" fillId="0" borderId="8" xfId="0" applyNumberFormat="1" applyFont="1" applyBorder="1" applyAlignment="1">
      <alignment horizontal="center"/>
    </xf>
    <xf numFmtId="3" fontId="37" fillId="0" borderId="9" xfId="0" applyNumberFormat="1" applyFont="1" applyBorder="1" applyAlignment="1">
      <alignment horizontal="center"/>
    </xf>
    <xf numFmtId="3" fontId="37" fillId="0" borderId="0" xfId="0" applyNumberFormat="1" applyFont="1" applyBorder="1" applyAlignment="1">
      <alignment horizontal="center"/>
    </xf>
    <xf numFmtId="3" fontId="37" fillId="0" borderId="2" xfId="0" applyNumberFormat="1" applyFont="1" applyBorder="1" applyAlignment="1">
      <alignment horizontal="centerContinuous"/>
    </xf>
    <xf numFmtId="3" fontId="37" fillId="0" borderId="3" xfId="0" applyNumberFormat="1" applyFont="1" applyBorder="1" applyAlignment="1">
      <alignment horizontal="centerContinuous"/>
    </xf>
    <xf numFmtId="3" fontId="37" fillId="0" borderId="4" xfId="0" applyNumberFormat="1" applyFont="1" applyBorder="1" applyAlignment="1">
      <alignment horizontal="centerContinuous"/>
    </xf>
    <xf numFmtId="3" fontId="37" fillId="0" borderId="5" xfId="0" applyNumberFormat="1" applyFont="1" applyBorder="1" applyAlignment="1">
      <alignment horizontal="center"/>
    </xf>
    <xf numFmtId="3" fontId="37" fillId="0" borderId="6" xfId="0" applyNumberFormat="1" applyFont="1" applyBorder="1" applyAlignment="1">
      <alignment horizontal="center"/>
    </xf>
    <xf numFmtId="171" fontId="16" fillId="0" borderId="0" xfId="2" applyNumberFormat="1" applyFont="1" applyFill="1" applyBorder="1"/>
    <xf numFmtId="10" fontId="22" fillId="0" borderId="0" xfId="6" applyNumberFormat="1" applyFont="1" applyBorder="1" applyProtection="1"/>
    <xf numFmtId="171" fontId="16" fillId="0" borderId="0" xfId="2" applyNumberFormat="1" applyFont="1" applyBorder="1" applyProtection="1"/>
    <xf numFmtId="3" fontId="13" fillId="5" borderId="0" xfId="5" applyNumberFormat="1" applyFont="1" applyFill="1" applyProtection="1"/>
    <xf numFmtId="164" fontId="61" fillId="0" borderId="0" xfId="0" applyFont="1" applyAlignment="1">
      <alignment vertical="center"/>
    </xf>
    <xf numFmtId="164" fontId="62" fillId="0" borderId="0" xfId="0" applyFont="1" applyAlignment="1">
      <alignment vertical="center"/>
    </xf>
    <xf numFmtId="164" fontId="62" fillId="0" borderId="0" xfId="0" applyFont="1" applyAlignment="1">
      <alignment horizontal="right" vertical="center"/>
    </xf>
    <xf numFmtId="164" fontId="25" fillId="0" borderId="0" xfId="0" applyFont="1" applyFill="1" applyAlignment="1"/>
    <xf numFmtId="164" fontId="10" fillId="0" borderId="0" xfId="0" applyFont="1" applyFill="1" applyAlignment="1">
      <alignment horizontal="right"/>
    </xf>
    <xf numFmtId="164" fontId="11" fillId="0" borderId="23" xfId="0" applyFont="1" applyFill="1" applyBorder="1"/>
    <xf numFmtId="164" fontId="10" fillId="0" borderId="23" xfId="0" applyFont="1" applyFill="1" applyBorder="1" applyAlignment="1">
      <alignment horizontal="center"/>
    </xf>
    <xf numFmtId="43" fontId="11" fillId="0" borderId="23" xfId="7" applyFont="1" applyFill="1" applyBorder="1"/>
    <xf numFmtId="174" fontId="11" fillId="0" borderId="23" xfId="8" applyNumberFormat="1" applyFont="1" applyFill="1" applyBorder="1" applyAlignment="1">
      <alignment horizontal="center" wrapText="1"/>
    </xf>
    <xf numFmtId="44" fontId="11" fillId="0" borderId="23" xfId="8" applyFont="1" applyFill="1" applyBorder="1"/>
    <xf numFmtId="171" fontId="11" fillId="0" borderId="23" xfId="7" applyNumberFormat="1" applyFont="1" applyFill="1" applyBorder="1" applyAlignment="1">
      <alignment horizontal="center" wrapText="1"/>
    </xf>
    <xf numFmtId="171" fontId="11" fillId="0" borderId="23" xfId="7" applyNumberFormat="1" applyFont="1" applyFill="1" applyBorder="1" applyAlignment="1">
      <alignment horizontal="center"/>
    </xf>
    <xf numFmtId="164" fontId="10" fillId="0" borderId="0" xfId="0" applyFont="1" applyFill="1"/>
    <xf numFmtId="164" fontId="10" fillId="0" borderId="0" xfId="0" applyFont="1" applyFill="1" applyAlignment="1">
      <alignment horizontal="center"/>
    </xf>
    <xf numFmtId="44" fontId="10" fillId="0" borderId="0" xfId="8" applyFont="1" applyFill="1"/>
    <xf numFmtId="174" fontId="10" fillId="0" borderId="0" xfId="8" applyNumberFormat="1" applyFont="1" applyFill="1"/>
    <xf numFmtId="171" fontId="10" fillId="0" borderId="0" xfId="7" applyNumberFormat="1" applyFont="1" applyFill="1"/>
    <xf numFmtId="1" fontId="10" fillId="0" borderId="0" xfId="0" applyNumberFormat="1" applyFont="1" applyFill="1"/>
    <xf numFmtId="164" fontId="11" fillId="0" borderId="11" xfId="0" applyFont="1" applyFill="1" applyBorder="1"/>
    <xf numFmtId="164" fontId="11" fillId="0" borderId="11" xfId="0" applyFont="1" applyFill="1" applyBorder="1" applyAlignment="1">
      <alignment horizontal="center"/>
    </xf>
    <xf numFmtId="43" fontId="11" fillId="0" borderId="11" xfId="7" applyFont="1" applyFill="1" applyBorder="1" applyAlignment="1">
      <alignment horizontal="center"/>
    </xf>
    <xf numFmtId="174" fontId="11" fillId="0" borderId="11" xfId="8" applyNumberFormat="1" applyFont="1" applyFill="1" applyBorder="1"/>
    <xf numFmtId="44" fontId="10" fillId="0" borderId="11" xfId="8" applyFont="1" applyFill="1" applyBorder="1"/>
    <xf numFmtId="171" fontId="11" fillId="0" borderId="11" xfId="7" applyNumberFormat="1" applyFont="1" applyFill="1" applyBorder="1"/>
    <xf numFmtId="164" fontId="11" fillId="0" borderId="0" xfId="0" applyFont="1" applyFill="1"/>
    <xf numFmtId="164" fontId="11" fillId="0" borderId="0" xfId="0" applyFont="1" applyFill="1" applyAlignment="1">
      <alignment horizontal="center"/>
    </xf>
    <xf numFmtId="44" fontId="11" fillId="0" borderId="11" xfId="8" applyFont="1" applyFill="1" applyBorder="1"/>
    <xf numFmtId="174" fontId="10" fillId="0" borderId="0" xfId="8" applyNumberFormat="1" applyFont="1" applyFill="1" applyBorder="1"/>
    <xf numFmtId="44" fontId="10" fillId="0" borderId="0" xfId="0" applyNumberFormat="1" applyFont="1" applyFill="1"/>
    <xf numFmtId="164" fontId="11" fillId="0" borderId="0" xfId="0" applyFont="1" applyFill="1" applyBorder="1"/>
    <xf numFmtId="164" fontId="11" fillId="0" borderId="0" xfId="0" applyFont="1" applyFill="1" applyBorder="1" applyAlignment="1">
      <alignment horizontal="center"/>
    </xf>
    <xf numFmtId="44" fontId="11" fillId="0" borderId="0" xfId="8" applyFont="1" applyFill="1" applyBorder="1"/>
    <xf numFmtId="174" fontId="11" fillId="0" borderId="0" xfId="8" applyNumberFormat="1" applyFont="1" applyFill="1" applyBorder="1"/>
    <xf numFmtId="171" fontId="11" fillId="0" borderId="0" xfId="7" applyNumberFormat="1" applyFont="1" applyFill="1" applyBorder="1"/>
    <xf numFmtId="164" fontId="0" fillId="0" borderId="0" xfId="0" applyFill="1"/>
    <xf numFmtId="43" fontId="11" fillId="0" borderId="0" xfId="7" applyFont="1" applyFill="1" applyBorder="1" applyAlignment="1">
      <alignment horizontal="center"/>
    </xf>
    <xf numFmtId="164" fontId="10" fillId="0" borderId="0" xfId="0" applyFont="1"/>
    <xf numFmtId="3" fontId="10" fillId="0" borderId="0" xfId="0" applyNumberFormat="1" applyFont="1"/>
    <xf numFmtId="10" fontId="10" fillId="0" borderId="0" xfId="0" applyNumberFormat="1" applyFont="1"/>
    <xf numFmtId="164" fontId="63" fillId="0" borderId="0" xfId="0" applyFont="1" applyFill="1" applyAlignment="1">
      <alignment horizontal="right"/>
    </xf>
    <xf numFmtId="164" fontId="63" fillId="0" borderId="0" xfId="0" applyFont="1" applyFill="1"/>
    <xf numFmtId="164" fontId="63" fillId="0" borderId="0" xfId="0" applyFont="1" applyFill="1" applyAlignment="1">
      <alignment horizontal="center"/>
    </xf>
    <xf numFmtId="44" fontId="63" fillId="0" borderId="0" xfId="8" applyFont="1" applyFill="1"/>
    <xf numFmtId="174" fontId="63" fillId="0" borderId="0" xfId="8" applyNumberFormat="1" applyFont="1" applyFill="1"/>
    <xf numFmtId="1" fontId="63" fillId="0" borderId="0" xfId="0" applyNumberFormat="1" applyFont="1" applyFill="1"/>
    <xf numFmtId="3" fontId="10" fillId="0" borderId="8" xfId="0" applyNumberFormat="1" applyFont="1" applyBorder="1"/>
    <xf numFmtId="164" fontId="10" fillId="0" borderId="2" xfId="0" applyFont="1" applyBorder="1" applyAlignment="1">
      <alignment horizontal="center"/>
    </xf>
    <xf numFmtId="164" fontId="10" fillId="0" borderId="3" xfId="0" applyFont="1" applyBorder="1" applyAlignment="1">
      <alignment horizontal="center"/>
    </xf>
    <xf numFmtId="164" fontId="10" fillId="0" borderId="4" xfId="0" applyFont="1" applyBorder="1" applyAlignment="1">
      <alignment horizontal="center"/>
    </xf>
    <xf numFmtId="164" fontId="10" fillId="0" borderId="7" xfId="0" applyFont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10" fillId="0" borderId="9" xfId="0" applyFont="1" applyBorder="1" applyAlignment="1">
      <alignment horizontal="center"/>
    </xf>
    <xf numFmtId="173" fontId="10" fillId="0" borderId="0" xfId="0" applyNumberFormat="1" applyFont="1"/>
    <xf numFmtId="170" fontId="10" fillId="0" borderId="0" xfId="9" applyNumberFormat="1" applyFont="1"/>
    <xf numFmtId="173" fontId="10" fillId="0" borderId="0" xfId="0" applyNumberFormat="1" applyFont="1" applyFill="1"/>
    <xf numFmtId="173" fontId="10" fillId="0" borderId="8" xfId="0" applyNumberFormat="1" applyFont="1" applyBorder="1"/>
    <xf numFmtId="170" fontId="10" fillId="0" borderId="8" xfId="9" applyNumberFormat="1" applyFont="1" applyBorder="1"/>
    <xf numFmtId="0" fontId="10" fillId="0" borderId="0" xfId="0" applyNumberFormat="1" applyFont="1" applyAlignment="1">
      <alignment horizontal="centerContinuous"/>
    </xf>
    <xf numFmtId="0" fontId="10" fillId="0" borderId="0" xfId="0" applyNumberFormat="1" applyFont="1"/>
    <xf numFmtId="0" fontId="10" fillId="0" borderId="0" xfId="0" applyNumberFormat="1" applyFont="1" applyAlignment="1">
      <alignment horizontal="center" wrapText="1"/>
    </xf>
    <xf numFmtId="0" fontId="10" fillId="0" borderId="0" xfId="0" applyNumberFormat="1" applyFont="1" applyAlignment="1">
      <alignment horizontal="center"/>
    </xf>
    <xf numFmtId="0" fontId="64" fillId="0" borderId="0" xfId="0" applyNumberFormat="1" applyFont="1"/>
    <xf numFmtId="0" fontId="64" fillId="0" borderId="0" xfId="0" applyNumberFormat="1" applyFont="1" applyFill="1"/>
    <xf numFmtId="0" fontId="10" fillId="0" borderId="0" xfId="0" applyNumberFormat="1" applyFont="1" applyFill="1"/>
    <xf numFmtId="0" fontId="10" fillId="0" borderId="8" xfId="0" applyNumberFormat="1" applyFont="1" applyBorder="1"/>
    <xf numFmtId="0" fontId="65" fillId="0" borderId="8" xfId="0" applyNumberFormat="1" applyFont="1" applyBorder="1"/>
    <xf numFmtId="0" fontId="44" fillId="0" borderId="0" xfId="16" applyFont="1" applyAlignment="1">
      <alignment horizontal="left"/>
    </xf>
    <xf numFmtId="0" fontId="66" fillId="0" borderId="0" xfId="16" applyFont="1"/>
    <xf numFmtId="0" fontId="66" fillId="0" borderId="0" xfId="16" applyFont="1" applyAlignment="1">
      <alignment wrapText="1"/>
    </xf>
    <xf numFmtId="0" fontId="44" fillId="0" borderId="0" xfId="16" applyFont="1"/>
    <xf numFmtId="0" fontId="44" fillId="0" borderId="0" xfId="16" applyFont="1" applyBorder="1" applyAlignment="1"/>
    <xf numFmtId="0" fontId="66" fillId="0" borderId="0" xfId="16" applyFont="1" applyBorder="1" applyAlignment="1">
      <alignment wrapText="1"/>
    </xf>
    <xf numFmtId="0" fontId="44" fillId="0" borderId="0" xfId="16" applyFont="1" applyAlignment="1"/>
    <xf numFmtId="0" fontId="44" fillId="0" borderId="0" xfId="16" applyFont="1" applyAlignment="1">
      <alignment horizontal="center"/>
    </xf>
    <xf numFmtId="0" fontId="44" fillId="0" borderId="34" xfId="16" applyFont="1" applyBorder="1" applyAlignment="1">
      <alignment horizontal="center"/>
    </xf>
    <xf numFmtId="0" fontId="0" fillId="0" borderId="0" xfId="16" applyFont="1" applyAlignment="1">
      <alignment horizontal="center"/>
    </xf>
    <xf numFmtId="15" fontId="44" fillId="0" borderId="8" xfId="16" applyNumberFormat="1" applyFont="1" applyBorder="1" applyAlignment="1">
      <alignment horizontal="center"/>
    </xf>
    <xf numFmtId="0" fontId="44" fillId="0" borderId="0" xfId="16" applyFont="1" applyAlignment="1">
      <alignment horizontal="right"/>
    </xf>
    <xf numFmtId="174" fontId="66" fillId="0" borderId="0" xfId="17" applyNumberFormat="1" applyFont="1" applyBorder="1"/>
    <xf numFmtId="0" fontId="66" fillId="12" borderId="0" xfId="16" applyFont="1" applyFill="1"/>
    <xf numFmtId="174" fontId="66" fillId="0" borderId="0" xfId="16" applyNumberFormat="1" applyFont="1"/>
    <xf numFmtId="0" fontId="66" fillId="0" borderId="0" xfId="16" applyFont="1" applyAlignment="1"/>
    <xf numFmtId="171" fontId="66" fillId="0" borderId="0" xfId="18" applyNumberFormat="1" applyFont="1" applyBorder="1"/>
    <xf numFmtId="171" fontId="66" fillId="0" borderId="0" xfId="7" applyNumberFormat="1" applyFont="1"/>
    <xf numFmtId="171" fontId="66" fillId="0" borderId="8" xfId="7" applyNumberFormat="1" applyFont="1" applyBorder="1"/>
    <xf numFmtId="171" fontId="66" fillId="0" borderId="3" xfId="18" applyNumberFormat="1" applyFont="1" applyBorder="1"/>
    <xf numFmtId="43" fontId="66" fillId="0" borderId="0" xfId="18" applyFont="1" applyBorder="1"/>
    <xf numFmtId="0" fontId="66" fillId="0" borderId="0" xfId="16" applyFont="1" applyFill="1"/>
    <xf numFmtId="0" fontId="66" fillId="0" borderId="0" xfId="16" applyFont="1" applyFill="1" applyAlignment="1"/>
    <xf numFmtId="171" fontId="66" fillId="0" borderId="3" xfId="18" applyNumberFormat="1" applyFont="1" applyFill="1" applyBorder="1"/>
    <xf numFmtId="43" fontId="66" fillId="0" borderId="0" xfId="18" applyFont="1" applyFill="1" applyBorder="1"/>
    <xf numFmtId="175" fontId="66" fillId="0" borderId="13" xfId="16" applyNumberFormat="1" applyFont="1" applyFill="1" applyBorder="1"/>
    <xf numFmtId="174" fontId="66" fillId="0" borderId="13" xfId="8" applyNumberFormat="1" applyFont="1" applyBorder="1"/>
    <xf numFmtId="176" fontId="66" fillId="0" borderId="0" xfId="16" applyNumberFormat="1" applyFont="1" applyFill="1" applyBorder="1"/>
    <xf numFmtId="0" fontId="44" fillId="0" borderId="0" xfId="16" applyFont="1" applyFill="1"/>
    <xf numFmtId="0" fontId="44" fillId="0" borderId="0" xfId="16" applyFont="1" applyFill="1" applyAlignment="1">
      <alignment horizontal="left"/>
    </xf>
    <xf numFmtId="0" fontId="44" fillId="0" borderId="0" xfId="16" applyFont="1" applyFill="1" applyBorder="1" applyAlignment="1">
      <alignment horizontal="left"/>
    </xf>
    <xf numFmtId="0" fontId="66" fillId="0" borderId="0" xfId="16" applyFont="1" applyFill="1" applyBorder="1"/>
    <xf numFmtId="171" fontId="66" fillId="0" borderId="11" xfId="18" applyNumberFormat="1" applyFont="1" applyFill="1" applyBorder="1"/>
    <xf numFmtId="171" fontId="66" fillId="0" borderId="11" xfId="7" applyNumberFormat="1" applyFont="1" applyBorder="1"/>
    <xf numFmtId="171" fontId="66" fillId="0" borderId="11" xfId="18" applyNumberFormat="1" applyFont="1" applyBorder="1"/>
    <xf numFmtId="44" fontId="66" fillId="0" borderId="0" xfId="17" applyFont="1" applyBorder="1"/>
    <xf numFmtId="174" fontId="66" fillId="0" borderId="13" xfId="17" applyNumberFormat="1" applyFont="1" applyBorder="1"/>
    <xf numFmtId="4" fontId="10" fillId="0" borderId="0" xfId="0" applyNumberFormat="1" applyFont="1"/>
    <xf numFmtId="3" fontId="45" fillId="0" borderId="5" xfId="0" applyNumberFormat="1" applyFont="1" applyFill="1" applyBorder="1"/>
    <xf numFmtId="3" fontId="60" fillId="0" borderId="0" xfId="0" applyNumberFormat="1" applyFont="1"/>
    <xf numFmtId="164" fontId="67" fillId="0" borderId="0" xfId="0" applyFont="1" applyAlignment="1">
      <alignment horizontal="centerContinuous"/>
    </xf>
    <xf numFmtId="164" fontId="67" fillId="0" borderId="0" xfId="0" applyFont="1"/>
    <xf numFmtId="164" fontId="60" fillId="0" borderId="0" xfId="0" applyFont="1" applyAlignment="1">
      <alignment horizontal="center"/>
    </xf>
    <xf numFmtId="177" fontId="60" fillId="0" borderId="0" xfId="0" applyNumberFormat="1" applyFont="1"/>
    <xf numFmtId="177" fontId="60" fillId="0" borderId="0" xfId="0" applyNumberFormat="1" applyFont="1" applyAlignment="1">
      <alignment horizontal="center"/>
    </xf>
    <xf numFmtId="178" fontId="60" fillId="0" borderId="0" xfId="0" applyNumberFormat="1" applyFont="1"/>
    <xf numFmtId="10" fontId="60" fillId="0" borderId="0" xfId="0" applyNumberFormat="1" applyFont="1"/>
    <xf numFmtId="10" fontId="45" fillId="0" borderId="8" xfId="0" applyNumberFormat="1" applyFont="1" applyBorder="1"/>
    <xf numFmtId="164" fontId="68" fillId="0" borderId="0" xfId="0" applyFont="1"/>
    <xf numFmtId="164" fontId="68" fillId="0" borderId="0" xfId="0" applyFont="1" applyAlignment="1">
      <alignment horizontal="right"/>
    </xf>
    <xf numFmtId="39" fontId="68" fillId="0" borderId="0" xfId="0" applyNumberFormat="1" applyFont="1"/>
    <xf numFmtId="39" fontId="68" fillId="0" borderId="8" xfId="0" applyNumberFormat="1" applyFont="1" applyBorder="1"/>
    <xf numFmtId="10" fontId="68" fillId="0" borderId="8" xfId="0" applyNumberFormat="1" applyFont="1" applyBorder="1"/>
    <xf numFmtId="164" fontId="70" fillId="0" borderId="0" xfId="0" applyFont="1"/>
    <xf numFmtId="7" fontId="70" fillId="0" borderId="35" xfId="7" applyNumberFormat="1" applyFont="1" applyBorder="1" applyAlignment="1"/>
    <xf numFmtId="1" fontId="70" fillId="0" borderId="36" xfId="0" applyNumberFormat="1" applyFont="1" applyFill="1" applyBorder="1" applyAlignment="1"/>
    <xf numFmtId="7" fontId="70" fillId="0" borderId="32" xfId="7" applyNumberFormat="1" applyFont="1" applyBorder="1" applyAlignment="1"/>
    <xf numFmtId="1" fontId="70" fillId="0" borderId="37" xfId="0" applyNumberFormat="1" applyFont="1" applyBorder="1"/>
    <xf numFmtId="7" fontId="70" fillId="0" borderId="34" xfId="0" applyNumberFormat="1" applyFont="1" applyBorder="1" applyAlignment="1"/>
    <xf numFmtId="1" fontId="70" fillId="0" borderId="38" xfId="0" applyNumberFormat="1" applyFont="1" applyBorder="1"/>
    <xf numFmtId="10" fontId="70" fillId="0" borderId="0" xfId="9" applyNumberFormat="1" applyFont="1"/>
    <xf numFmtId="164" fontId="70" fillId="0" borderId="0" xfId="0" applyFont="1" applyAlignment="1">
      <alignment horizontal="center" wrapText="1"/>
    </xf>
    <xf numFmtId="10" fontId="70" fillId="0" borderId="0" xfId="9" applyNumberFormat="1" applyFont="1" applyAlignment="1">
      <alignment horizontal="center"/>
    </xf>
    <xf numFmtId="164" fontId="70" fillId="0" borderId="0" xfId="0" quotePrefix="1" applyFont="1"/>
    <xf numFmtId="0" fontId="71" fillId="0" borderId="0" xfId="19" applyFont="1"/>
    <xf numFmtId="164" fontId="68" fillId="0" borderId="0" xfId="0" applyFont="1" applyAlignment="1">
      <alignment vertical="center"/>
    </xf>
    <xf numFmtId="164" fontId="68" fillId="0" borderId="0" xfId="0" applyFont="1" applyAlignment="1">
      <alignment horizontal="left" vertical="center"/>
    </xf>
    <xf numFmtId="164" fontId="72" fillId="0" borderId="0" xfId="0" applyFont="1" applyAlignment="1">
      <alignment horizontal="centerContinuous"/>
    </xf>
    <xf numFmtId="164" fontId="73" fillId="0" borderId="0" xfId="0" applyFont="1" applyAlignment="1">
      <alignment horizontal="centerContinuous"/>
    </xf>
    <xf numFmtId="164" fontId="68" fillId="0" borderId="0" xfId="0" applyFont="1" applyAlignment="1">
      <alignment horizontal="centerContinuous"/>
    </xf>
    <xf numFmtId="49" fontId="74" fillId="0" borderId="8" xfId="4" applyNumberFormat="1" applyFont="1" applyBorder="1" applyAlignment="1">
      <alignment horizontal="center"/>
    </xf>
    <xf numFmtId="171" fontId="57" fillId="0" borderId="8" xfId="2" applyNumberFormat="1" applyFont="1" applyBorder="1" applyAlignment="1">
      <alignment horizontal="center"/>
    </xf>
    <xf numFmtId="39" fontId="57" fillId="0" borderId="0" xfId="3" applyNumberFormat="1" applyFont="1" applyAlignment="1"/>
    <xf numFmtId="39" fontId="57" fillId="0" borderId="0" xfId="0" applyNumberFormat="1" applyFont="1"/>
    <xf numFmtId="4" fontId="57" fillId="0" borderId="0" xfId="0" applyNumberFormat="1" applyFont="1"/>
    <xf numFmtId="39" fontId="57" fillId="0" borderId="8" xfId="3" applyNumberFormat="1" applyFont="1" applyBorder="1" applyAlignment="1"/>
    <xf numFmtId="39" fontId="57" fillId="0" borderId="8" xfId="0" applyNumberFormat="1" applyFont="1" applyBorder="1"/>
    <xf numFmtId="4" fontId="60" fillId="0" borderId="0" xfId="0" applyNumberFormat="1" applyFont="1"/>
    <xf numFmtId="3" fontId="0" fillId="0" borderId="0" xfId="0" applyNumberFormat="1"/>
    <xf numFmtId="10" fontId="0" fillId="0" borderId="0" xfId="0" applyNumberFormat="1"/>
    <xf numFmtId="164" fontId="60" fillId="0" borderId="0" xfId="0" applyFont="1" applyAlignment="1">
      <alignment horizontal="centerContinuous"/>
    </xf>
    <xf numFmtId="164" fontId="60" fillId="0" borderId="0" xfId="0" applyFont="1" applyAlignment="1">
      <alignment wrapText="1"/>
    </xf>
    <xf numFmtId="164" fontId="60" fillId="0" borderId="0" xfId="0" applyFont="1" applyAlignment="1">
      <alignment horizontal="center" wrapText="1"/>
    </xf>
    <xf numFmtId="173" fontId="60" fillId="0" borderId="0" xfId="0" applyNumberFormat="1" applyFont="1"/>
    <xf numFmtId="37" fontId="60" fillId="0" borderId="0" xfId="0" applyNumberFormat="1" applyFont="1"/>
    <xf numFmtId="37" fontId="60" fillId="0" borderId="8" xfId="0" applyNumberFormat="1" applyFont="1" applyBorder="1"/>
    <xf numFmtId="164" fontId="60" fillId="0" borderId="8" xfId="0" applyFont="1" applyBorder="1"/>
    <xf numFmtId="39" fontId="60" fillId="0" borderId="0" xfId="0" applyNumberFormat="1" applyFont="1"/>
    <xf numFmtId="164" fontId="77" fillId="0" borderId="0" xfId="0" applyFont="1" applyAlignment="1">
      <alignment horizontal="centerContinuous"/>
    </xf>
    <xf numFmtId="164" fontId="78" fillId="0" borderId="0" xfId="0" applyFont="1" applyAlignment="1">
      <alignment horizontal="centerContinuous"/>
    </xf>
    <xf numFmtId="3" fontId="15" fillId="0" borderId="0" xfId="2" applyNumberFormat="1" applyFont="1" applyFill="1" applyBorder="1" applyProtection="1"/>
    <xf numFmtId="173" fontId="57" fillId="0" borderId="0" xfId="0" applyNumberFormat="1" applyFont="1"/>
    <xf numFmtId="10" fontId="57" fillId="0" borderId="0" xfId="9" applyNumberFormat="1" applyFont="1"/>
    <xf numFmtId="3" fontId="57" fillId="0" borderId="0" xfId="0" applyNumberFormat="1" applyFont="1"/>
    <xf numFmtId="3" fontId="57" fillId="0" borderId="8" xfId="0" applyNumberFormat="1" applyFont="1" applyBorder="1"/>
    <xf numFmtId="0" fontId="32" fillId="5" borderId="0" xfId="5" applyFont="1" applyFill="1" applyProtection="1"/>
    <xf numFmtId="3" fontId="60" fillId="0" borderId="8" xfId="0" applyNumberFormat="1" applyFont="1" applyBorder="1"/>
    <xf numFmtId="179" fontId="60" fillId="0" borderId="0" xfId="0" applyNumberFormat="1" applyFont="1"/>
    <xf numFmtId="179" fontId="60" fillId="8" borderId="0" xfId="0" applyNumberFormat="1" applyFont="1" applyFill="1"/>
    <xf numFmtId="179" fontId="60" fillId="13" borderId="0" xfId="0" applyNumberFormat="1" applyFont="1" applyFill="1"/>
    <xf numFmtId="164" fontId="79" fillId="0" borderId="0" xfId="0" applyFont="1" applyAlignment="1">
      <alignment horizontal="centerContinuous"/>
    </xf>
    <xf numFmtId="179" fontId="60" fillId="0" borderId="8" xfId="0" applyNumberFormat="1" applyFont="1" applyBorder="1"/>
    <xf numFmtId="4" fontId="60" fillId="0" borderId="8" xfId="0" applyNumberFormat="1" applyFont="1" applyBorder="1"/>
    <xf numFmtId="0" fontId="13" fillId="0" borderId="0" xfId="5" applyFont="1" applyFill="1" applyAlignment="1" applyProtection="1">
      <alignment horizontal="center"/>
    </xf>
    <xf numFmtId="0" fontId="10" fillId="0" borderId="0" xfId="5" applyFont="1" applyFill="1" applyAlignment="1">
      <alignment horizontal="center"/>
    </xf>
    <xf numFmtId="10" fontId="10" fillId="0" borderId="0" xfId="0" applyNumberFormat="1" applyFont="1" applyFill="1"/>
    <xf numFmtId="3" fontId="10" fillId="0" borderId="0" xfId="0" applyNumberFormat="1" applyFont="1" applyFill="1"/>
    <xf numFmtId="171" fontId="11" fillId="0" borderId="0" xfId="2" applyNumberFormat="1" applyFont="1" applyAlignment="1">
      <alignment horizontal="center"/>
    </xf>
    <xf numFmtId="3" fontId="38" fillId="0" borderId="0" xfId="0" quotePrefix="1" applyNumberFormat="1" applyFont="1" applyFill="1" applyAlignment="1">
      <alignment horizontal="center"/>
    </xf>
    <xf numFmtId="164" fontId="13" fillId="0" borderId="0" xfId="0" applyFont="1" applyAlignment="1">
      <alignment horizontal="center" vertical="top" wrapText="1"/>
    </xf>
    <xf numFmtId="164" fontId="57" fillId="0" borderId="29" xfId="0" quotePrefix="1" applyFont="1" applyBorder="1" applyAlignment="1"/>
    <xf numFmtId="164" fontId="57" fillId="0" borderId="30" xfId="0" applyFont="1" applyBorder="1" applyAlignment="1"/>
    <xf numFmtId="164" fontId="57" fillId="0" borderId="31" xfId="0" applyFont="1" applyBorder="1" applyAlignment="1"/>
    <xf numFmtId="7" fontId="70" fillId="0" borderId="29" xfId="0" applyNumberFormat="1" applyFont="1" applyBorder="1" applyAlignment="1">
      <alignment horizontal="center" vertical="center"/>
    </xf>
    <xf numFmtId="7" fontId="70" fillId="0" borderId="31" xfId="0" applyNumberFormat="1" applyFont="1" applyBorder="1" applyAlignment="1">
      <alignment horizontal="center" vertical="center"/>
    </xf>
    <xf numFmtId="164" fontId="70" fillId="0" borderId="23" xfId="0" applyFont="1" applyBorder="1" applyAlignment="1">
      <alignment horizontal="center"/>
    </xf>
    <xf numFmtId="164" fontId="70" fillId="0" borderId="0" xfId="0" applyFont="1" applyAlignment="1">
      <alignment horizontal="center"/>
    </xf>
  </cellXfs>
  <cellStyles count="20">
    <cellStyle name="Comma" xfId="7" builtinId="3"/>
    <cellStyle name="Comma 12 2" xfId="15"/>
    <cellStyle name="Comma 2" xfId="18"/>
    <cellStyle name="Comma 3" xfId="2"/>
    <cellStyle name="Comma 5" xfId="3"/>
    <cellStyle name="Currency" xfId="8" builtinId="4"/>
    <cellStyle name="Currency 2" xfId="17"/>
    <cellStyle name="Hyperlink" xfId="19" builtinId="8"/>
    <cellStyle name="Input" xfId="1" builtinId="20"/>
    <cellStyle name="Normal" xfId="0" builtinId="0"/>
    <cellStyle name="Normal 11 2 2 3 2" xfId="14"/>
    <cellStyle name="Normal 13" xfId="12"/>
    <cellStyle name="Normal 13 2" xfId="13"/>
    <cellStyle name="Normal 2" xfId="5"/>
    <cellStyle name="Normal 3" xfId="16"/>
    <cellStyle name="Normal 37" xfId="10"/>
    <cellStyle name="Normal 6" xfId="4"/>
    <cellStyle name="Normal_DEPN" xfId="11"/>
    <cellStyle name="Percent" xfId="9" builtinId="5"/>
    <cellStyle name="Percent 3" xfId="6"/>
  </cellStyles>
  <dxfs count="17">
    <dxf>
      <font>
        <strike val="0"/>
        <outline val="0"/>
        <shadow val="0"/>
        <u val="none"/>
        <vertAlign val="baseline"/>
        <sz val="11"/>
        <name val="Cambria"/>
        <scheme val="major"/>
      </font>
      <numFmt numFmtId="27" formatCode="m/d/yyyy\ h:mm"/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  <numFmt numFmtId="30" formatCode="@"/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  <numFmt numFmtId="19" formatCode="m/d/yyyy"/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trike val="0"/>
        <outline val="0"/>
        <shadow val="0"/>
        <u val="none"/>
        <vertAlign val="baseline"/>
        <sz val="11"/>
        <name val="Cambria"/>
        <scheme val="major"/>
      </font>
    </dxf>
    <dxf>
      <font>
        <sz val="11"/>
      </font>
    </dxf>
    <dxf>
      <font>
        <name val="Centaur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don/AppData/Local/Microsoft/Windows/Temporary%20Internet%20Files/Content.Outlook/2IU5EPBL/BDI_WUTC-GeneralRateCase_2017-Jan_v02%204%20(CB%20new)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don/AppData/Local/Microsoft/Windows/Temporary%20Internet%20Files/Content.Outlook/2IU5EPBL/BDI_WUTC-GeneralRateCase_2017-Jan_v02%204%20(CB%20new)%20(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don/AppData/Local/Microsoft/Windows/Temporary%20Internet%20Files/Content.Outlook/2IU5EPBL/BDI%20PASCO%20CITY%20RATE%20CASE%2012.31.2014%20Rev%2017%20FINAL%20VERS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%20Data/Basin%20Disposal/Operating%20Cost%20Rate%20Filing%201-17/Labor%20Recon_BDI_RateSu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Version"/>
      <sheetName val="1. BDI Rev &amp; Exp Total Sheet"/>
      <sheetName val="2. 12 Month Income Stmt. 4(c)"/>
      <sheetName val="3. ProForma"/>
      <sheetName val="4. Matrix"/>
      <sheetName val="5. BDI Gen Ledger Table"/>
      <sheetName val="6. V Lookup Tables"/>
      <sheetName val="7. GL Pivot"/>
      <sheetName val="Recon"/>
      <sheetName val="8. BDI_IS_2015-16"/>
      <sheetName val="8.1 BDI_IS_2016"/>
      <sheetName val="8.2 BDI_IS for 2015"/>
      <sheetName val="9. BDI Balance Sheet"/>
      <sheetName val="Consolidated Balance Sheet 4(g)"/>
      <sheetName val="Sheet5"/>
      <sheetName val="Sheet6"/>
      <sheetName val="Format"/>
    </sheetNames>
    <sheetDataSet>
      <sheetData sheetId="0"/>
      <sheetData sheetId="1"/>
      <sheetData sheetId="2">
        <row r="186">
          <cell r="O186">
            <v>-451.78</v>
          </cell>
        </row>
        <row r="187">
          <cell r="O187">
            <v>1076.6399999999999</v>
          </cell>
        </row>
        <row r="188">
          <cell r="O188">
            <v>0</v>
          </cell>
        </row>
        <row r="191">
          <cell r="O191">
            <v>1158945.7399999993</v>
          </cell>
        </row>
      </sheetData>
      <sheetData sheetId="3"/>
      <sheetData sheetId="4"/>
      <sheetData sheetId="5">
        <row r="2">
          <cell r="J2" t="e">
            <v>#N/A</v>
          </cell>
          <cell r="K2" t="e">
            <v>#N/A</v>
          </cell>
          <cell r="N2">
            <v>0</v>
          </cell>
          <cell r="Q2" t="str">
            <v>2015_10</v>
          </cell>
        </row>
        <row r="3">
          <cell r="J3" t="e">
            <v>#N/A</v>
          </cell>
          <cell r="K3" t="e">
            <v>#N/A</v>
          </cell>
          <cell r="N3">
            <v>0</v>
          </cell>
          <cell r="Q3" t="str">
            <v>2015_11</v>
          </cell>
        </row>
        <row r="4">
          <cell r="J4" t="e">
            <v>#N/A</v>
          </cell>
          <cell r="K4" t="e">
            <v>#N/A</v>
          </cell>
          <cell r="N4">
            <v>0</v>
          </cell>
          <cell r="Q4" t="str">
            <v>2015_12</v>
          </cell>
        </row>
        <row r="5">
          <cell r="J5" t="e">
            <v>#N/A</v>
          </cell>
          <cell r="K5" t="e">
            <v>#N/A</v>
          </cell>
          <cell r="N5">
            <v>0</v>
          </cell>
          <cell r="Q5" t="str">
            <v>2016_01</v>
          </cell>
        </row>
        <row r="6">
          <cell r="J6" t="e">
            <v>#N/A</v>
          </cell>
          <cell r="K6" t="e">
            <v>#N/A</v>
          </cell>
          <cell r="N6">
            <v>0</v>
          </cell>
          <cell r="Q6" t="str">
            <v>2016_02</v>
          </cell>
        </row>
        <row r="7">
          <cell r="J7" t="e">
            <v>#N/A</v>
          </cell>
          <cell r="K7" t="e">
            <v>#N/A</v>
          </cell>
          <cell r="N7">
            <v>0</v>
          </cell>
          <cell r="Q7" t="str">
            <v>2016_03</v>
          </cell>
        </row>
        <row r="8">
          <cell r="J8" t="e">
            <v>#N/A</v>
          </cell>
          <cell r="K8" t="e">
            <v>#N/A</v>
          </cell>
          <cell r="N8">
            <v>0</v>
          </cell>
          <cell r="Q8" t="str">
            <v>2016_04</v>
          </cell>
        </row>
        <row r="9">
          <cell r="J9" t="e">
            <v>#N/A</v>
          </cell>
          <cell r="K9" t="e">
            <v>#N/A</v>
          </cell>
          <cell r="N9">
            <v>0</v>
          </cell>
          <cell r="Q9" t="str">
            <v>2016_05</v>
          </cell>
        </row>
        <row r="10">
          <cell r="J10" t="e">
            <v>#N/A</v>
          </cell>
          <cell r="K10" t="e">
            <v>#N/A</v>
          </cell>
          <cell r="N10">
            <v>0</v>
          </cell>
          <cell r="Q10" t="str">
            <v>2016_06</v>
          </cell>
        </row>
        <row r="11">
          <cell r="J11" t="e">
            <v>#N/A</v>
          </cell>
          <cell r="K11" t="e">
            <v>#N/A</v>
          </cell>
          <cell r="N11">
            <v>0</v>
          </cell>
          <cell r="Q11" t="str">
            <v>2016_07</v>
          </cell>
        </row>
        <row r="12">
          <cell r="J12" t="e">
            <v>#N/A</v>
          </cell>
          <cell r="K12" t="e">
            <v>#N/A</v>
          </cell>
          <cell r="N12">
            <v>0</v>
          </cell>
          <cell r="Q12" t="str">
            <v>2016_08</v>
          </cell>
        </row>
        <row r="13">
          <cell r="J13" t="e">
            <v>#N/A</v>
          </cell>
          <cell r="K13" t="e">
            <v>#N/A</v>
          </cell>
          <cell r="N13">
            <v>0</v>
          </cell>
          <cell r="Q13" t="str">
            <v>2016_09</v>
          </cell>
        </row>
        <row r="14">
          <cell r="J14" t="e">
            <v>#N/A</v>
          </cell>
          <cell r="K14" t="e">
            <v>#N/A</v>
          </cell>
          <cell r="N14">
            <v>0</v>
          </cell>
          <cell r="Q14" t="str">
            <v>2015_10</v>
          </cell>
        </row>
        <row r="15">
          <cell r="J15" t="e">
            <v>#N/A</v>
          </cell>
          <cell r="K15" t="e">
            <v>#N/A</v>
          </cell>
          <cell r="N15">
            <v>0</v>
          </cell>
          <cell r="Q15" t="str">
            <v>2015_11</v>
          </cell>
        </row>
        <row r="16">
          <cell r="J16" t="e">
            <v>#N/A</v>
          </cell>
          <cell r="K16" t="e">
            <v>#N/A</v>
          </cell>
          <cell r="N16">
            <v>200</v>
          </cell>
          <cell r="Q16" t="str">
            <v>2015_12</v>
          </cell>
        </row>
        <row r="17">
          <cell r="J17" t="e">
            <v>#N/A</v>
          </cell>
          <cell r="K17" t="e">
            <v>#N/A</v>
          </cell>
          <cell r="N17">
            <v>0</v>
          </cell>
          <cell r="Q17" t="str">
            <v>2016_01</v>
          </cell>
        </row>
        <row r="18">
          <cell r="J18" t="e">
            <v>#N/A</v>
          </cell>
          <cell r="K18" t="e">
            <v>#N/A</v>
          </cell>
          <cell r="N18">
            <v>0</v>
          </cell>
          <cell r="Q18" t="str">
            <v>2016_02</v>
          </cell>
        </row>
        <row r="19">
          <cell r="J19" t="e">
            <v>#N/A</v>
          </cell>
          <cell r="K19" t="e">
            <v>#N/A</v>
          </cell>
          <cell r="N19">
            <v>0</v>
          </cell>
          <cell r="Q19" t="str">
            <v>2016_03</v>
          </cell>
        </row>
        <row r="20">
          <cell r="J20" t="e">
            <v>#N/A</v>
          </cell>
          <cell r="K20" t="e">
            <v>#N/A</v>
          </cell>
          <cell r="N20">
            <v>0</v>
          </cell>
          <cell r="Q20" t="str">
            <v>2016_04</v>
          </cell>
        </row>
        <row r="21">
          <cell r="J21" t="e">
            <v>#N/A</v>
          </cell>
          <cell r="K21" t="e">
            <v>#N/A</v>
          </cell>
          <cell r="N21">
            <v>0</v>
          </cell>
          <cell r="Q21" t="str">
            <v>2016_05</v>
          </cell>
        </row>
        <row r="22">
          <cell r="J22" t="e">
            <v>#N/A</v>
          </cell>
          <cell r="K22" t="e">
            <v>#N/A</v>
          </cell>
          <cell r="N22">
            <v>0</v>
          </cell>
          <cell r="Q22" t="str">
            <v>2016_06</v>
          </cell>
        </row>
        <row r="23">
          <cell r="J23" t="e">
            <v>#N/A</v>
          </cell>
          <cell r="K23" t="e">
            <v>#N/A</v>
          </cell>
          <cell r="N23">
            <v>0</v>
          </cell>
          <cell r="Q23" t="str">
            <v>2016_07</v>
          </cell>
        </row>
        <row r="24">
          <cell r="J24" t="e">
            <v>#N/A</v>
          </cell>
          <cell r="K24" t="e">
            <v>#N/A</v>
          </cell>
          <cell r="N24">
            <v>0</v>
          </cell>
          <cell r="Q24" t="str">
            <v>2016_08</v>
          </cell>
        </row>
        <row r="25">
          <cell r="J25" t="e">
            <v>#N/A</v>
          </cell>
          <cell r="K25" t="e">
            <v>#N/A</v>
          </cell>
          <cell r="N25">
            <v>0</v>
          </cell>
          <cell r="Q25" t="str">
            <v>2016_09</v>
          </cell>
        </row>
        <row r="26">
          <cell r="J26" t="e">
            <v>#N/A</v>
          </cell>
          <cell r="K26" t="e">
            <v>#N/A</v>
          </cell>
          <cell r="N26">
            <v>0</v>
          </cell>
          <cell r="Q26" t="str">
            <v>2015_10</v>
          </cell>
        </row>
        <row r="27">
          <cell r="J27" t="e">
            <v>#N/A</v>
          </cell>
          <cell r="K27" t="e">
            <v>#N/A</v>
          </cell>
          <cell r="N27">
            <v>0</v>
          </cell>
          <cell r="Q27" t="str">
            <v>2015_11</v>
          </cell>
        </row>
        <row r="28">
          <cell r="J28" t="e">
            <v>#N/A</v>
          </cell>
          <cell r="K28" t="e">
            <v>#N/A</v>
          </cell>
          <cell r="N28">
            <v>0</v>
          </cell>
          <cell r="Q28" t="str">
            <v>2015_12</v>
          </cell>
        </row>
        <row r="29">
          <cell r="J29" t="e">
            <v>#N/A</v>
          </cell>
          <cell r="K29" t="e">
            <v>#N/A</v>
          </cell>
          <cell r="N29">
            <v>0</v>
          </cell>
          <cell r="Q29" t="str">
            <v>2016_01</v>
          </cell>
        </row>
        <row r="30">
          <cell r="J30" t="e">
            <v>#N/A</v>
          </cell>
          <cell r="K30" t="e">
            <v>#N/A</v>
          </cell>
          <cell r="N30">
            <v>0</v>
          </cell>
          <cell r="Q30" t="str">
            <v>2016_02</v>
          </cell>
        </row>
        <row r="31">
          <cell r="J31" t="e">
            <v>#N/A</v>
          </cell>
          <cell r="K31" t="e">
            <v>#N/A</v>
          </cell>
          <cell r="N31">
            <v>0</v>
          </cell>
          <cell r="Q31" t="str">
            <v>2016_03</v>
          </cell>
        </row>
        <row r="32">
          <cell r="J32" t="e">
            <v>#N/A</v>
          </cell>
          <cell r="K32" t="e">
            <v>#N/A</v>
          </cell>
          <cell r="N32">
            <v>0</v>
          </cell>
          <cell r="Q32" t="str">
            <v>2016_04</v>
          </cell>
        </row>
        <row r="33">
          <cell r="J33" t="e">
            <v>#N/A</v>
          </cell>
          <cell r="K33" t="e">
            <v>#N/A</v>
          </cell>
          <cell r="N33">
            <v>0</v>
          </cell>
          <cell r="Q33" t="str">
            <v>2016_05</v>
          </cell>
        </row>
        <row r="34">
          <cell r="J34" t="e">
            <v>#N/A</v>
          </cell>
          <cell r="K34" t="e">
            <v>#N/A</v>
          </cell>
          <cell r="N34">
            <v>0</v>
          </cell>
          <cell r="Q34" t="str">
            <v>2016_06</v>
          </cell>
        </row>
        <row r="35">
          <cell r="J35" t="e">
            <v>#N/A</v>
          </cell>
          <cell r="K35" t="e">
            <v>#N/A</v>
          </cell>
          <cell r="N35">
            <v>0</v>
          </cell>
          <cell r="Q35" t="str">
            <v>2016_07</v>
          </cell>
        </row>
        <row r="36">
          <cell r="J36" t="e">
            <v>#N/A</v>
          </cell>
          <cell r="K36" t="e">
            <v>#N/A</v>
          </cell>
          <cell r="N36">
            <v>0</v>
          </cell>
          <cell r="Q36" t="str">
            <v>2016_08</v>
          </cell>
        </row>
        <row r="37">
          <cell r="J37" t="e">
            <v>#N/A</v>
          </cell>
          <cell r="K37" t="e">
            <v>#N/A</v>
          </cell>
          <cell r="N37">
            <v>0</v>
          </cell>
          <cell r="Q37" t="str">
            <v>2016_09</v>
          </cell>
        </row>
        <row r="38">
          <cell r="J38" t="e">
            <v>#N/A</v>
          </cell>
          <cell r="K38" t="e">
            <v>#N/A</v>
          </cell>
          <cell r="N38">
            <v>0</v>
          </cell>
          <cell r="Q38" t="str">
            <v>2015_10</v>
          </cell>
        </row>
        <row r="39">
          <cell r="J39" t="e">
            <v>#N/A</v>
          </cell>
          <cell r="K39" t="e">
            <v>#N/A</v>
          </cell>
          <cell r="N39">
            <v>0</v>
          </cell>
          <cell r="Q39" t="str">
            <v>2015_11</v>
          </cell>
        </row>
        <row r="40">
          <cell r="J40" t="e">
            <v>#N/A</v>
          </cell>
          <cell r="K40" t="e">
            <v>#N/A</v>
          </cell>
          <cell r="N40">
            <v>0</v>
          </cell>
          <cell r="Q40" t="str">
            <v>2015_12</v>
          </cell>
        </row>
        <row r="41">
          <cell r="J41" t="e">
            <v>#N/A</v>
          </cell>
          <cell r="K41" t="e">
            <v>#N/A</v>
          </cell>
          <cell r="N41">
            <v>0</v>
          </cell>
          <cell r="Q41" t="str">
            <v>2016_01</v>
          </cell>
        </row>
        <row r="42">
          <cell r="J42" t="e">
            <v>#N/A</v>
          </cell>
          <cell r="K42" t="e">
            <v>#N/A</v>
          </cell>
          <cell r="N42">
            <v>0</v>
          </cell>
          <cell r="Q42" t="str">
            <v>2016_02</v>
          </cell>
        </row>
        <row r="43">
          <cell r="J43" t="e">
            <v>#N/A</v>
          </cell>
          <cell r="K43" t="e">
            <v>#N/A</v>
          </cell>
          <cell r="N43">
            <v>0</v>
          </cell>
          <cell r="Q43" t="str">
            <v>2016_03</v>
          </cell>
        </row>
        <row r="44">
          <cell r="J44" t="e">
            <v>#N/A</v>
          </cell>
          <cell r="K44" t="e">
            <v>#N/A</v>
          </cell>
          <cell r="N44">
            <v>0</v>
          </cell>
          <cell r="Q44" t="str">
            <v>2016_04</v>
          </cell>
        </row>
        <row r="45">
          <cell r="J45" t="e">
            <v>#N/A</v>
          </cell>
          <cell r="K45" t="e">
            <v>#N/A</v>
          </cell>
          <cell r="N45">
            <v>0</v>
          </cell>
          <cell r="Q45" t="str">
            <v>2016_05</v>
          </cell>
        </row>
        <row r="46">
          <cell r="J46" t="e">
            <v>#N/A</v>
          </cell>
          <cell r="K46" t="e">
            <v>#N/A</v>
          </cell>
          <cell r="N46">
            <v>0</v>
          </cell>
          <cell r="Q46" t="str">
            <v>2016_06</v>
          </cell>
        </row>
        <row r="47">
          <cell r="J47" t="e">
            <v>#N/A</v>
          </cell>
          <cell r="K47" t="e">
            <v>#N/A</v>
          </cell>
          <cell r="N47">
            <v>0</v>
          </cell>
          <cell r="Q47" t="str">
            <v>2016_07</v>
          </cell>
        </row>
        <row r="48">
          <cell r="J48" t="e">
            <v>#N/A</v>
          </cell>
          <cell r="K48" t="e">
            <v>#N/A</v>
          </cell>
          <cell r="N48">
            <v>0</v>
          </cell>
          <cell r="Q48" t="str">
            <v>2016_08</v>
          </cell>
        </row>
        <row r="49">
          <cell r="J49" t="e">
            <v>#N/A</v>
          </cell>
          <cell r="K49" t="e">
            <v>#N/A</v>
          </cell>
          <cell r="N49">
            <v>0</v>
          </cell>
          <cell r="Q49" t="str">
            <v>2016_09</v>
          </cell>
        </row>
        <row r="50">
          <cell r="J50" t="e">
            <v>#N/A</v>
          </cell>
          <cell r="K50" t="e">
            <v>#N/A</v>
          </cell>
          <cell r="N50">
            <v>0</v>
          </cell>
          <cell r="Q50" t="str">
            <v>2015_10</v>
          </cell>
        </row>
        <row r="51">
          <cell r="J51" t="e">
            <v>#N/A</v>
          </cell>
          <cell r="K51" t="e">
            <v>#N/A</v>
          </cell>
          <cell r="N51">
            <v>0</v>
          </cell>
          <cell r="Q51" t="str">
            <v>2015_11</v>
          </cell>
        </row>
        <row r="52">
          <cell r="J52" t="e">
            <v>#N/A</v>
          </cell>
          <cell r="K52" t="e">
            <v>#N/A</v>
          </cell>
          <cell r="N52">
            <v>0</v>
          </cell>
          <cell r="Q52" t="str">
            <v>2015_12</v>
          </cell>
        </row>
        <row r="53">
          <cell r="J53" t="e">
            <v>#N/A</v>
          </cell>
          <cell r="K53" t="e">
            <v>#N/A</v>
          </cell>
          <cell r="N53">
            <v>0</v>
          </cell>
          <cell r="Q53" t="str">
            <v>2016_01</v>
          </cell>
        </row>
        <row r="54">
          <cell r="J54" t="e">
            <v>#N/A</v>
          </cell>
          <cell r="K54" t="e">
            <v>#N/A</v>
          </cell>
          <cell r="N54">
            <v>0</v>
          </cell>
          <cell r="Q54" t="str">
            <v>2016_02</v>
          </cell>
        </row>
        <row r="55">
          <cell r="J55" t="e">
            <v>#N/A</v>
          </cell>
          <cell r="K55" t="e">
            <v>#N/A</v>
          </cell>
          <cell r="N55">
            <v>0</v>
          </cell>
          <cell r="Q55" t="str">
            <v>2016_03</v>
          </cell>
        </row>
        <row r="56">
          <cell r="J56" t="e">
            <v>#N/A</v>
          </cell>
          <cell r="K56" t="e">
            <v>#N/A</v>
          </cell>
          <cell r="N56">
            <v>0</v>
          </cell>
          <cell r="Q56" t="str">
            <v>2016_04</v>
          </cell>
        </row>
        <row r="57">
          <cell r="J57" t="e">
            <v>#N/A</v>
          </cell>
          <cell r="K57" t="e">
            <v>#N/A</v>
          </cell>
          <cell r="N57">
            <v>0</v>
          </cell>
          <cell r="Q57" t="str">
            <v>2016_05</v>
          </cell>
        </row>
        <row r="58">
          <cell r="J58" t="e">
            <v>#N/A</v>
          </cell>
          <cell r="K58" t="e">
            <v>#N/A</v>
          </cell>
          <cell r="N58">
            <v>0</v>
          </cell>
          <cell r="Q58" t="str">
            <v>2016_06</v>
          </cell>
        </row>
        <row r="59">
          <cell r="J59" t="e">
            <v>#N/A</v>
          </cell>
          <cell r="K59" t="e">
            <v>#N/A</v>
          </cell>
          <cell r="N59">
            <v>0</v>
          </cell>
          <cell r="Q59" t="str">
            <v>2016_07</v>
          </cell>
        </row>
        <row r="60">
          <cell r="J60" t="e">
            <v>#N/A</v>
          </cell>
          <cell r="K60" t="e">
            <v>#N/A</v>
          </cell>
          <cell r="N60">
            <v>0</v>
          </cell>
          <cell r="Q60" t="str">
            <v>2016_08</v>
          </cell>
        </row>
        <row r="61">
          <cell r="J61" t="e">
            <v>#N/A</v>
          </cell>
          <cell r="K61" t="e">
            <v>#N/A</v>
          </cell>
          <cell r="N61">
            <v>0</v>
          </cell>
          <cell r="Q61" t="str">
            <v>2016_09</v>
          </cell>
        </row>
        <row r="62">
          <cell r="J62" t="e">
            <v>#N/A</v>
          </cell>
          <cell r="K62" t="e">
            <v>#N/A</v>
          </cell>
          <cell r="N62">
            <v>0</v>
          </cell>
          <cell r="Q62" t="str">
            <v>2015_10</v>
          </cell>
        </row>
        <row r="63">
          <cell r="J63" t="e">
            <v>#N/A</v>
          </cell>
          <cell r="K63" t="e">
            <v>#N/A</v>
          </cell>
          <cell r="N63">
            <v>0</v>
          </cell>
          <cell r="Q63" t="str">
            <v>2015_11</v>
          </cell>
        </row>
        <row r="64">
          <cell r="J64" t="e">
            <v>#N/A</v>
          </cell>
          <cell r="K64" t="e">
            <v>#N/A</v>
          </cell>
          <cell r="N64">
            <v>827.68</v>
          </cell>
          <cell r="Q64" t="str">
            <v>2015_12</v>
          </cell>
        </row>
        <row r="65">
          <cell r="J65" t="e">
            <v>#N/A</v>
          </cell>
          <cell r="K65" t="e">
            <v>#N/A</v>
          </cell>
          <cell r="N65">
            <v>0</v>
          </cell>
          <cell r="Q65" t="str">
            <v>2016_01</v>
          </cell>
        </row>
        <row r="66">
          <cell r="J66" t="e">
            <v>#N/A</v>
          </cell>
          <cell r="K66" t="e">
            <v>#N/A</v>
          </cell>
          <cell r="N66">
            <v>0</v>
          </cell>
          <cell r="Q66" t="str">
            <v>2016_02</v>
          </cell>
        </row>
        <row r="67">
          <cell r="J67" t="e">
            <v>#N/A</v>
          </cell>
          <cell r="K67" t="e">
            <v>#N/A</v>
          </cell>
          <cell r="N67">
            <v>0</v>
          </cell>
          <cell r="Q67" t="str">
            <v>2016_03</v>
          </cell>
        </row>
        <row r="68">
          <cell r="J68" t="e">
            <v>#N/A</v>
          </cell>
          <cell r="K68" t="e">
            <v>#N/A</v>
          </cell>
          <cell r="N68">
            <v>0</v>
          </cell>
          <cell r="Q68" t="str">
            <v>2016_04</v>
          </cell>
        </row>
        <row r="69">
          <cell r="J69" t="e">
            <v>#N/A</v>
          </cell>
          <cell r="K69" t="e">
            <v>#N/A</v>
          </cell>
          <cell r="N69">
            <v>0</v>
          </cell>
          <cell r="Q69" t="str">
            <v>2016_05</v>
          </cell>
        </row>
        <row r="70">
          <cell r="J70" t="e">
            <v>#N/A</v>
          </cell>
          <cell r="K70" t="e">
            <v>#N/A</v>
          </cell>
          <cell r="N70">
            <v>0</v>
          </cell>
          <cell r="Q70" t="str">
            <v>2016_06</v>
          </cell>
        </row>
        <row r="71">
          <cell r="J71" t="e">
            <v>#N/A</v>
          </cell>
          <cell r="K71" t="e">
            <v>#N/A</v>
          </cell>
          <cell r="N71">
            <v>0</v>
          </cell>
          <cell r="Q71" t="str">
            <v>2016_07</v>
          </cell>
        </row>
        <row r="72">
          <cell r="J72" t="e">
            <v>#N/A</v>
          </cell>
          <cell r="K72" t="e">
            <v>#N/A</v>
          </cell>
          <cell r="N72">
            <v>0</v>
          </cell>
          <cell r="Q72" t="str">
            <v>2016_08</v>
          </cell>
        </row>
        <row r="73">
          <cell r="J73" t="e">
            <v>#N/A</v>
          </cell>
          <cell r="K73" t="e">
            <v>#N/A</v>
          </cell>
          <cell r="N73">
            <v>0</v>
          </cell>
          <cell r="Q73" t="str">
            <v>2016_09</v>
          </cell>
        </row>
        <row r="74">
          <cell r="J74" t="e">
            <v>#N/A</v>
          </cell>
          <cell r="K74" t="e">
            <v>#N/A</v>
          </cell>
          <cell r="N74">
            <v>-97224.75</v>
          </cell>
          <cell r="Q74" t="str">
            <v>2015_10</v>
          </cell>
        </row>
        <row r="75">
          <cell r="J75" t="e">
            <v>#N/A</v>
          </cell>
          <cell r="K75" t="e">
            <v>#N/A</v>
          </cell>
          <cell r="N75">
            <v>80046.320000000007</v>
          </cell>
          <cell r="Q75" t="str">
            <v>2015_11</v>
          </cell>
        </row>
        <row r="76">
          <cell r="J76" t="e">
            <v>#N/A</v>
          </cell>
          <cell r="K76" t="e">
            <v>#N/A</v>
          </cell>
          <cell r="N76">
            <v>-586808.84</v>
          </cell>
          <cell r="Q76" t="str">
            <v>2015_12</v>
          </cell>
        </row>
        <row r="77">
          <cell r="J77" t="e">
            <v>#N/A</v>
          </cell>
          <cell r="K77" t="e">
            <v>#N/A</v>
          </cell>
          <cell r="N77">
            <v>-28819.759999999998</v>
          </cell>
          <cell r="Q77" t="str">
            <v>2016_01</v>
          </cell>
        </row>
        <row r="78">
          <cell r="J78" t="e">
            <v>#N/A</v>
          </cell>
          <cell r="K78" t="e">
            <v>#N/A</v>
          </cell>
          <cell r="N78">
            <v>416188.62</v>
          </cell>
          <cell r="Q78" t="str">
            <v>2016_02</v>
          </cell>
        </row>
        <row r="79">
          <cell r="J79" t="e">
            <v>#N/A</v>
          </cell>
          <cell r="K79" t="e">
            <v>#N/A</v>
          </cell>
          <cell r="N79">
            <v>-606617.51</v>
          </cell>
          <cell r="Q79" t="str">
            <v>2016_03</v>
          </cell>
        </row>
        <row r="80">
          <cell r="J80" t="e">
            <v>#N/A</v>
          </cell>
          <cell r="K80" t="e">
            <v>#N/A</v>
          </cell>
          <cell r="N80">
            <v>68068.179999999993</v>
          </cell>
          <cell r="Q80" t="str">
            <v>2016_04</v>
          </cell>
        </row>
        <row r="81">
          <cell r="J81" t="e">
            <v>#N/A</v>
          </cell>
          <cell r="K81" t="e">
            <v>#N/A</v>
          </cell>
          <cell r="N81">
            <v>177058</v>
          </cell>
          <cell r="Q81" t="str">
            <v>2016_05</v>
          </cell>
        </row>
        <row r="82">
          <cell r="J82" t="e">
            <v>#N/A</v>
          </cell>
          <cell r="K82" t="e">
            <v>#N/A</v>
          </cell>
          <cell r="N82">
            <v>-133088.64000000001</v>
          </cell>
          <cell r="Q82" t="str">
            <v>2016_06</v>
          </cell>
        </row>
        <row r="83">
          <cell r="J83" t="e">
            <v>#N/A</v>
          </cell>
          <cell r="K83" t="e">
            <v>#N/A</v>
          </cell>
          <cell r="N83">
            <v>641179.72</v>
          </cell>
          <cell r="Q83" t="str">
            <v>2016_07</v>
          </cell>
        </row>
        <row r="84">
          <cell r="J84" t="e">
            <v>#N/A</v>
          </cell>
          <cell r="K84" t="e">
            <v>#N/A</v>
          </cell>
          <cell r="N84">
            <v>-655621.65</v>
          </cell>
          <cell r="Q84" t="str">
            <v>2016_08</v>
          </cell>
        </row>
        <row r="85">
          <cell r="J85" t="e">
            <v>#N/A</v>
          </cell>
          <cell r="K85" t="e">
            <v>#N/A</v>
          </cell>
          <cell r="N85">
            <v>153022.93</v>
          </cell>
          <cell r="Q85" t="str">
            <v>2016_09</v>
          </cell>
        </row>
        <row r="86">
          <cell r="J86" t="e">
            <v>#N/A</v>
          </cell>
          <cell r="K86" t="e">
            <v>#N/A</v>
          </cell>
          <cell r="N86">
            <v>-3153.42</v>
          </cell>
          <cell r="Q86" t="str">
            <v>2015_10</v>
          </cell>
        </row>
        <row r="87">
          <cell r="J87" t="e">
            <v>#N/A</v>
          </cell>
          <cell r="K87" t="e">
            <v>#N/A</v>
          </cell>
          <cell r="N87">
            <v>934.2</v>
          </cell>
          <cell r="Q87" t="str">
            <v>2015_11</v>
          </cell>
        </row>
        <row r="88">
          <cell r="J88" t="e">
            <v>#N/A</v>
          </cell>
          <cell r="K88" t="e">
            <v>#N/A</v>
          </cell>
          <cell r="N88">
            <v>-1739.35</v>
          </cell>
          <cell r="Q88" t="str">
            <v>2015_12</v>
          </cell>
        </row>
        <row r="89">
          <cell r="J89" t="e">
            <v>#N/A</v>
          </cell>
          <cell r="K89" t="e">
            <v>#N/A</v>
          </cell>
          <cell r="N89">
            <v>5553.71</v>
          </cell>
          <cell r="Q89" t="str">
            <v>2016_01</v>
          </cell>
        </row>
        <row r="90">
          <cell r="J90" t="e">
            <v>#N/A</v>
          </cell>
          <cell r="K90" t="e">
            <v>#N/A</v>
          </cell>
          <cell r="N90">
            <v>-9620.33</v>
          </cell>
          <cell r="Q90" t="str">
            <v>2016_02</v>
          </cell>
        </row>
        <row r="91">
          <cell r="J91" t="e">
            <v>#N/A</v>
          </cell>
          <cell r="K91" t="e">
            <v>#N/A</v>
          </cell>
          <cell r="N91">
            <v>6081.17</v>
          </cell>
          <cell r="Q91" t="str">
            <v>2016_03</v>
          </cell>
        </row>
        <row r="92">
          <cell r="J92" t="e">
            <v>#N/A</v>
          </cell>
          <cell r="K92" t="e">
            <v>#N/A</v>
          </cell>
          <cell r="N92">
            <v>-2866.23</v>
          </cell>
          <cell r="Q92" t="str">
            <v>2016_04</v>
          </cell>
        </row>
        <row r="93">
          <cell r="J93" t="e">
            <v>#N/A</v>
          </cell>
          <cell r="K93" t="e">
            <v>#N/A</v>
          </cell>
          <cell r="N93">
            <v>-2468.37</v>
          </cell>
          <cell r="Q93" t="str">
            <v>2016_05</v>
          </cell>
        </row>
        <row r="94">
          <cell r="J94" t="e">
            <v>#N/A</v>
          </cell>
          <cell r="K94" t="e">
            <v>#N/A</v>
          </cell>
          <cell r="N94">
            <v>94304.94</v>
          </cell>
          <cell r="Q94" t="str">
            <v>2016_06</v>
          </cell>
        </row>
        <row r="95">
          <cell r="J95" t="e">
            <v>#N/A</v>
          </cell>
          <cell r="K95" t="e">
            <v>#N/A</v>
          </cell>
          <cell r="N95">
            <v>-109085.8</v>
          </cell>
          <cell r="Q95" t="str">
            <v>2016_07</v>
          </cell>
        </row>
        <row r="96">
          <cell r="J96" t="e">
            <v>#N/A</v>
          </cell>
          <cell r="K96" t="e">
            <v>#N/A</v>
          </cell>
          <cell r="N96">
            <v>-6306.28</v>
          </cell>
          <cell r="Q96" t="str">
            <v>2016_08</v>
          </cell>
        </row>
        <row r="97">
          <cell r="J97" t="e">
            <v>#N/A</v>
          </cell>
          <cell r="K97" t="e">
            <v>#N/A</v>
          </cell>
          <cell r="N97">
            <v>30772.02</v>
          </cell>
          <cell r="Q97" t="str">
            <v>2016_09</v>
          </cell>
        </row>
        <row r="98">
          <cell r="J98" t="e">
            <v>#N/A</v>
          </cell>
          <cell r="K98" t="e">
            <v>#N/A</v>
          </cell>
          <cell r="N98">
            <v>7300.15</v>
          </cell>
          <cell r="Q98" t="str">
            <v>2016_07</v>
          </cell>
        </row>
        <row r="99">
          <cell r="J99" t="e">
            <v>#N/A</v>
          </cell>
          <cell r="K99" t="e">
            <v>#N/A</v>
          </cell>
          <cell r="N99">
            <v>0</v>
          </cell>
          <cell r="Q99" t="str">
            <v>2016_08</v>
          </cell>
        </row>
        <row r="100">
          <cell r="J100" t="e">
            <v>#N/A</v>
          </cell>
          <cell r="K100" t="e">
            <v>#N/A</v>
          </cell>
          <cell r="N100">
            <v>-7300.15</v>
          </cell>
          <cell r="Q100" t="str">
            <v>2016_09</v>
          </cell>
        </row>
        <row r="101">
          <cell r="J101" t="e">
            <v>#N/A</v>
          </cell>
          <cell r="K101" t="e">
            <v>#N/A</v>
          </cell>
          <cell r="N101">
            <v>16561.439999999999</v>
          </cell>
          <cell r="Q101" t="str">
            <v>2015_10</v>
          </cell>
        </row>
        <row r="102">
          <cell r="J102" t="e">
            <v>#N/A</v>
          </cell>
          <cell r="K102" t="e">
            <v>#N/A</v>
          </cell>
          <cell r="N102">
            <v>-103463.85</v>
          </cell>
          <cell r="Q102" t="str">
            <v>2015_11</v>
          </cell>
        </row>
        <row r="103">
          <cell r="J103" t="e">
            <v>#N/A</v>
          </cell>
          <cell r="K103" t="e">
            <v>#N/A</v>
          </cell>
          <cell r="N103">
            <v>84697.73</v>
          </cell>
          <cell r="Q103" t="str">
            <v>2015_12</v>
          </cell>
        </row>
        <row r="104">
          <cell r="J104" t="e">
            <v>#N/A</v>
          </cell>
          <cell r="K104" t="e">
            <v>#N/A</v>
          </cell>
          <cell r="N104">
            <v>-6039.53</v>
          </cell>
          <cell r="Q104" t="str">
            <v>2016_01</v>
          </cell>
        </row>
        <row r="105">
          <cell r="J105" t="e">
            <v>#N/A</v>
          </cell>
          <cell r="K105" t="e">
            <v>#N/A</v>
          </cell>
          <cell r="N105">
            <v>-198496.86</v>
          </cell>
          <cell r="Q105" t="str">
            <v>2016_02</v>
          </cell>
        </row>
        <row r="106">
          <cell r="J106" t="e">
            <v>#N/A</v>
          </cell>
          <cell r="K106" t="e">
            <v>#N/A</v>
          </cell>
          <cell r="N106">
            <v>131205.94</v>
          </cell>
          <cell r="Q106" t="str">
            <v>2016_03</v>
          </cell>
        </row>
        <row r="107">
          <cell r="J107" t="e">
            <v>#N/A</v>
          </cell>
          <cell r="K107" t="e">
            <v>#N/A</v>
          </cell>
          <cell r="N107">
            <v>43558.65</v>
          </cell>
          <cell r="Q107" t="str">
            <v>2016_04</v>
          </cell>
        </row>
        <row r="108">
          <cell r="J108" t="e">
            <v>#N/A</v>
          </cell>
          <cell r="K108" t="e">
            <v>#N/A</v>
          </cell>
          <cell r="N108">
            <v>-72300.179999999993</v>
          </cell>
          <cell r="Q108" t="str">
            <v>2016_05</v>
          </cell>
        </row>
        <row r="109">
          <cell r="J109" t="e">
            <v>#N/A</v>
          </cell>
          <cell r="K109" t="e">
            <v>#N/A</v>
          </cell>
          <cell r="N109">
            <v>144957.03</v>
          </cell>
          <cell r="Q109" t="str">
            <v>2016_06</v>
          </cell>
        </row>
        <row r="110">
          <cell r="J110" t="e">
            <v>#N/A</v>
          </cell>
          <cell r="K110" t="e">
            <v>#N/A</v>
          </cell>
          <cell r="N110">
            <v>-34128.49</v>
          </cell>
          <cell r="Q110" t="str">
            <v>2016_07</v>
          </cell>
        </row>
        <row r="111">
          <cell r="J111" t="e">
            <v>#N/A</v>
          </cell>
          <cell r="K111" t="e">
            <v>#N/A</v>
          </cell>
          <cell r="N111">
            <v>52801.42</v>
          </cell>
          <cell r="Q111" t="str">
            <v>2016_08</v>
          </cell>
        </row>
        <row r="112">
          <cell r="J112" t="e">
            <v>#N/A</v>
          </cell>
          <cell r="K112" t="e">
            <v>#N/A</v>
          </cell>
          <cell r="N112">
            <v>8104.53</v>
          </cell>
          <cell r="Q112" t="str">
            <v>2016_09</v>
          </cell>
        </row>
        <row r="113">
          <cell r="J113" t="e">
            <v>#N/A</v>
          </cell>
          <cell r="K113" t="e">
            <v>#N/A</v>
          </cell>
          <cell r="N113">
            <v>-4165.12</v>
          </cell>
          <cell r="Q113" t="str">
            <v>2015_12</v>
          </cell>
        </row>
        <row r="114">
          <cell r="J114" t="e">
            <v>#N/A</v>
          </cell>
          <cell r="K114" t="e">
            <v>#N/A</v>
          </cell>
          <cell r="N114">
            <v>0</v>
          </cell>
          <cell r="Q114" t="str">
            <v>2016_01</v>
          </cell>
        </row>
        <row r="115">
          <cell r="J115" t="e">
            <v>#N/A</v>
          </cell>
          <cell r="K115" t="e">
            <v>#N/A</v>
          </cell>
          <cell r="N115">
            <v>0</v>
          </cell>
          <cell r="Q115" t="str">
            <v>2016_02</v>
          </cell>
        </row>
        <row r="116">
          <cell r="J116" t="e">
            <v>#N/A</v>
          </cell>
          <cell r="K116" t="e">
            <v>#N/A</v>
          </cell>
          <cell r="N116">
            <v>0</v>
          </cell>
          <cell r="Q116" t="str">
            <v>2016_03</v>
          </cell>
        </row>
        <row r="117">
          <cell r="J117" t="e">
            <v>#N/A</v>
          </cell>
          <cell r="K117" t="e">
            <v>#N/A</v>
          </cell>
          <cell r="N117">
            <v>0</v>
          </cell>
          <cell r="Q117" t="str">
            <v>2016_04</v>
          </cell>
        </row>
        <row r="118">
          <cell r="J118" t="e">
            <v>#N/A</v>
          </cell>
          <cell r="K118" t="e">
            <v>#N/A</v>
          </cell>
          <cell r="N118">
            <v>0</v>
          </cell>
          <cell r="Q118" t="str">
            <v>2016_05</v>
          </cell>
        </row>
        <row r="119">
          <cell r="J119" t="e">
            <v>#N/A</v>
          </cell>
          <cell r="K119" t="e">
            <v>#N/A</v>
          </cell>
          <cell r="N119">
            <v>0</v>
          </cell>
          <cell r="Q119" t="str">
            <v>2016_06</v>
          </cell>
        </row>
        <row r="120">
          <cell r="J120" t="e">
            <v>#N/A</v>
          </cell>
          <cell r="K120" t="e">
            <v>#N/A</v>
          </cell>
          <cell r="N120">
            <v>0</v>
          </cell>
          <cell r="Q120" t="str">
            <v>2016_07</v>
          </cell>
        </row>
        <row r="121">
          <cell r="J121" t="e">
            <v>#N/A</v>
          </cell>
          <cell r="K121" t="e">
            <v>#N/A</v>
          </cell>
          <cell r="N121">
            <v>0</v>
          </cell>
          <cell r="Q121" t="str">
            <v>2016_08</v>
          </cell>
        </row>
        <row r="122">
          <cell r="J122" t="e">
            <v>#N/A</v>
          </cell>
          <cell r="K122" t="e">
            <v>#N/A</v>
          </cell>
          <cell r="N122">
            <v>0</v>
          </cell>
          <cell r="Q122" t="str">
            <v>2016_09</v>
          </cell>
        </row>
        <row r="123">
          <cell r="J123" t="e">
            <v>#N/A</v>
          </cell>
          <cell r="K123" t="e">
            <v>#N/A</v>
          </cell>
          <cell r="N123">
            <v>1922.07</v>
          </cell>
          <cell r="Q123" t="str">
            <v>2016_01</v>
          </cell>
        </row>
        <row r="124">
          <cell r="J124" t="e">
            <v>#N/A</v>
          </cell>
          <cell r="K124" t="e">
            <v>#N/A</v>
          </cell>
          <cell r="N124">
            <v>-155.86000000000001</v>
          </cell>
          <cell r="Q124" t="str">
            <v>2016_02</v>
          </cell>
        </row>
        <row r="125">
          <cell r="J125" t="e">
            <v>#N/A</v>
          </cell>
          <cell r="K125" t="e">
            <v>#N/A</v>
          </cell>
          <cell r="N125">
            <v>-155.86000000000001</v>
          </cell>
          <cell r="Q125" t="str">
            <v>2016_03</v>
          </cell>
        </row>
        <row r="126">
          <cell r="J126" t="e">
            <v>#N/A</v>
          </cell>
          <cell r="K126" t="e">
            <v>#N/A</v>
          </cell>
          <cell r="N126">
            <v>-233.79</v>
          </cell>
          <cell r="Q126" t="str">
            <v>2016_04</v>
          </cell>
        </row>
        <row r="127">
          <cell r="J127" t="e">
            <v>#N/A</v>
          </cell>
          <cell r="K127" t="e">
            <v>#N/A</v>
          </cell>
          <cell r="N127">
            <v>-432.1</v>
          </cell>
          <cell r="Q127" t="str">
            <v>2016_05</v>
          </cell>
        </row>
        <row r="128">
          <cell r="J128" t="e">
            <v>#N/A</v>
          </cell>
          <cell r="K128" t="e">
            <v>#N/A</v>
          </cell>
          <cell r="N128">
            <v>0</v>
          </cell>
          <cell r="Q128" t="str">
            <v>2016_06</v>
          </cell>
        </row>
        <row r="129">
          <cell r="J129" t="e">
            <v>#N/A</v>
          </cell>
          <cell r="K129" t="e">
            <v>#N/A</v>
          </cell>
          <cell r="N129">
            <v>0</v>
          </cell>
          <cell r="Q129" t="str">
            <v>2016_07</v>
          </cell>
        </row>
        <row r="130">
          <cell r="J130" t="e">
            <v>#N/A</v>
          </cell>
          <cell r="K130" t="e">
            <v>#N/A</v>
          </cell>
          <cell r="N130">
            <v>0</v>
          </cell>
          <cell r="Q130" t="str">
            <v>2016_08</v>
          </cell>
        </row>
        <row r="131">
          <cell r="J131" t="e">
            <v>#N/A</v>
          </cell>
          <cell r="K131" t="e">
            <v>#N/A</v>
          </cell>
          <cell r="N131">
            <v>0</v>
          </cell>
          <cell r="Q131" t="str">
            <v>2016_09</v>
          </cell>
        </row>
        <row r="132">
          <cell r="J132" t="e">
            <v>#N/A</v>
          </cell>
          <cell r="K132" t="e">
            <v>#N/A</v>
          </cell>
          <cell r="N132">
            <v>0</v>
          </cell>
          <cell r="Q132" t="str">
            <v>2015_10</v>
          </cell>
        </row>
        <row r="133">
          <cell r="J133" t="e">
            <v>#N/A</v>
          </cell>
          <cell r="K133" t="e">
            <v>#N/A</v>
          </cell>
          <cell r="N133">
            <v>0</v>
          </cell>
          <cell r="Q133" t="str">
            <v>2015_11</v>
          </cell>
        </row>
        <row r="134">
          <cell r="J134" t="e">
            <v>#N/A</v>
          </cell>
          <cell r="K134" t="e">
            <v>#N/A</v>
          </cell>
          <cell r="N134">
            <v>0</v>
          </cell>
          <cell r="Q134" t="str">
            <v>2015_12</v>
          </cell>
        </row>
        <row r="135">
          <cell r="J135" t="e">
            <v>#N/A</v>
          </cell>
          <cell r="K135" t="e">
            <v>#N/A</v>
          </cell>
          <cell r="N135">
            <v>0</v>
          </cell>
          <cell r="Q135" t="str">
            <v>2016_01</v>
          </cell>
        </row>
        <row r="136">
          <cell r="J136" t="e">
            <v>#N/A</v>
          </cell>
          <cell r="K136" t="e">
            <v>#N/A</v>
          </cell>
          <cell r="N136">
            <v>0</v>
          </cell>
          <cell r="Q136" t="str">
            <v>2016_02</v>
          </cell>
        </row>
        <row r="137">
          <cell r="J137" t="e">
            <v>#N/A</v>
          </cell>
          <cell r="K137" t="e">
            <v>#N/A</v>
          </cell>
          <cell r="N137">
            <v>0</v>
          </cell>
          <cell r="Q137" t="str">
            <v>2016_03</v>
          </cell>
        </row>
        <row r="138">
          <cell r="J138" t="e">
            <v>#N/A</v>
          </cell>
          <cell r="K138" t="e">
            <v>#N/A</v>
          </cell>
          <cell r="N138">
            <v>0</v>
          </cell>
          <cell r="Q138" t="str">
            <v>2016_04</v>
          </cell>
        </row>
        <row r="139">
          <cell r="J139" t="e">
            <v>#N/A</v>
          </cell>
          <cell r="K139" t="e">
            <v>#N/A</v>
          </cell>
          <cell r="N139">
            <v>0</v>
          </cell>
          <cell r="Q139" t="str">
            <v>2016_05</v>
          </cell>
        </row>
        <row r="140">
          <cell r="J140" t="e">
            <v>#N/A</v>
          </cell>
          <cell r="K140" t="e">
            <v>#N/A</v>
          </cell>
          <cell r="N140">
            <v>0</v>
          </cell>
          <cell r="Q140" t="str">
            <v>2016_06</v>
          </cell>
        </row>
        <row r="141">
          <cell r="J141" t="e">
            <v>#N/A</v>
          </cell>
          <cell r="K141" t="e">
            <v>#N/A</v>
          </cell>
          <cell r="N141">
            <v>0</v>
          </cell>
          <cell r="Q141" t="str">
            <v>2016_07</v>
          </cell>
        </row>
        <row r="142">
          <cell r="J142" t="e">
            <v>#N/A</v>
          </cell>
          <cell r="K142" t="e">
            <v>#N/A</v>
          </cell>
          <cell r="N142">
            <v>0</v>
          </cell>
          <cell r="Q142" t="str">
            <v>2016_08</v>
          </cell>
        </row>
        <row r="143">
          <cell r="J143" t="e">
            <v>#N/A</v>
          </cell>
          <cell r="K143" t="e">
            <v>#N/A</v>
          </cell>
          <cell r="N143">
            <v>0</v>
          </cell>
          <cell r="Q143" t="str">
            <v>2016_09</v>
          </cell>
        </row>
        <row r="144">
          <cell r="J144" t="e">
            <v>#N/A</v>
          </cell>
          <cell r="K144" t="e">
            <v>#N/A</v>
          </cell>
          <cell r="N144">
            <v>830.38</v>
          </cell>
          <cell r="Q144" t="str">
            <v>2015_10</v>
          </cell>
        </row>
        <row r="145">
          <cell r="J145" t="e">
            <v>#N/A</v>
          </cell>
          <cell r="K145" t="e">
            <v>#N/A</v>
          </cell>
          <cell r="N145">
            <v>724.26</v>
          </cell>
          <cell r="Q145" t="str">
            <v>2015_11</v>
          </cell>
        </row>
        <row r="146">
          <cell r="J146" t="e">
            <v>#N/A</v>
          </cell>
          <cell r="K146" t="e">
            <v>#N/A</v>
          </cell>
          <cell r="N146">
            <v>-5633.59</v>
          </cell>
          <cell r="Q146" t="str">
            <v>2015_12</v>
          </cell>
        </row>
        <row r="147">
          <cell r="J147" t="e">
            <v>#N/A</v>
          </cell>
          <cell r="K147" t="e">
            <v>#N/A</v>
          </cell>
          <cell r="N147">
            <v>-356.93</v>
          </cell>
          <cell r="Q147" t="str">
            <v>2016_01</v>
          </cell>
        </row>
        <row r="148">
          <cell r="J148" t="e">
            <v>#N/A</v>
          </cell>
          <cell r="K148" t="e">
            <v>#N/A</v>
          </cell>
          <cell r="N148">
            <v>-2240.5300000000002</v>
          </cell>
          <cell r="Q148" t="str">
            <v>2016_02</v>
          </cell>
        </row>
        <row r="149">
          <cell r="J149" t="e">
            <v>#N/A</v>
          </cell>
          <cell r="K149" t="e">
            <v>#N/A</v>
          </cell>
          <cell r="N149">
            <v>-2184.96</v>
          </cell>
          <cell r="Q149" t="str">
            <v>2016_03</v>
          </cell>
        </row>
        <row r="150">
          <cell r="J150" t="e">
            <v>#N/A</v>
          </cell>
          <cell r="K150" t="e">
            <v>#N/A</v>
          </cell>
          <cell r="N150">
            <v>-20618.810000000001</v>
          </cell>
          <cell r="Q150" t="str">
            <v>2016_04</v>
          </cell>
        </row>
        <row r="151">
          <cell r="J151" t="e">
            <v>#N/A</v>
          </cell>
          <cell r="K151" t="e">
            <v>#N/A</v>
          </cell>
          <cell r="N151">
            <v>-20074.810000000001</v>
          </cell>
          <cell r="Q151" t="str">
            <v>2016_05</v>
          </cell>
        </row>
        <row r="152">
          <cell r="J152" t="e">
            <v>#N/A</v>
          </cell>
          <cell r="K152" t="e">
            <v>#N/A</v>
          </cell>
          <cell r="N152">
            <v>54650.35</v>
          </cell>
          <cell r="Q152" t="str">
            <v>2016_06</v>
          </cell>
        </row>
        <row r="153">
          <cell r="J153" t="e">
            <v>#N/A</v>
          </cell>
          <cell r="K153" t="e">
            <v>#N/A</v>
          </cell>
          <cell r="N153">
            <v>8207.31</v>
          </cell>
          <cell r="Q153" t="str">
            <v>2016_07</v>
          </cell>
        </row>
        <row r="154">
          <cell r="J154" t="e">
            <v>#N/A</v>
          </cell>
          <cell r="K154" t="e">
            <v>#N/A</v>
          </cell>
          <cell r="N154">
            <v>-2647.3</v>
          </cell>
          <cell r="Q154" t="str">
            <v>2016_08</v>
          </cell>
        </row>
        <row r="155">
          <cell r="J155" t="e">
            <v>#N/A</v>
          </cell>
          <cell r="K155" t="e">
            <v>#N/A</v>
          </cell>
          <cell r="N155">
            <v>-2645.82</v>
          </cell>
          <cell r="Q155" t="str">
            <v>2016_09</v>
          </cell>
        </row>
        <row r="156">
          <cell r="J156" t="e">
            <v>#N/A</v>
          </cell>
          <cell r="K156" t="e">
            <v>#N/A</v>
          </cell>
          <cell r="N156">
            <v>-2914.28</v>
          </cell>
          <cell r="Q156" t="str">
            <v>2015_10</v>
          </cell>
        </row>
        <row r="157">
          <cell r="J157" t="e">
            <v>#N/A</v>
          </cell>
          <cell r="K157" t="e">
            <v>#N/A</v>
          </cell>
          <cell r="N157">
            <v>2049.77</v>
          </cell>
          <cell r="Q157" t="str">
            <v>2015_11</v>
          </cell>
        </row>
        <row r="158">
          <cell r="J158" t="e">
            <v>#N/A</v>
          </cell>
          <cell r="K158" t="e">
            <v>#N/A</v>
          </cell>
          <cell r="N158">
            <v>21096.23</v>
          </cell>
          <cell r="Q158" t="str">
            <v>2015_12</v>
          </cell>
        </row>
        <row r="159">
          <cell r="J159" t="e">
            <v>#N/A</v>
          </cell>
          <cell r="K159" t="e">
            <v>#N/A</v>
          </cell>
          <cell r="N159">
            <v>3099.1</v>
          </cell>
          <cell r="Q159" t="str">
            <v>2016_01</v>
          </cell>
        </row>
        <row r="160">
          <cell r="J160" t="e">
            <v>#N/A</v>
          </cell>
          <cell r="K160" t="e">
            <v>#N/A</v>
          </cell>
          <cell r="N160">
            <v>-2044.09</v>
          </cell>
          <cell r="Q160" t="str">
            <v>2016_02</v>
          </cell>
        </row>
        <row r="161">
          <cell r="J161" t="e">
            <v>#N/A</v>
          </cell>
          <cell r="K161" t="e">
            <v>#N/A</v>
          </cell>
          <cell r="N161">
            <v>4543</v>
          </cell>
          <cell r="Q161" t="str">
            <v>2016_03</v>
          </cell>
        </row>
        <row r="162">
          <cell r="J162" t="e">
            <v>#N/A</v>
          </cell>
          <cell r="K162" t="e">
            <v>#N/A</v>
          </cell>
          <cell r="N162">
            <v>2556.17</v>
          </cell>
          <cell r="Q162" t="str">
            <v>2016_04</v>
          </cell>
        </row>
        <row r="163">
          <cell r="J163" t="e">
            <v>#N/A</v>
          </cell>
          <cell r="K163" t="e">
            <v>#N/A</v>
          </cell>
          <cell r="N163">
            <v>-14446.49</v>
          </cell>
          <cell r="Q163" t="str">
            <v>2016_05</v>
          </cell>
        </row>
        <row r="164">
          <cell r="J164" t="e">
            <v>#N/A</v>
          </cell>
          <cell r="K164" t="e">
            <v>#N/A</v>
          </cell>
          <cell r="N164">
            <v>4144.24</v>
          </cell>
          <cell r="Q164" t="str">
            <v>2016_06</v>
          </cell>
        </row>
        <row r="165">
          <cell r="J165" t="e">
            <v>#N/A</v>
          </cell>
          <cell r="K165" t="e">
            <v>#N/A</v>
          </cell>
          <cell r="N165">
            <v>3899.05</v>
          </cell>
          <cell r="Q165" t="str">
            <v>2016_07</v>
          </cell>
        </row>
        <row r="166">
          <cell r="J166" t="e">
            <v>#N/A</v>
          </cell>
          <cell r="K166" t="e">
            <v>#N/A</v>
          </cell>
          <cell r="N166">
            <v>1043.57</v>
          </cell>
          <cell r="Q166" t="str">
            <v>2016_08</v>
          </cell>
        </row>
        <row r="167">
          <cell r="J167" t="e">
            <v>#N/A</v>
          </cell>
          <cell r="K167" t="e">
            <v>#N/A</v>
          </cell>
          <cell r="N167">
            <v>5047.1099999999997</v>
          </cell>
          <cell r="Q167" t="str">
            <v>2016_09</v>
          </cell>
        </row>
        <row r="168">
          <cell r="J168" t="e">
            <v>#N/A</v>
          </cell>
          <cell r="K168" t="e">
            <v>#N/A</v>
          </cell>
          <cell r="N168">
            <v>-965.71</v>
          </cell>
          <cell r="Q168" t="str">
            <v>2015_10</v>
          </cell>
        </row>
        <row r="169">
          <cell r="J169" t="e">
            <v>#N/A</v>
          </cell>
          <cell r="K169" t="e">
            <v>#N/A</v>
          </cell>
          <cell r="N169">
            <v>5108.4399999999996</v>
          </cell>
          <cell r="Q169" t="str">
            <v>2015_11</v>
          </cell>
        </row>
        <row r="170">
          <cell r="J170" t="e">
            <v>#N/A</v>
          </cell>
          <cell r="K170" t="e">
            <v>#N/A</v>
          </cell>
          <cell r="N170">
            <v>-7251.64</v>
          </cell>
          <cell r="Q170" t="str">
            <v>2015_12</v>
          </cell>
        </row>
        <row r="171">
          <cell r="J171" t="e">
            <v>#N/A</v>
          </cell>
          <cell r="K171" t="e">
            <v>#N/A</v>
          </cell>
          <cell r="N171">
            <v>-5271.58</v>
          </cell>
          <cell r="Q171" t="str">
            <v>2016_01</v>
          </cell>
        </row>
        <row r="172">
          <cell r="J172" t="e">
            <v>#N/A</v>
          </cell>
          <cell r="K172" t="e">
            <v>#N/A</v>
          </cell>
          <cell r="N172">
            <v>9238.33</v>
          </cell>
          <cell r="Q172" t="str">
            <v>2016_02</v>
          </cell>
        </row>
        <row r="173">
          <cell r="J173" t="e">
            <v>#N/A</v>
          </cell>
          <cell r="K173" t="e">
            <v>#N/A</v>
          </cell>
          <cell r="N173">
            <v>1266.6199999999999</v>
          </cell>
          <cell r="Q173" t="str">
            <v>2016_03</v>
          </cell>
        </row>
        <row r="174">
          <cell r="J174" t="e">
            <v>#N/A</v>
          </cell>
          <cell r="K174" t="e">
            <v>#N/A</v>
          </cell>
          <cell r="N174">
            <v>-312.86</v>
          </cell>
          <cell r="Q174" t="str">
            <v>2016_04</v>
          </cell>
        </row>
        <row r="175">
          <cell r="J175" t="e">
            <v>#N/A</v>
          </cell>
          <cell r="K175" t="e">
            <v>#N/A</v>
          </cell>
          <cell r="N175">
            <v>-1295.24</v>
          </cell>
          <cell r="Q175" t="str">
            <v>2016_05</v>
          </cell>
        </row>
        <row r="176">
          <cell r="J176" t="e">
            <v>#N/A</v>
          </cell>
          <cell r="K176" t="e">
            <v>#N/A</v>
          </cell>
          <cell r="N176">
            <v>-6552.71</v>
          </cell>
          <cell r="Q176" t="str">
            <v>2016_06</v>
          </cell>
        </row>
        <row r="177">
          <cell r="J177" t="e">
            <v>#N/A</v>
          </cell>
          <cell r="K177" t="e">
            <v>#N/A</v>
          </cell>
          <cell r="N177">
            <v>-708.83</v>
          </cell>
          <cell r="Q177" t="str">
            <v>2016_07</v>
          </cell>
        </row>
        <row r="178">
          <cell r="J178" t="e">
            <v>#N/A</v>
          </cell>
          <cell r="K178" t="e">
            <v>#N/A</v>
          </cell>
          <cell r="N178">
            <v>-9792.15</v>
          </cell>
          <cell r="Q178" t="str">
            <v>2016_08</v>
          </cell>
        </row>
        <row r="179">
          <cell r="J179" t="e">
            <v>#N/A</v>
          </cell>
          <cell r="K179" t="e">
            <v>#N/A</v>
          </cell>
          <cell r="N179">
            <v>20393.88</v>
          </cell>
          <cell r="Q179" t="str">
            <v>2016_09</v>
          </cell>
        </row>
        <row r="180">
          <cell r="J180" t="e">
            <v>#N/A</v>
          </cell>
          <cell r="K180" t="e">
            <v>#N/A</v>
          </cell>
          <cell r="N180">
            <v>318096.53000000003</v>
          </cell>
          <cell r="Q180" t="str">
            <v>2015_10</v>
          </cell>
        </row>
        <row r="181">
          <cell r="J181" t="e">
            <v>#N/A</v>
          </cell>
          <cell r="K181" t="e">
            <v>#N/A</v>
          </cell>
          <cell r="N181">
            <v>11787.59</v>
          </cell>
          <cell r="Q181" t="str">
            <v>2015_11</v>
          </cell>
        </row>
        <row r="182">
          <cell r="J182" t="e">
            <v>#N/A</v>
          </cell>
          <cell r="K182" t="e">
            <v>#N/A</v>
          </cell>
          <cell r="N182">
            <v>0</v>
          </cell>
          <cell r="Q182" t="str">
            <v>2015_12</v>
          </cell>
        </row>
        <row r="183">
          <cell r="J183" t="e">
            <v>#N/A</v>
          </cell>
          <cell r="K183" t="e">
            <v>#N/A</v>
          </cell>
          <cell r="N183">
            <v>-31.92</v>
          </cell>
          <cell r="Q183" t="str">
            <v>2016_01</v>
          </cell>
        </row>
        <row r="184">
          <cell r="J184" t="e">
            <v>#N/A</v>
          </cell>
          <cell r="K184" t="e">
            <v>#N/A</v>
          </cell>
          <cell r="N184">
            <v>-484.72</v>
          </cell>
          <cell r="Q184" t="str">
            <v>2016_02</v>
          </cell>
        </row>
        <row r="185">
          <cell r="J185" t="e">
            <v>#N/A</v>
          </cell>
          <cell r="K185" t="e">
            <v>#N/A</v>
          </cell>
          <cell r="N185">
            <v>0</v>
          </cell>
          <cell r="Q185" t="str">
            <v>2016_03</v>
          </cell>
        </row>
        <row r="186">
          <cell r="J186" t="e">
            <v>#N/A</v>
          </cell>
          <cell r="K186" t="e">
            <v>#N/A</v>
          </cell>
          <cell r="N186">
            <v>0</v>
          </cell>
          <cell r="Q186" t="str">
            <v>2016_04</v>
          </cell>
        </row>
        <row r="187">
          <cell r="J187" t="e">
            <v>#N/A</v>
          </cell>
          <cell r="K187" t="e">
            <v>#N/A</v>
          </cell>
          <cell r="N187">
            <v>0</v>
          </cell>
          <cell r="Q187" t="str">
            <v>2016_05</v>
          </cell>
        </row>
        <row r="188">
          <cell r="J188" t="e">
            <v>#N/A</v>
          </cell>
          <cell r="K188" t="e">
            <v>#N/A</v>
          </cell>
          <cell r="N188">
            <v>0</v>
          </cell>
          <cell r="Q188" t="str">
            <v>2016_06</v>
          </cell>
        </row>
        <row r="189">
          <cell r="J189" t="e">
            <v>#N/A</v>
          </cell>
          <cell r="K189" t="e">
            <v>#N/A</v>
          </cell>
          <cell r="N189">
            <v>0</v>
          </cell>
          <cell r="Q189" t="str">
            <v>2016_07</v>
          </cell>
        </row>
        <row r="190">
          <cell r="J190" t="e">
            <v>#N/A</v>
          </cell>
          <cell r="K190" t="e">
            <v>#N/A</v>
          </cell>
          <cell r="N190">
            <v>0</v>
          </cell>
          <cell r="Q190" t="str">
            <v>2016_08</v>
          </cell>
        </row>
        <row r="191">
          <cell r="J191" t="e">
            <v>#N/A</v>
          </cell>
          <cell r="K191" t="e">
            <v>#N/A</v>
          </cell>
          <cell r="N191">
            <v>516.64</v>
          </cell>
          <cell r="Q191" t="str">
            <v>2016_09</v>
          </cell>
        </row>
        <row r="192">
          <cell r="J192" t="e">
            <v>#N/A</v>
          </cell>
          <cell r="K192" t="e">
            <v>#N/A</v>
          </cell>
          <cell r="N192">
            <v>54070.48</v>
          </cell>
          <cell r="Q192" t="str">
            <v>2016_01</v>
          </cell>
        </row>
        <row r="193">
          <cell r="J193" t="e">
            <v>#N/A</v>
          </cell>
          <cell r="K193" t="e">
            <v>#N/A</v>
          </cell>
          <cell r="N193">
            <v>0</v>
          </cell>
          <cell r="Q193" t="str">
            <v>2016_02</v>
          </cell>
        </row>
        <row r="194">
          <cell r="J194" t="e">
            <v>#N/A</v>
          </cell>
          <cell r="K194" t="e">
            <v>#N/A</v>
          </cell>
          <cell r="N194">
            <v>0</v>
          </cell>
          <cell r="Q194" t="str">
            <v>2016_03</v>
          </cell>
        </row>
        <row r="195">
          <cell r="J195" t="e">
            <v>#N/A</v>
          </cell>
          <cell r="K195" t="e">
            <v>#N/A</v>
          </cell>
          <cell r="N195">
            <v>0</v>
          </cell>
          <cell r="Q195" t="str">
            <v>2016_04</v>
          </cell>
        </row>
        <row r="196">
          <cell r="J196" t="e">
            <v>#N/A</v>
          </cell>
          <cell r="K196" t="e">
            <v>#N/A</v>
          </cell>
          <cell r="N196">
            <v>0</v>
          </cell>
          <cell r="Q196" t="str">
            <v>2016_05</v>
          </cell>
        </row>
        <row r="197">
          <cell r="J197" t="e">
            <v>#N/A</v>
          </cell>
          <cell r="K197" t="e">
            <v>#N/A</v>
          </cell>
          <cell r="N197">
            <v>0</v>
          </cell>
          <cell r="Q197" t="str">
            <v>2016_06</v>
          </cell>
        </row>
        <row r="198">
          <cell r="J198" t="e">
            <v>#N/A</v>
          </cell>
          <cell r="K198" t="e">
            <v>#N/A</v>
          </cell>
          <cell r="N198">
            <v>0</v>
          </cell>
          <cell r="Q198" t="str">
            <v>2016_07</v>
          </cell>
        </row>
        <row r="199">
          <cell r="J199" t="e">
            <v>#N/A</v>
          </cell>
          <cell r="K199" t="e">
            <v>#N/A</v>
          </cell>
          <cell r="N199">
            <v>20000</v>
          </cell>
          <cell r="Q199" t="str">
            <v>2016_08</v>
          </cell>
        </row>
        <row r="200">
          <cell r="J200" t="e">
            <v>#N/A</v>
          </cell>
          <cell r="K200" t="e">
            <v>#N/A</v>
          </cell>
          <cell r="N200">
            <v>1720</v>
          </cell>
          <cell r="Q200" t="str">
            <v>2016_09</v>
          </cell>
        </row>
        <row r="201">
          <cell r="J201" t="e">
            <v>#N/A</v>
          </cell>
          <cell r="K201" t="e">
            <v>#N/A</v>
          </cell>
          <cell r="N201">
            <v>394395.47</v>
          </cell>
          <cell r="Q201" t="str">
            <v>2016_08</v>
          </cell>
        </row>
        <row r="202">
          <cell r="J202" t="e">
            <v>#N/A</v>
          </cell>
          <cell r="K202" t="e">
            <v>#N/A</v>
          </cell>
          <cell r="N202">
            <v>394395.47</v>
          </cell>
          <cell r="Q202" t="str">
            <v>2016_09</v>
          </cell>
        </row>
        <row r="203">
          <cell r="J203" t="e">
            <v>#N/A</v>
          </cell>
          <cell r="K203" t="e">
            <v>#N/A</v>
          </cell>
          <cell r="N203">
            <v>152970</v>
          </cell>
          <cell r="Q203" t="str">
            <v>2015_11</v>
          </cell>
        </row>
        <row r="204">
          <cell r="J204" t="e">
            <v>#N/A</v>
          </cell>
          <cell r="K204" t="e">
            <v>#N/A</v>
          </cell>
          <cell r="N204">
            <v>99773.32</v>
          </cell>
          <cell r="Q204" t="str">
            <v>2015_12</v>
          </cell>
        </row>
        <row r="205">
          <cell r="J205" t="e">
            <v>#N/A</v>
          </cell>
          <cell r="K205" t="e">
            <v>#N/A</v>
          </cell>
          <cell r="N205">
            <v>31.92</v>
          </cell>
          <cell r="Q205" t="str">
            <v>2016_01</v>
          </cell>
        </row>
        <row r="206">
          <cell r="J206" t="e">
            <v>#N/A</v>
          </cell>
          <cell r="K206" t="e">
            <v>#N/A</v>
          </cell>
          <cell r="N206">
            <v>100258.04</v>
          </cell>
          <cell r="Q206" t="str">
            <v>2016_02</v>
          </cell>
        </row>
        <row r="207">
          <cell r="J207" t="e">
            <v>#N/A</v>
          </cell>
          <cell r="K207" t="e">
            <v>#N/A</v>
          </cell>
          <cell r="N207">
            <v>0</v>
          </cell>
          <cell r="Q207" t="str">
            <v>2016_03</v>
          </cell>
        </row>
        <row r="208">
          <cell r="J208" t="e">
            <v>#N/A</v>
          </cell>
          <cell r="K208" t="e">
            <v>#N/A</v>
          </cell>
          <cell r="N208">
            <v>0</v>
          </cell>
          <cell r="Q208" t="str">
            <v>2016_04</v>
          </cell>
        </row>
        <row r="209">
          <cell r="J209" t="e">
            <v>#N/A</v>
          </cell>
          <cell r="K209" t="e">
            <v>#N/A</v>
          </cell>
          <cell r="N209">
            <v>0</v>
          </cell>
          <cell r="Q209" t="str">
            <v>2016_05</v>
          </cell>
        </row>
        <row r="210">
          <cell r="J210" t="e">
            <v>#N/A</v>
          </cell>
          <cell r="K210" t="e">
            <v>#N/A</v>
          </cell>
          <cell r="N210">
            <v>0</v>
          </cell>
          <cell r="Q210" t="str">
            <v>2016_06</v>
          </cell>
        </row>
        <row r="211">
          <cell r="J211" t="e">
            <v>#N/A</v>
          </cell>
          <cell r="K211" t="e">
            <v>#N/A</v>
          </cell>
          <cell r="N211">
            <v>0</v>
          </cell>
          <cell r="Q211" t="str">
            <v>2016_07</v>
          </cell>
        </row>
        <row r="212">
          <cell r="J212" t="e">
            <v>#N/A</v>
          </cell>
          <cell r="K212" t="e">
            <v>#N/A</v>
          </cell>
          <cell r="N212">
            <v>0</v>
          </cell>
          <cell r="Q212" t="str">
            <v>2016_08</v>
          </cell>
        </row>
        <row r="213">
          <cell r="J213" t="e">
            <v>#N/A</v>
          </cell>
          <cell r="K213" t="e">
            <v>#N/A</v>
          </cell>
          <cell r="N213">
            <v>-516.64</v>
          </cell>
          <cell r="Q213" t="str">
            <v>2016_09</v>
          </cell>
        </row>
        <row r="214">
          <cell r="J214" t="e">
            <v>#N/A</v>
          </cell>
          <cell r="K214" t="e">
            <v>#N/A</v>
          </cell>
          <cell r="N214">
            <v>45270.45</v>
          </cell>
          <cell r="Q214" t="str">
            <v>2015_10</v>
          </cell>
        </row>
        <row r="215">
          <cell r="J215" t="e">
            <v>#N/A</v>
          </cell>
          <cell r="K215" t="e">
            <v>#N/A</v>
          </cell>
          <cell r="N215">
            <v>21051.02</v>
          </cell>
          <cell r="Q215" t="str">
            <v>2015_11</v>
          </cell>
        </row>
        <row r="216">
          <cell r="J216" t="e">
            <v>#N/A</v>
          </cell>
          <cell r="K216" t="e">
            <v>#N/A</v>
          </cell>
          <cell r="N216">
            <v>0</v>
          </cell>
          <cell r="Q216" t="str">
            <v>2015_12</v>
          </cell>
        </row>
        <row r="217">
          <cell r="J217" t="e">
            <v>#N/A</v>
          </cell>
          <cell r="K217" t="e">
            <v>#N/A</v>
          </cell>
          <cell r="N217">
            <v>0</v>
          </cell>
          <cell r="Q217" t="str">
            <v>2016_01</v>
          </cell>
        </row>
        <row r="218">
          <cell r="J218" t="e">
            <v>#N/A</v>
          </cell>
          <cell r="K218" t="e">
            <v>#N/A</v>
          </cell>
          <cell r="N218">
            <v>0</v>
          </cell>
          <cell r="Q218" t="str">
            <v>2016_02</v>
          </cell>
        </row>
        <row r="219">
          <cell r="J219" t="e">
            <v>#N/A</v>
          </cell>
          <cell r="K219" t="e">
            <v>#N/A</v>
          </cell>
          <cell r="N219">
            <v>0</v>
          </cell>
          <cell r="Q219" t="str">
            <v>2016_03</v>
          </cell>
        </row>
        <row r="220">
          <cell r="J220" t="e">
            <v>#N/A</v>
          </cell>
          <cell r="K220" t="e">
            <v>#N/A</v>
          </cell>
          <cell r="N220">
            <v>0</v>
          </cell>
          <cell r="Q220" t="str">
            <v>2016_04</v>
          </cell>
        </row>
        <row r="221">
          <cell r="J221" t="e">
            <v>#N/A</v>
          </cell>
          <cell r="K221" t="e">
            <v>#N/A</v>
          </cell>
          <cell r="N221">
            <v>0</v>
          </cell>
          <cell r="Q221" t="str">
            <v>2016_05</v>
          </cell>
        </row>
        <row r="222">
          <cell r="J222" t="e">
            <v>#N/A</v>
          </cell>
          <cell r="K222" t="e">
            <v>#N/A</v>
          </cell>
          <cell r="N222">
            <v>32200.44</v>
          </cell>
          <cell r="Q222" t="str">
            <v>2016_06</v>
          </cell>
        </row>
        <row r="223">
          <cell r="J223" t="e">
            <v>#N/A</v>
          </cell>
          <cell r="K223" t="e">
            <v>#N/A</v>
          </cell>
          <cell r="N223">
            <v>0</v>
          </cell>
          <cell r="Q223" t="str">
            <v>2016_07</v>
          </cell>
        </row>
        <row r="224">
          <cell r="J224" t="e">
            <v>#N/A</v>
          </cell>
          <cell r="K224" t="e">
            <v>#N/A</v>
          </cell>
          <cell r="N224">
            <v>0</v>
          </cell>
          <cell r="Q224" t="str">
            <v>2016_08</v>
          </cell>
        </row>
        <row r="225">
          <cell r="J225" t="e">
            <v>#N/A</v>
          </cell>
          <cell r="K225" t="e">
            <v>#N/A</v>
          </cell>
          <cell r="N225">
            <v>0</v>
          </cell>
          <cell r="Q225" t="str">
            <v>2016_09</v>
          </cell>
        </row>
        <row r="226">
          <cell r="J226" t="e">
            <v>#N/A</v>
          </cell>
          <cell r="K226" t="e">
            <v>#N/A</v>
          </cell>
          <cell r="N226">
            <v>7636.98</v>
          </cell>
          <cell r="Q226" t="str">
            <v>2016_07</v>
          </cell>
        </row>
        <row r="227">
          <cell r="J227" t="e">
            <v>#N/A</v>
          </cell>
          <cell r="K227" t="e">
            <v>#N/A</v>
          </cell>
          <cell r="N227">
            <v>64561.61</v>
          </cell>
          <cell r="Q227" t="str">
            <v>2016_08</v>
          </cell>
        </row>
        <row r="228">
          <cell r="J228" t="e">
            <v>#N/A</v>
          </cell>
          <cell r="K228" t="e">
            <v>#N/A</v>
          </cell>
          <cell r="N228">
            <v>0</v>
          </cell>
          <cell r="Q228" t="str">
            <v>2016_09</v>
          </cell>
        </row>
        <row r="229">
          <cell r="J229" t="e">
            <v>#N/A</v>
          </cell>
          <cell r="K229" t="e">
            <v>#N/A</v>
          </cell>
          <cell r="N229">
            <v>38172.9</v>
          </cell>
          <cell r="Q229" t="str">
            <v>2015_12</v>
          </cell>
        </row>
        <row r="230">
          <cell r="J230" t="e">
            <v>#N/A</v>
          </cell>
          <cell r="K230" t="e">
            <v>#N/A</v>
          </cell>
          <cell r="N230">
            <v>2584.6799999999998</v>
          </cell>
          <cell r="Q230" t="str">
            <v>2016_01</v>
          </cell>
        </row>
        <row r="231">
          <cell r="J231" t="e">
            <v>#N/A</v>
          </cell>
          <cell r="K231" t="e">
            <v>#N/A</v>
          </cell>
          <cell r="N231">
            <v>0</v>
          </cell>
          <cell r="Q231" t="str">
            <v>2016_02</v>
          </cell>
        </row>
        <row r="232">
          <cell r="J232" t="e">
            <v>#N/A</v>
          </cell>
          <cell r="K232" t="e">
            <v>#N/A</v>
          </cell>
          <cell r="N232">
            <v>0</v>
          </cell>
          <cell r="Q232" t="str">
            <v>2016_03</v>
          </cell>
        </row>
        <row r="233">
          <cell r="J233" t="e">
            <v>#N/A</v>
          </cell>
          <cell r="K233" t="e">
            <v>#N/A</v>
          </cell>
          <cell r="N233">
            <v>19330.8</v>
          </cell>
          <cell r="Q233" t="str">
            <v>2016_04</v>
          </cell>
        </row>
        <row r="234">
          <cell r="J234" t="e">
            <v>#N/A</v>
          </cell>
          <cell r="K234" t="e">
            <v>#N/A</v>
          </cell>
          <cell r="N234">
            <v>15008.52</v>
          </cell>
          <cell r="Q234" t="str">
            <v>2016_05</v>
          </cell>
        </row>
        <row r="235">
          <cell r="J235" t="e">
            <v>#N/A</v>
          </cell>
          <cell r="K235" t="e">
            <v>#N/A</v>
          </cell>
          <cell r="N235">
            <v>78653.55</v>
          </cell>
          <cell r="Q235" t="str">
            <v>2016_06</v>
          </cell>
        </row>
        <row r="236">
          <cell r="J236" t="e">
            <v>#N/A</v>
          </cell>
          <cell r="K236" t="e">
            <v>#N/A</v>
          </cell>
          <cell r="N236">
            <v>0</v>
          </cell>
          <cell r="Q236" t="str">
            <v>2016_07</v>
          </cell>
        </row>
        <row r="237">
          <cell r="J237" t="e">
            <v>#N/A</v>
          </cell>
          <cell r="K237" t="e">
            <v>#N/A</v>
          </cell>
          <cell r="N237">
            <v>0</v>
          </cell>
          <cell r="Q237" t="str">
            <v>2016_08</v>
          </cell>
        </row>
        <row r="238">
          <cell r="J238" t="e">
            <v>#N/A</v>
          </cell>
          <cell r="K238" t="e">
            <v>#N/A</v>
          </cell>
          <cell r="N238">
            <v>0</v>
          </cell>
          <cell r="Q238" t="str">
            <v>2016_09</v>
          </cell>
        </row>
        <row r="239">
          <cell r="J239" t="e">
            <v>#N/A</v>
          </cell>
          <cell r="K239" t="e">
            <v>#N/A</v>
          </cell>
          <cell r="N239">
            <v>20348.93</v>
          </cell>
          <cell r="Q239" t="str">
            <v>2015_12</v>
          </cell>
        </row>
        <row r="240">
          <cell r="J240" t="e">
            <v>#N/A</v>
          </cell>
          <cell r="K240" t="e">
            <v>#N/A</v>
          </cell>
          <cell r="N240">
            <v>10618.9</v>
          </cell>
          <cell r="Q240" t="str">
            <v>2016_01</v>
          </cell>
        </row>
        <row r="241">
          <cell r="J241" t="e">
            <v>#N/A</v>
          </cell>
          <cell r="K241" t="e">
            <v>#N/A</v>
          </cell>
          <cell r="N241">
            <v>0</v>
          </cell>
          <cell r="Q241" t="str">
            <v>2016_02</v>
          </cell>
        </row>
        <row r="242">
          <cell r="J242" t="e">
            <v>#N/A</v>
          </cell>
          <cell r="K242" t="e">
            <v>#N/A</v>
          </cell>
          <cell r="N242">
            <v>0</v>
          </cell>
          <cell r="Q242" t="str">
            <v>2016_03</v>
          </cell>
        </row>
        <row r="243">
          <cell r="J243" t="e">
            <v>#N/A</v>
          </cell>
          <cell r="K243" t="e">
            <v>#N/A</v>
          </cell>
          <cell r="N243">
            <v>0</v>
          </cell>
          <cell r="Q243" t="str">
            <v>2016_04</v>
          </cell>
        </row>
        <row r="244">
          <cell r="J244" t="e">
            <v>#N/A</v>
          </cell>
          <cell r="K244" t="e">
            <v>#N/A</v>
          </cell>
          <cell r="N244">
            <v>0</v>
          </cell>
          <cell r="Q244" t="str">
            <v>2016_05</v>
          </cell>
        </row>
        <row r="245">
          <cell r="J245" t="e">
            <v>#N/A</v>
          </cell>
          <cell r="K245" t="e">
            <v>#N/A</v>
          </cell>
          <cell r="N245">
            <v>21130.85</v>
          </cell>
          <cell r="Q245" t="str">
            <v>2016_06</v>
          </cell>
        </row>
        <row r="246">
          <cell r="J246" t="e">
            <v>#N/A</v>
          </cell>
          <cell r="K246" t="e">
            <v>#N/A</v>
          </cell>
          <cell r="N246">
            <v>39656.370000000003</v>
          </cell>
          <cell r="Q246" t="str">
            <v>2016_07</v>
          </cell>
        </row>
        <row r="247">
          <cell r="J247" t="e">
            <v>#N/A</v>
          </cell>
          <cell r="K247" t="e">
            <v>#N/A</v>
          </cell>
          <cell r="N247">
            <v>0</v>
          </cell>
          <cell r="Q247" t="str">
            <v>2016_08</v>
          </cell>
        </row>
        <row r="248">
          <cell r="J248" t="e">
            <v>#N/A</v>
          </cell>
          <cell r="K248" t="e">
            <v>#N/A</v>
          </cell>
          <cell r="N248">
            <v>0</v>
          </cell>
          <cell r="Q248" t="str">
            <v>2016_09</v>
          </cell>
        </row>
        <row r="249">
          <cell r="J249" t="e">
            <v>#N/A</v>
          </cell>
          <cell r="K249" t="e">
            <v>#N/A</v>
          </cell>
          <cell r="N249">
            <v>0</v>
          </cell>
          <cell r="Q249" t="str">
            <v>2015_10</v>
          </cell>
        </row>
        <row r="250">
          <cell r="J250" t="e">
            <v>#N/A</v>
          </cell>
          <cell r="K250" t="e">
            <v>#N/A</v>
          </cell>
          <cell r="N250">
            <v>0</v>
          </cell>
          <cell r="Q250" t="str">
            <v>2015_11</v>
          </cell>
        </row>
        <row r="251">
          <cell r="J251" t="e">
            <v>#N/A</v>
          </cell>
          <cell r="K251" t="e">
            <v>#N/A</v>
          </cell>
          <cell r="N251">
            <v>0</v>
          </cell>
          <cell r="Q251" t="str">
            <v>2015_12</v>
          </cell>
        </row>
        <row r="252">
          <cell r="J252" t="e">
            <v>#N/A</v>
          </cell>
          <cell r="K252" t="e">
            <v>#N/A</v>
          </cell>
          <cell r="N252">
            <v>0</v>
          </cell>
          <cell r="Q252" t="str">
            <v>2016_01</v>
          </cell>
        </row>
        <row r="253">
          <cell r="J253" t="e">
            <v>#N/A</v>
          </cell>
          <cell r="K253" t="e">
            <v>#N/A</v>
          </cell>
          <cell r="N253">
            <v>0</v>
          </cell>
          <cell r="Q253" t="str">
            <v>2016_02</v>
          </cell>
        </row>
        <row r="254">
          <cell r="J254" t="e">
            <v>#N/A</v>
          </cell>
          <cell r="K254" t="e">
            <v>#N/A</v>
          </cell>
          <cell r="N254">
            <v>0</v>
          </cell>
          <cell r="Q254" t="str">
            <v>2016_03</v>
          </cell>
        </row>
        <row r="255">
          <cell r="J255" t="e">
            <v>#N/A</v>
          </cell>
          <cell r="K255" t="e">
            <v>#N/A</v>
          </cell>
          <cell r="N255">
            <v>0</v>
          </cell>
          <cell r="Q255" t="str">
            <v>2016_04</v>
          </cell>
        </row>
        <row r="256">
          <cell r="J256" t="e">
            <v>#N/A</v>
          </cell>
          <cell r="K256" t="e">
            <v>#N/A</v>
          </cell>
          <cell r="N256">
            <v>0</v>
          </cell>
          <cell r="Q256" t="str">
            <v>2016_05</v>
          </cell>
        </row>
        <row r="257">
          <cell r="J257" t="e">
            <v>#N/A</v>
          </cell>
          <cell r="K257" t="e">
            <v>#N/A</v>
          </cell>
          <cell r="N257">
            <v>0</v>
          </cell>
          <cell r="Q257" t="str">
            <v>2016_06</v>
          </cell>
        </row>
        <row r="258">
          <cell r="J258" t="e">
            <v>#N/A</v>
          </cell>
          <cell r="K258" t="e">
            <v>#N/A</v>
          </cell>
          <cell r="N258">
            <v>0</v>
          </cell>
          <cell r="Q258" t="str">
            <v>2016_07</v>
          </cell>
        </row>
        <row r="259">
          <cell r="J259" t="e">
            <v>#N/A</v>
          </cell>
          <cell r="K259" t="e">
            <v>#N/A</v>
          </cell>
          <cell r="N259">
            <v>13321.06</v>
          </cell>
          <cell r="Q259" t="str">
            <v>2016_08</v>
          </cell>
        </row>
        <row r="260">
          <cell r="J260" t="e">
            <v>#N/A</v>
          </cell>
          <cell r="K260" t="e">
            <v>#N/A</v>
          </cell>
          <cell r="N260">
            <v>0</v>
          </cell>
          <cell r="Q260" t="str">
            <v>2016_09</v>
          </cell>
        </row>
        <row r="261">
          <cell r="J261" t="e">
            <v>#N/A</v>
          </cell>
          <cell r="K261" t="e">
            <v>#N/A</v>
          </cell>
          <cell r="N261">
            <v>0</v>
          </cell>
          <cell r="Q261" t="str">
            <v>2015_10</v>
          </cell>
        </row>
        <row r="262">
          <cell r="J262" t="e">
            <v>#N/A</v>
          </cell>
          <cell r="K262" t="e">
            <v>#N/A</v>
          </cell>
          <cell r="N262">
            <v>0</v>
          </cell>
          <cell r="Q262" t="str">
            <v>2015_11</v>
          </cell>
        </row>
        <row r="263">
          <cell r="J263" t="e">
            <v>#N/A</v>
          </cell>
          <cell r="K263" t="e">
            <v>#N/A</v>
          </cell>
          <cell r="N263">
            <v>0</v>
          </cell>
          <cell r="Q263" t="str">
            <v>2015_12</v>
          </cell>
        </row>
        <row r="264">
          <cell r="J264" t="e">
            <v>#N/A</v>
          </cell>
          <cell r="K264" t="e">
            <v>#N/A</v>
          </cell>
          <cell r="N264">
            <v>0</v>
          </cell>
          <cell r="Q264" t="str">
            <v>2016_01</v>
          </cell>
        </row>
        <row r="265">
          <cell r="J265" t="e">
            <v>#N/A</v>
          </cell>
          <cell r="K265" t="e">
            <v>#N/A</v>
          </cell>
          <cell r="N265">
            <v>0</v>
          </cell>
          <cell r="Q265" t="str">
            <v>2016_02</v>
          </cell>
        </row>
        <row r="266">
          <cell r="J266" t="e">
            <v>#N/A</v>
          </cell>
          <cell r="K266" t="e">
            <v>#N/A</v>
          </cell>
          <cell r="N266">
            <v>0</v>
          </cell>
          <cell r="Q266" t="str">
            <v>2016_03</v>
          </cell>
        </row>
        <row r="267">
          <cell r="J267" t="e">
            <v>#N/A</v>
          </cell>
          <cell r="K267" t="e">
            <v>#N/A</v>
          </cell>
          <cell r="N267">
            <v>0</v>
          </cell>
          <cell r="Q267" t="str">
            <v>2016_04</v>
          </cell>
        </row>
        <row r="268">
          <cell r="J268" t="e">
            <v>#N/A</v>
          </cell>
          <cell r="K268" t="e">
            <v>#N/A</v>
          </cell>
          <cell r="N268">
            <v>0</v>
          </cell>
          <cell r="Q268" t="str">
            <v>2016_05</v>
          </cell>
        </row>
        <row r="269">
          <cell r="J269" t="e">
            <v>#N/A</v>
          </cell>
          <cell r="K269" t="e">
            <v>#N/A</v>
          </cell>
          <cell r="N269">
            <v>0</v>
          </cell>
          <cell r="Q269" t="str">
            <v>2016_06</v>
          </cell>
        </row>
        <row r="270">
          <cell r="J270" t="e">
            <v>#N/A</v>
          </cell>
          <cell r="K270" t="e">
            <v>#N/A</v>
          </cell>
          <cell r="N270">
            <v>0</v>
          </cell>
          <cell r="Q270" t="str">
            <v>2016_07</v>
          </cell>
        </row>
        <row r="271">
          <cell r="J271" t="e">
            <v>#N/A</v>
          </cell>
          <cell r="K271" t="e">
            <v>#N/A</v>
          </cell>
          <cell r="N271">
            <v>0</v>
          </cell>
          <cell r="Q271" t="str">
            <v>2016_08</v>
          </cell>
        </row>
        <row r="272">
          <cell r="J272" t="e">
            <v>#N/A</v>
          </cell>
          <cell r="K272" t="e">
            <v>#N/A</v>
          </cell>
          <cell r="N272">
            <v>0</v>
          </cell>
          <cell r="Q272" t="str">
            <v>2016_09</v>
          </cell>
        </row>
        <row r="273">
          <cell r="J273" t="e">
            <v>#N/A</v>
          </cell>
          <cell r="K273" t="e">
            <v>#N/A</v>
          </cell>
          <cell r="N273">
            <v>-318096.53000000003</v>
          </cell>
          <cell r="Q273" t="str">
            <v>2015_10</v>
          </cell>
        </row>
        <row r="274">
          <cell r="J274" t="e">
            <v>#N/A</v>
          </cell>
          <cell r="K274" t="e">
            <v>#N/A</v>
          </cell>
          <cell r="N274">
            <v>11550</v>
          </cell>
          <cell r="Q274" t="str">
            <v>2016_02</v>
          </cell>
        </row>
        <row r="275">
          <cell r="J275" t="e">
            <v>#N/A</v>
          </cell>
          <cell r="K275" t="e">
            <v>#N/A</v>
          </cell>
          <cell r="N275">
            <v>0</v>
          </cell>
          <cell r="Q275" t="str">
            <v>2016_03</v>
          </cell>
        </row>
        <row r="276">
          <cell r="J276" t="e">
            <v>#N/A</v>
          </cell>
          <cell r="K276" t="e">
            <v>#N/A</v>
          </cell>
          <cell r="N276">
            <v>189645.27</v>
          </cell>
          <cell r="Q276" t="str">
            <v>2016_04</v>
          </cell>
        </row>
        <row r="277">
          <cell r="J277" t="e">
            <v>#N/A</v>
          </cell>
          <cell r="K277" t="e">
            <v>#N/A</v>
          </cell>
          <cell r="N277">
            <v>2055</v>
          </cell>
          <cell r="Q277" t="str">
            <v>2016_05</v>
          </cell>
        </row>
        <row r="278">
          <cell r="J278" t="e">
            <v>#N/A</v>
          </cell>
          <cell r="K278" t="e">
            <v>#N/A</v>
          </cell>
          <cell r="N278">
            <v>171750.27</v>
          </cell>
          <cell r="Q278" t="str">
            <v>2016_06</v>
          </cell>
        </row>
        <row r="279">
          <cell r="J279" t="e">
            <v>#N/A</v>
          </cell>
          <cell r="K279" t="e">
            <v>#N/A</v>
          </cell>
          <cell r="N279">
            <v>171750.27</v>
          </cell>
          <cell r="Q279" t="str">
            <v>2016_07</v>
          </cell>
        </row>
        <row r="280">
          <cell r="J280" t="e">
            <v>#N/A</v>
          </cell>
          <cell r="K280" t="e">
            <v>#N/A</v>
          </cell>
          <cell r="N280">
            <v>-171750.27</v>
          </cell>
          <cell r="Q280" t="str">
            <v>2016_08</v>
          </cell>
        </row>
        <row r="281">
          <cell r="J281" t="e">
            <v>#N/A</v>
          </cell>
          <cell r="K281" t="e">
            <v>#N/A</v>
          </cell>
          <cell r="N281">
            <v>-167025.26999999999</v>
          </cell>
          <cell r="Q281" t="str">
            <v>2016_09</v>
          </cell>
        </row>
        <row r="282">
          <cell r="J282" t="e">
            <v>#N/A</v>
          </cell>
          <cell r="K282" t="e">
            <v>#N/A</v>
          </cell>
          <cell r="N282">
            <v>0</v>
          </cell>
          <cell r="Q282" t="str">
            <v>2015_10</v>
          </cell>
        </row>
        <row r="283">
          <cell r="J283" t="e">
            <v>#N/A</v>
          </cell>
          <cell r="K283" t="e">
            <v>#N/A</v>
          </cell>
          <cell r="N283">
            <v>0</v>
          </cell>
          <cell r="Q283" t="str">
            <v>2015_11</v>
          </cell>
        </row>
        <row r="284">
          <cell r="J284" t="e">
            <v>#N/A</v>
          </cell>
          <cell r="K284" t="e">
            <v>#N/A</v>
          </cell>
          <cell r="N284">
            <v>0</v>
          </cell>
          <cell r="Q284" t="str">
            <v>2015_12</v>
          </cell>
        </row>
        <row r="285">
          <cell r="J285" t="e">
            <v>#N/A</v>
          </cell>
          <cell r="K285" t="e">
            <v>#N/A</v>
          </cell>
          <cell r="N285">
            <v>0</v>
          </cell>
          <cell r="Q285" t="str">
            <v>2016_01</v>
          </cell>
        </row>
        <row r="286">
          <cell r="J286" t="e">
            <v>#N/A</v>
          </cell>
          <cell r="K286" t="e">
            <v>#N/A</v>
          </cell>
          <cell r="N286">
            <v>0</v>
          </cell>
          <cell r="Q286" t="str">
            <v>2016_02</v>
          </cell>
        </row>
        <row r="287">
          <cell r="J287" t="e">
            <v>#N/A</v>
          </cell>
          <cell r="K287" t="e">
            <v>#N/A</v>
          </cell>
          <cell r="N287">
            <v>0</v>
          </cell>
          <cell r="Q287" t="str">
            <v>2016_03</v>
          </cell>
        </row>
        <row r="288">
          <cell r="J288" t="e">
            <v>#N/A</v>
          </cell>
          <cell r="K288" t="e">
            <v>#N/A</v>
          </cell>
          <cell r="N288">
            <v>0</v>
          </cell>
          <cell r="Q288" t="str">
            <v>2016_04</v>
          </cell>
        </row>
        <row r="289">
          <cell r="J289" t="e">
            <v>#N/A</v>
          </cell>
          <cell r="K289" t="e">
            <v>#N/A</v>
          </cell>
          <cell r="N289">
            <v>0</v>
          </cell>
          <cell r="Q289" t="str">
            <v>2016_05</v>
          </cell>
        </row>
        <row r="290">
          <cell r="J290" t="e">
            <v>#N/A</v>
          </cell>
          <cell r="K290" t="e">
            <v>#N/A</v>
          </cell>
          <cell r="N290">
            <v>0</v>
          </cell>
          <cell r="Q290" t="str">
            <v>2016_06</v>
          </cell>
        </row>
        <row r="291">
          <cell r="J291" t="e">
            <v>#N/A</v>
          </cell>
          <cell r="K291" t="e">
            <v>#N/A</v>
          </cell>
          <cell r="N291">
            <v>0</v>
          </cell>
          <cell r="Q291" t="str">
            <v>2016_07</v>
          </cell>
        </row>
        <row r="292">
          <cell r="J292" t="e">
            <v>#N/A</v>
          </cell>
          <cell r="K292" t="e">
            <v>#N/A</v>
          </cell>
          <cell r="N292">
            <v>0</v>
          </cell>
          <cell r="Q292" t="str">
            <v>2016_08</v>
          </cell>
        </row>
        <row r="293">
          <cell r="J293" t="e">
            <v>#N/A</v>
          </cell>
          <cell r="K293" t="e">
            <v>#N/A</v>
          </cell>
          <cell r="N293">
            <v>0</v>
          </cell>
          <cell r="Q293" t="str">
            <v>2016_09</v>
          </cell>
        </row>
        <row r="294">
          <cell r="J294" t="e">
            <v>#N/A</v>
          </cell>
          <cell r="K294" t="e">
            <v>#N/A</v>
          </cell>
          <cell r="N294">
            <v>-1384.35</v>
          </cell>
          <cell r="Q294" t="str">
            <v>2015_10</v>
          </cell>
        </row>
        <row r="295">
          <cell r="J295" t="e">
            <v>#N/A</v>
          </cell>
          <cell r="K295" t="e">
            <v>#N/A</v>
          </cell>
          <cell r="N295">
            <v>-1384.35</v>
          </cell>
          <cell r="Q295" t="str">
            <v>2015_11</v>
          </cell>
        </row>
        <row r="296">
          <cell r="J296" t="e">
            <v>#N/A</v>
          </cell>
          <cell r="K296" t="e">
            <v>#N/A</v>
          </cell>
          <cell r="N296">
            <v>-2925.92</v>
          </cell>
          <cell r="Q296" t="str">
            <v>2015_12</v>
          </cell>
        </row>
        <row r="297">
          <cell r="J297" t="e">
            <v>#N/A</v>
          </cell>
          <cell r="K297" t="e">
            <v>#N/A</v>
          </cell>
          <cell r="N297">
            <v>-2168.1999999999998</v>
          </cell>
          <cell r="Q297" t="str">
            <v>2016_01</v>
          </cell>
        </row>
        <row r="298">
          <cell r="J298" t="e">
            <v>#N/A</v>
          </cell>
          <cell r="K298" t="e">
            <v>#N/A</v>
          </cell>
          <cell r="N298">
            <v>-2168.1999999999998</v>
          </cell>
          <cell r="Q298" t="str">
            <v>2016_02</v>
          </cell>
        </row>
        <row r="299">
          <cell r="J299" t="e">
            <v>#N/A</v>
          </cell>
          <cell r="K299" t="e">
            <v>#N/A</v>
          </cell>
          <cell r="N299">
            <v>-2168.1999999999998</v>
          </cell>
          <cell r="Q299" t="str">
            <v>2016_03</v>
          </cell>
        </row>
        <row r="300">
          <cell r="J300" t="e">
            <v>#N/A</v>
          </cell>
          <cell r="K300" t="e">
            <v>#N/A</v>
          </cell>
          <cell r="N300">
            <v>-2168.1999999999998</v>
          </cell>
          <cell r="Q300" t="str">
            <v>2016_04</v>
          </cell>
        </row>
        <row r="301">
          <cell r="J301" t="e">
            <v>#N/A</v>
          </cell>
          <cell r="K301" t="e">
            <v>#N/A</v>
          </cell>
          <cell r="N301">
            <v>-2168.1999999999998</v>
          </cell>
          <cell r="Q301" t="str">
            <v>2016_05</v>
          </cell>
        </row>
        <row r="302">
          <cell r="J302" t="e">
            <v>#N/A</v>
          </cell>
          <cell r="K302" t="e">
            <v>#N/A</v>
          </cell>
          <cell r="N302">
            <v>-2168.1999999999998</v>
          </cell>
          <cell r="Q302" t="str">
            <v>2016_06</v>
          </cell>
        </row>
        <row r="303">
          <cell r="J303" t="e">
            <v>#N/A</v>
          </cell>
          <cell r="K303" t="e">
            <v>#N/A</v>
          </cell>
          <cell r="N303">
            <v>-2168.1999999999998</v>
          </cell>
          <cell r="Q303" t="str">
            <v>2016_07</v>
          </cell>
        </row>
        <row r="304">
          <cell r="J304" t="e">
            <v>#N/A</v>
          </cell>
          <cell r="K304" t="e">
            <v>#N/A</v>
          </cell>
          <cell r="N304">
            <v>-2168.1999999999998</v>
          </cell>
          <cell r="Q304" t="str">
            <v>2016_08</v>
          </cell>
        </row>
        <row r="305">
          <cell r="J305" t="e">
            <v>#N/A</v>
          </cell>
          <cell r="K305" t="e">
            <v>#N/A</v>
          </cell>
          <cell r="N305">
            <v>-2168.1999999999998</v>
          </cell>
          <cell r="Q305" t="str">
            <v>2016_09</v>
          </cell>
        </row>
        <row r="306">
          <cell r="J306" t="e">
            <v>#N/A</v>
          </cell>
          <cell r="K306" t="e">
            <v>#N/A</v>
          </cell>
          <cell r="N306">
            <v>-30433.88</v>
          </cell>
          <cell r="Q306" t="str">
            <v>2015_10</v>
          </cell>
        </row>
        <row r="307">
          <cell r="J307" t="e">
            <v>#N/A</v>
          </cell>
          <cell r="K307" t="e">
            <v>#N/A</v>
          </cell>
          <cell r="N307">
            <v>-30433.88</v>
          </cell>
          <cell r="Q307" t="str">
            <v>2015_11</v>
          </cell>
        </row>
        <row r="308">
          <cell r="J308" t="e">
            <v>#N/A</v>
          </cell>
          <cell r="K308" t="e">
            <v>#N/A</v>
          </cell>
          <cell r="N308">
            <v>-30433.81</v>
          </cell>
          <cell r="Q308" t="str">
            <v>2015_12</v>
          </cell>
        </row>
        <row r="309">
          <cell r="J309" t="e">
            <v>#N/A</v>
          </cell>
          <cell r="K309" t="e">
            <v>#N/A</v>
          </cell>
          <cell r="N309">
            <v>-30433.88</v>
          </cell>
          <cell r="Q309" t="str">
            <v>2016_01</v>
          </cell>
        </row>
        <row r="310">
          <cell r="J310" t="e">
            <v>#N/A</v>
          </cell>
          <cell r="K310" t="e">
            <v>#N/A</v>
          </cell>
          <cell r="N310">
            <v>-30433.88</v>
          </cell>
          <cell r="Q310" t="str">
            <v>2016_02</v>
          </cell>
        </row>
        <row r="311">
          <cell r="J311" t="e">
            <v>#N/A</v>
          </cell>
          <cell r="K311" t="e">
            <v>#N/A</v>
          </cell>
          <cell r="N311">
            <v>-30433.88</v>
          </cell>
          <cell r="Q311" t="str">
            <v>2016_03</v>
          </cell>
        </row>
        <row r="312">
          <cell r="J312" t="e">
            <v>#N/A</v>
          </cell>
          <cell r="K312" t="e">
            <v>#N/A</v>
          </cell>
          <cell r="N312">
            <v>-30433.88</v>
          </cell>
          <cell r="Q312" t="str">
            <v>2016_04</v>
          </cell>
        </row>
        <row r="313">
          <cell r="J313" t="e">
            <v>#N/A</v>
          </cell>
          <cell r="K313" t="e">
            <v>#N/A</v>
          </cell>
          <cell r="N313">
            <v>-30433.88</v>
          </cell>
          <cell r="Q313" t="str">
            <v>2016_05</v>
          </cell>
        </row>
        <row r="314">
          <cell r="J314" t="e">
            <v>#N/A</v>
          </cell>
          <cell r="K314" t="e">
            <v>#N/A</v>
          </cell>
          <cell r="N314">
            <v>-30433.89</v>
          </cell>
          <cell r="Q314" t="str">
            <v>2016_06</v>
          </cell>
        </row>
        <row r="315">
          <cell r="J315" t="e">
            <v>#N/A</v>
          </cell>
          <cell r="K315" t="e">
            <v>#N/A</v>
          </cell>
          <cell r="N315">
            <v>-30433.89</v>
          </cell>
          <cell r="Q315" t="str">
            <v>2016_07</v>
          </cell>
        </row>
        <row r="316">
          <cell r="J316" t="e">
            <v>#N/A</v>
          </cell>
          <cell r="K316" t="e">
            <v>#N/A</v>
          </cell>
          <cell r="N316">
            <v>-30433.89</v>
          </cell>
          <cell r="Q316" t="str">
            <v>2016_08</v>
          </cell>
        </row>
        <row r="317">
          <cell r="J317" t="e">
            <v>#N/A</v>
          </cell>
          <cell r="K317" t="e">
            <v>#N/A</v>
          </cell>
          <cell r="N317">
            <v>-29121.64</v>
          </cell>
          <cell r="Q317" t="str">
            <v>2016_09</v>
          </cell>
        </row>
        <row r="318">
          <cell r="J318" t="e">
            <v>#N/A</v>
          </cell>
          <cell r="K318" t="e">
            <v>#N/A</v>
          </cell>
          <cell r="N318">
            <v>-10292.75</v>
          </cell>
          <cell r="Q318" t="str">
            <v>2015_10</v>
          </cell>
        </row>
        <row r="319">
          <cell r="J319" t="e">
            <v>#N/A</v>
          </cell>
          <cell r="K319" t="e">
            <v>#N/A</v>
          </cell>
          <cell r="N319">
            <v>-10292.75</v>
          </cell>
          <cell r="Q319" t="str">
            <v>2015_11</v>
          </cell>
        </row>
        <row r="320">
          <cell r="J320" t="e">
            <v>#N/A</v>
          </cell>
          <cell r="K320" t="e">
            <v>#N/A</v>
          </cell>
          <cell r="N320">
            <v>-10292.629999999999</v>
          </cell>
          <cell r="Q320" t="str">
            <v>2015_12</v>
          </cell>
        </row>
        <row r="321">
          <cell r="J321" t="e">
            <v>#N/A</v>
          </cell>
          <cell r="K321" t="e">
            <v>#N/A</v>
          </cell>
          <cell r="N321">
            <v>-10292.75</v>
          </cell>
          <cell r="Q321" t="str">
            <v>2016_01</v>
          </cell>
        </row>
        <row r="322">
          <cell r="J322" t="e">
            <v>#N/A</v>
          </cell>
          <cell r="K322" t="e">
            <v>#N/A</v>
          </cell>
          <cell r="N322">
            <v>-10292.75</v>
          </cell>
          <cell r="Q322" t="str">
            <v>2016_02</v>
          </cell>
        </row>
        <row r="323">
          <cell r="J323" t="e">
            <v>#N/A</v>
          </cell>
          <cell r="K323" t="e">
            <v>#N/A</v>
          </cell>
          <cell r="N323">
            <v>-10292.75</v>
          </cell>
          <cell r="Q323" t="str">
            <v>2016_03</v>
          </cell>
        </row>
        <row r="324">
          <cell r="J324" t="e">
            <v>#N/A</v>
          </cell>
          <cell r="K324" t="e">
            <v>#N/A</v>
          </cell>
          <cell r="N324">
            <v>-10292.75</v>
          </cell>
          <cell r="Q324" t="str">
            <v>2016_04</v>
          </cell>
        </row>
        <row r="325">
          <cell r="J325" t="e">
            <v>#N/A</v>
          </cell>
          <cell r="K325" t="e">
            <v>#N/A</v>
          </cell>
          <cell r="N325">
            <v>-10292.75</v>
          </cell>
          <cell r="Q325" t="str">
            <v>2016_05</v>
          </cell>
        </row>
        <row r="326">
          <cell r="J326" t="e">
            <v>#N/A</v>
          </cell>
          <cell r="K326" t="e">
            <v>#N/A</v>
          </cell>
          <cell r="N326">
            <v>-10292.75</v>
          </cell>
          <cell r="Q326" t="str">
            <v>2016_06</v>
          </cell>
        </row>
        <row r="327">
          <cell r="J327" t="e">
            <v>#N/A</v>
          </cell>
          <cell r="K327" t="e">
            <v>#N/A</v>
          </cell>
          <cell r="N327">
            <v>-10292.75</v>
          </cell>
          <cell r="Q327" t="str">
            <v>2016_07</v>
          </cell>
        </row>
        <row r="328">
          <cell r="J328" t="e">
            <v>#N/A</v>
          </cell>
          <cell r="K328" t="e">
            <v>#N/A</v>
          </cell>
          <cell r="N328">
            <v>-14987.94</v>
          </cell>
          <cell r="Q328" t="str">
            <v>2016_08</v>
          </cell>
        </row>
        <row r="329">
          <cell r="J329" t="e">
            <v>#N/A</v>
          </cell>
          <cell r="K329" t="e">
            <v>#N/A</v>
          </cell>
          <cell r="N329">
            <v>-19683.13</v>
          </cell>
          <cell r="Q329" t="str">
            <v>2016_09</v>
          </cell>
        </row>
        <row r="330">
          <cell r="J330" t="e">
            <v>#N/A</v>
          </cell>
          <cell r="K330" t="e">
            <v>#N/A</v>
          </cell>
          <cell r="N330">
            <v>-6288.93</v>
          </cell>
          <cell r="Q330" t="str">
            <v>2015_10</v>
          </cell>
        </row>
        <row r="331">
          <cell r="J331" t="e">
            <v>#N/A</v>
          </cell>
          <cell r="K331" t="e">
            <v>#N/A</v>
          </cell>
          <cell r="N331">
            <v>-6288.93</v>
          </cell>
          <cell r="Q331" t="str">
            <v>2015_11</v>
          </cell>
        </row>
        <row r="332">
          <cell r="J332" t="e">
            <v>#N/A</v>
          </cell>
          <cell r="K332" t="e">
            <v>#N/A</v>
          </cell>
          <cell r="N332">
            <v>-6288.89</v>
          </cell>
          <cell r="Q332" t="str">
            <v>2015_12</v>
          </cell>
        </row>
        <row r="333">
          <cell r="J333" t="e">
            <v>#N/A</v>
          </cell>
          <cell r="K333" t="e">
            <v>#N/A</v>
          </cell>
          <cell r="N333">
            <v>-9438.1</v>
          </cell>
          <cell r="Q333" t="str">
            <v>2016_01</v>
          </cell>
        </row>
        <row r="334">
          <cell r="J334" t="e">
            <v>#N/A</v>
          </cell>
          <cell r="K334" t="e">
            <v>#N/A</v>
          </cell>
          <cell r="N334">
            <v>-12573.13</v>
          </cell>
          <cell r="Q334" t="str">
            <v>2016_02</v>
          </cell>
        </row>
        <row r="335">
          <cell r="J335" t="e">
            <v>#N/A</v>
          </cell>
          <cell r="K335" t="e">
            <v>#N/A</v>
          </cell>
          <cell r="N335">
            <v>-12573.13</v>
          </cell>
          <cell r="Q335" t="str">
            <v>2016_03</v>
          </cell>
        </row>
        <row r="336">
          <cell r="J336" t="e">
            <v>#N/A</v>
          </cell>
          <cell r="K336" t="e">
            <v>#N/A</v>
          </cell>
          <cell r="N336">
            <v>-12573.13</v>
          </cell>
          <cell r="Q336" t="str">
            <v>2016_04</v>
          </cell>
        </row>
        <row r="337">
          <cell r="J337" t="e">
            <v>#N/A</v>
          </cell>
          <cell r="K337" t="e">
            <v>#N/A</v>
          </cell>
          <cell r="N337">
            <v>-12573.13</v>
          </cell>
          <cell r="Q337" t="str">
            <v>2016_05</v>
          </cell>
        </row>
        <row r="338">
          <cell r="J338" t="e">
            <v>#N/A</v>
          </cell>
          <cell r="K338" t="e">
            <v>#N/A</v>
          </cell>
          <cell r="N338">
            <v>-12573.14</v>
          </cell>
          <cell r="Q338" t="str">
            <v>2016_06</v>
          </cell>
        </row>
        <row r="339">
          <cell r="J339" t="e">
            <v>#N/A</v>
          </cell>
          <cell r="K339" t="e">
            <v>#N/A</v>
          </cell>
          <cell r="N339">
            <v>-12573.14</v>
          </cell>
          <cell r="Q339" t="str">
            <v>2016_07</v>
          </cell>
        </row>
        <row r="340">
          <cell r="J340" t="e">
            <v>#N/A</v>
          </cell>
          <cell r="K340" t="e">
            <v>#N/A</v>
          </cell>
          <cell r="N340">
            <v>-12573.14</v>
          </cell>
          <cell r="Q340" t="str">
            <v>2016_08</v>
          </cell>
        </row>
        <row r="341">
          <cell r="J341" t="e">
            <v>#N/A</v>
          </cell>
          <cell r="K341" t="e">
            <v>#N/A</v>
          </cell>
          <cell r="N341">
            <v>-12573.14</v>
          </cell>
          <cell r="Q341" t="str">
            <v>2016_09</v>
          </cell>
        </row>
        <row r="342">
          <cell r="J342" t="e">
            <v>#N/A</v>
          </cell>
          <cell r="K342" t="e">
            <v>#N/A</v>
          </cell>
          <cell r="N342">
            <v>2787.38</v>
          </cell>
          <cell r="Q342" t="str">
            <v>2015_10</v>
          </cell>
        </row>
        <row r="343">
          <cell r="J343" t="e">
            <v>#N/A</v>
          </cell>
          <cell r="K343" t="e">
            <v>#N/A</v>
          </cell>
          <cell r="N343">
            <v>7734.27</v>
          </cell>
          <cell r="Q343" t="str">
            <v>2015_11</v>
          </cell>
        </row>
        <row r="344">
          <cell r="J344" t="e">
            <v>#N/A</v>
          </cell>
          <cell r="K344" t="e">
            <v>#N/A</v>
          </cell>
          <cell r="N344">
            <v>2880.12</v>
          </cell>
          <cell r="Q344" t="str">
            <v>2015_12</v>
          </cell>
        </row>
        <row r="345">
          <cell r="J345" t="e">
            <v>#N/A</v>
          </cell>
          <cell r="K345" t="e">
            <v>#N/A</v>
          </cell>
          <cell r="N345">
            <v>0</v>
          </cell>
          <cell r="Q345" t="str">
            <v>2016_01</v>
          </cell>
        </row>
        <row r="346">
          <cell r="J346" t="e">
            <v>#N/A</v>
          </cell>
          <cell r="K346" t="e">
            <v>#N/A</v>
          </cell>
          <cell r="N346">
            <v>0</v>
          </cell>
          <cell r="Q346" t="str">
            <v>2016_02</v>
          </cell>
        </row>
        <row r="347">
          <cell r="J347" t="e">
            <v>#N/A</v>
          </cell>
          <cell r="K347" t="e">
            <v>#N/A</v>
          </cell>
          <cell r="N347">
            <v>0</v>
          </cell>
          <cell r="Q347" t="str">
            <v>2016_03</v>
          </cell>
        </row>
        <row r="348">
          <cell r="J348" t="e">
            <v>#N/A</v>
          </cell>
          <cell r="K348" t="e">
            <v>#N/A</v>
          </cell>
          <cell r="N348">
            <v>0</v>
          </cell>
          <cell r="Q348" t="str">
            <v>2016_04</v>
          </cell>
        </row>
        <row r="349">
          <cell r="J349" t="e">
            <v>#N/A</v>
          </cell>
          <cell r="K349" t="e">
            <v>#N/A</v>
          </cell>
          <cell r="N349">
            <v>0</v>
          </cell>
          <cell r="Q349" t="str">
            <v>2016_05</v>
          </cell>
        </row>
        <row r="350">
          <cell r="J350" t="e">
            <v>#N/A</v>
          </cell>
          <cell r="K350" t="e">
            <v>#N/A</v>
          </cell>
          <cell r="N350">
            <v>0</v>
          </cell>
          <cell r="Q350" t="str">
            <v>2016_06</v>
          </cell>
        </row>
        <row r="351">
          <cell r="J351" t="e">
            <v>#N/A</v>
          </cell>
          <cell r="K351" t="e">
            <v>#N/A</v>
          </cell>
          <cell r="N351">
            <v>0</v>
          </cell>
          <cell r="Q351" t="str">
            <v>2016_07</v>
          </cell>
        </row>
        <row r="352">
          <cell r="J352" t="e">
            <v>#N/A</v>
          </cell>
          <cell r="K352" t="e">
            <v>#N/A</v>
          </cell>
          <cell r="N352">
            <v>-334.07</v>
          </cell>
          <cell r="Q352" t="str">
            <v>2016_08</v>
          </cell>
        </row>
        <row r="353">
          <cell r="J353" t="e">
            <v>#N/A</v>
          </cell>
          <cell r="K353" t="e">
            <v>#N/A</v>
          </cell>
          <cell r="N353">
            <v>0</v>
          </cell>
          <cell r="Q353" t="str">
            <v>2016_09</v>
          </cell>
        </row>
        <row r="354">
          <cell r="J354" t="e">
            <v>#N/A</v>
          </cell>
          <cell r="K354" t="e">
            <v>#N/A</v>
          </cell>
          <cell r="N354">
            <v>-377.25</v>
          </cell>
          <cell r="Q354" t="str">
            <v>2015_10</v>
          </cell>
        </row>
        <row r="355">
          <cell r="J355" t="e">
            <v>#N/A</v>
          </cell>
          <cell r="K355" t="e">
            <v>#N/A</v>
          </cell>
          <cell r="N355">
            <v>-377.25</v>
          </cell>
          <cell r="Q355" t="str">
            <v>2015_11</v>
          </cell>
        </row>
        <row r="356">
          <cell r="J356" t="e">
            <v>#N/A</v>
          </cell>
          <cell r="K356" t="e">
            <v>#N/A</v>
          </cell>
          <cell r="N356">
            <v>-377.26</v>
          </cell>
          <cell r="Q356" t="str">
            <v>2015_12</v>
          </cell>
        </row>
        <row r="357">
          <cell r="J357" t="e">
            <v>#N/A</v>
          </cell>
          <cell r="K357" t="e">
            <v>#N/A</v>
          </cell>
          <cell r="N357">
            <v>-377.25</v>
          </cell>
          <cell r="Q357" t="str">
            <v>2016_01</v>
          </cell>
        </row>
        <row r="358">
          <cell r="J358" t="e">
            <v>#N/A</v>
          </cell>
          <cell r="K358" t="e">
            <v>#N/A</v>
          </cell>
          <cell r="N358">
            <v>-377.25</v>
          </cell>
          <cell r="Q358" t="str">
            <v>2016_02</v>
          </cell>
        </row>
        <row r="359">
          <cell r="J359" t="e">
            <v>#N/A</v>
          </cell>
          <cell r="K359" t="e">
            <v>#N/A</v>
          </cell>
          <cell r="N359">
            <v>-377.25</v>
          </cell>
          <cell r="Q359" t="str">
            <v>2016_03</v>
          </cell>
        </row>
        <row r="360">
          <cell r="J360" t="e">
            <v>#N/A</v>
          </cell>
          <cell r="K360" t="e">
            <v>#N/A</v>
          </cell>
          <cell r="N360">
            <v>-377.25</v>
          </cell>
          <cell r="Q360" t="str">
            <v>2016_04</v>
          </cell>
        </row>
        <row r="361">
          <cell r="J361" t="e">
            <v>#N/A</v>
          </cell>
          <cell r="K361" t="e">
            <v>#N/A</v>
          </cell>
          <cell r="N361">
            <v>-377.25</v>
          </cell>
          <cell r="Q361" t="str">
            <v>2016_05</v>
          </cell>
        </row>
        <row r="362">
          <cell r="J362" t="e">
            <v>#N/A</v>
          </cell>
          <cell r="K362" t="e">
            <v>#N/A</v>
          </cell>
          <cell r="N362">
            <v>-645.59</v>
          </cell>
          <cell r="Q362" t="str">
            <v>2016_06</v>
          </cell>
        </row>
        <row r="363">
          <cell r="J363" t="e">
            <v>#N/A</v>
          </cell>
          <cell r="K363" t="e">
            <v>#N/A</v>
          </cell>
          <cell r="N363">
            <v>-709.23</v>
          </cell>
          <cell r="Q363" t="str">
            <v>2016_07</v>
          </cell>
        </row>
        <row r="364">
          <cell r="J364" t="e">
            <v>#N/A</v>
          </cell>
          <cell r="K364" t="e">
            <v>#N/A</v>
          </cell>
          <cell r="N364">
            <v>-1247.24</v>
          </cell>
          <cell r="Q364" t="str">
            <v>2016_08</v>
          </cell>
        </row>
        <row r="365">
          <cell r="J365" t="e">
            <v>#N/A</v>
          </cell>
          <cell r="K365" t="e">
            <v>#N/A</v>
          </cell>
          <cell r="N365">
            <v>-1247.24</v>
          </cell>
          <cell r="Q365" t="str">
            <v>2016_09</v>
          </cell>
        </row>
        <row r="366">
          <cell r="J366" t="e">
            <v>#N/A</v>
          </cell>
          <cell r="K366" t="e">
            <v>#N/A</v>
          </cell>
          <cell r="N366">
            <v>-2560.7399999999998</v>
          </cell>
          <cell r="Q366" t="str">
            <v>2015_10</v>
          </cell>
        </row>
        <row r="367">
          <cell r="J367" t="e">
            <v>#N/A</v>
          </cell>
          <cell r="K367" t="e">
            <v>#N/A</v>
          </cell>
          <cell r="N367">
            <v>-2560.7399999999998</v>
          </cell>
          <cell r="Q367" t="str">
            <v>2015_11</v>
          </cell>
        </row>
        <row r="368">
          <cell r="J368" t="e">
            <v>#N/A</v>
          </cell>
          <cell r="K368" t="e">
            <v>#N/A</v>
          </cell>
          <cell r="N368">
            <v>-2949.22</v>
          </cell>
          <cell r="Q368" t="str">
            <v>2015_12</v>
          </cell>
        </row>
        <row r="369">
          <cell r="J369" t="e">
            <v>#N/A</v>
          </cell>
          <cell r="K369" t="e">
            <v>#N/A</v>
          </cell>
          <cell r="N369">
            <v>-2592.7600000000002</v>
          </cell>
          <cell r="Q369" t="str">
            <v>2016_01</v>
          </cell>
        </row>
        <row r="370">
          <cell r="J370" t="e">
            <v>#N/A</v>
          </cell>
          <cell r="K370" t="e">
            <v>#N/A</v>
          </cell>
          <cell r="N370">
            <v>-2592.7600000000002</v>
          </cell>
          <cell r="Q370" t="str">
            <v>2016_02</v>
          </cell>
        </row>
        <row r="371">
          <cell r="J371" t="e">
            <v>#N/A</v>
          </cell>
          <cell r="K371" t="e">
            <v>#N/A</v>
          </cell>
          <cell r="N371">
            <v>-2592.7600000000002</v>
          </cell>
          <cell r="Q371" t="str">
            <v>2016_03</v>
          </cell>
        </row>
        <row r="372">
          <cell r="J372" t="e">
            <v>#N/A</v>
          </cell>
          <cell r="K372" t="e">
            <v>#N/A</v>
          </cell>
          <cell r="N372">
            <v>-2753.85</v>
          </cell>
          <cell r="Q372" t="str">
            <v>2016_04</v>
          </cell>
        </row>
        <row r="373">
          <cell r="J373" t="e">
            <v>#N/A</v>
          </cell>
          <cell r="K373" t="e">
            <v>#N/A</v>
          </cell>
          <cell r="N373">
            <v>-2878.93</v>
          </cell>
          <cell r="Q373" t="str">
            <v>2016_05</v>
          </cell>
        </row>
        <row r="374">
          <cell r="J374" t="e">
            <v>#N/A</v>
          </cell>
          <cell r="K374" t="e">
            <v>#N/A</v>
          </cell>
          <cell r="N374">
            <v>-3243.69</v>
          </cell>
          <cell r="Q374" t="str">
            <v>2016_06</v>
          </cell>
        </row>
        <row r="375">
          <cell r="J375" t="e">
            <v>#N/A</v>
          </cell>
          <cell r="K375" t="e">
            <v>#N/A</v>
          </cell>
          <cell r="N375">
            <v>-3243.69</v>
          </cell>
          <cell r="Q375" t="str">
            <v>2016_07</v>
          </cell>
        </row>
        <row r="376">
          <cell r="J376" t="e">
            <v>#N/A</v>
          </cell>
          <cell r="K376" t="e">
            <v>#N/A</v>
          </cell>
          <cell r="N376">
            <v>-3243.69</v>
          </cell>
          <cell r="Q376" t="str">
            <v>2016_08</v>
          </cell>
        </row>
        <row r="377">
          <cell r="J377" t="e">
            <v>#N/A</v>
          </cell>
          <cell r="K377" t="e">
            <v>#N/A</v>
          </cell>
          <cell r="N377">
            <v>-3243.69</v>
          </cell>
          <cell r="Q377" t="str">
            <v>2016_09</v>
          </cell>
        </row>
        <row r="378">
          <cell r="J378" t="e">
            <v>#N/A</v>
          </cell>
          <cell r="K378" t="e">
            <v>#N/A</v>
          </cell>
          <cell r="N378">
            <v>-1205.5999999999999</v>
          </cell>
          <cell r="Q378" t="str">
            <v>2015_10</v>
          </cell>
        </row>
        <row r="379">
          <cell r="J379" t="e">
            <v>#N/A</v>
          </cell>
          <cell r="K379" t="e">
            <v>#N/A</v>
          </cell>
          <cell r="N379">
            <v>-1381.03</v>
          </cell>
          <cell r="Q379" t="str">
            <v>2015_11</v>
          </cell>
        </row>
        <row r="380">
          <cell r="J380" t="e">
            <v>#N/A</v>
          </cell>
          <cell r="K380" t="e">
            <v>#N/A</v>
          </cell>
          <cell r="N380">
            <v>-1550.62</v>
          </cell>
          <cell r="Q380" t="str">
            <v>2015_12</v>
          </cell>
        </row>
        <row r="381">
          <cell r="J381" t="e">
            <v>#N/A</v>
          </cell>
          <cell r="K381" t="e">
            <v>#N/A</v>
          </cell>
          <cell r="N381">
            <v>-1231.23</v>
          </cell>
          <cell r="Q381" t="str">
            <v>2016_01</v>
          </cell>
        </row>
        <row r="382">
          <cell r="J382" t="e">
            <v>#N/A</v>
          </cell>
          <cell r="K382" t="e">
            <v>#N/A</v>
          </cell>
          <cell r="N382">
            <v>-1231.23</v>
          </cell>
          <cell r="Q382" t="str">
            <v>2016_02</v>
          </cell>
        </row>
        <row r="383">
          <cell r="J383" t="e">
            <v>#N/A</v>
          </cell>
          <cell r="K383" t="e">
            <v>#N/A</v>
          </cell>
          <cell r="N383">
            <v>-1231.23</v>
          </cell>
          <cell r="Q383" t="str">
            <v>2016_03</v>
          </cell>
        </row>
        <row r="384">
          <cell r="J384" t="e">
            <v>#N/A</v>
          </cell>
          <cell r="K384" t="e">
            <v>#N/A</v>
          </cell>
          <cell r="N384">
            <v>-1231.23</v>
          </cell>
          <cell r="Q384" t="str">
            <v>2016_04</v>
          </cell>
        </row>
        <row r="385">
          <cell r="J385" t="e">
            <v>#N/A</v>
          </cell>
          <cell r="K385" t="e">
            <v>#N/A</v>
          </cell>
          <cell r="N385">
            <v>-1231.23</v>
          </cell>
          <cell r="Q385" t="str">
            <v>2016_05</v>
          </cell>
        </row>
        <row r="386">
          <cell r="J386" t="e">
            <v>#N/A</v>
          </cell>
          <cell r="K386" t="e">
            <v>#N/A</v>
          </cell>
          <cell r="N386">
            <v>-1698.03</v>
          </cell>
          <cell r="Q386" t="str">
            <v>2016_06</v>
          </cell>
        </row>
        <row r="387">
          <cell r="J387" t="e">
            <v>#N/A</v>
          </cell>
          <cell r="K387" t="e">
            <v>#N/A</v>
          </cell>
          <cell r="N387">
            <v>-1972.8</v>
          </cell>
          <cell r="Q387" t="str">
            <v>2016_07</v>
          </cell>
        </row>
        <row r="388">
          <cell r="J388" t="e">
            <v>#N/A</v>
          </cell>
          <cell r="K388" t="e">
            <v>#N/A</v>
          </cell>
          <cell r="N388">
            <v>-1972.8</v>
          </cell>
          <cell r="Q388" t="str">
            <v>2016_08</v>
          </cell>
        </row>
        <row r="389">
          <cell r="J389" t="e">
            <v>#N/A</v>
          </cell>
          <cell r="K389" t="e">
            <v>#N/A</v>
          </cell>
          <cell r="N389">
            <v>-1972.8</v>
          </cell>
          <cell r="Q389" t="str">
            <v>2016_09</v>
          </cell>
        </row>
        <row r="390">
          <cell r="J390" t="e">
            <v>#N/A</v>
          </cell>
          <cell r="K390" t="e">
            <v>#N/A</v>
          </cell>
          <cell r="N390">
            <v>-1093.9100000000001</v>
          </cell>
          <cell r="Q390" t="str">
            <v>2015_10</v>
          </cell>
        </row>
        <row r="391">
          <cell r="J391" t="e">
            <v>#N/A</v>
          </cell>
          <cell r="K391" t="e">
            <v>#N/A</v>
          </cell>
          <cell r="N391">
            <v>-1093.9100000000001</v>
          </cell>
          <cell r="Q391" t="str">
            <v>2015_11</v>
          </cell>
        </row>
        <row r="392">
          <cell r="J392" t="e">
            <v>#N/A</v>
          </cell>
          <cell r="K392" t="e">
            <v>#N/A</v>
          </cell>
          <cell r="N392">
            <v>-1093.9000000000001</v>
          </cell>
          <cell r="Q392" t="str">
            <v>2015_12</v>
          </cell>
        </row>
        <row r="393">
          <cell r="J393" t="e">
            <v>#N/A</v>
          </cell>
          <cell r="K393" t="e">
            <v>#N/A</v>
          </cell>
          <cell r="N393">
            <v>-1093.9100000000001</v>
          </cell>
          <cell r="Q393" t="str">
            <v>2016_01</v>
          </cell>
        </row>
        <row r="394">
          <cell r="J394" t="e">
            <v>#N/A</v>
          </cell>
          <cell r="K394" t="e">
            <v>#N/A</v>
          </cell>
          <cell r="N394">
            <v>-1093.9100000000001</v>
          </cell>
          <cell r="Q394" t="str">
            <v>2016_02</v>
          </cell>
        </row>
        <row r="395">
          <cell r="J395" t="e">
            <v>#N/A</v>
          </cell>
          <cell r="K395" t="e">
            <v>#N/A</v>
          </cell>
          <cell r="N395">
            <v>-1093.9100000000001</v>
          </cell>
          <cell r="Q395" t="str">
            <v>2016_03</v>
          </cell>
        </row>
        <row r="396">
          <cell r="J396" t="e">
            <v>#N/A</v>
          </cell>
          <cell r="K396" t="e">
            <v>#N/A</v>
          </cell>
          <cell r="N396">
            <v>-1093.9100000000001</v>
          </cell>
          <cell r="Q396" t="str">
            <v>2016_04</v>
          </cell>
        </row>
        <row r="397">
          <cell r="J397" t="e">
            <v>#N/A</v>
          </cell>
          <cell r="K397" t="e">
            <v>#N/A</v>
          </cell>
          <cell r="N397">
            <v>-1093.9100000000001</v>
          </cell>
          <cell r="Q397" t="str">
            <v>2016_05</v>
          </cell>
        </row>
        <row r="398">
          <cell r="J398" t="e">
            <v>#N/A</v>
          </cell>
          <cell r="K398" t="e">
            <v>#N/A</v>
          </cell>
          <cell r="N398">
            <v>-1093.9100000000001</v>
          </cell>
          <cell r="Q398" t="str">
            <v>2016_06</v>
          </cell>
        </row>
        <row r="399">
          <cell r="J399" t="e">
            <v>#N/A</v>
          </cell>
          <cell r="K399" t="e">
            <v>#N/A</v>
          </cell>
          <cell r="N399">
            <v>-1093.9100000000001</v>
          </cell>
          <cell r="Q399" t="str">
            <v>2016_07</v>
          </cell>
        </row>
        <row r="400">
          <cell r="J400" t="e">
            <v>#N/A</v>
          </cell>
          <cell r="K400" t="e">
            <v>#N/A</v>
          </cell>
          <cell r="N400">
            <v>-1315.93</v>
          </cell>
          <cell r="Q400" t="str">
            <v>2016_08</v>
          </cell>
        </row>
        <row r="401">
          <cell r="J401" t="e">
            <v>#N/A</v>
          </cell>
          <cell r="K401" t="e">
            <v>#N/A</v>
          </cell>
          <cell r="N401">
            <v>-1315.93</v>
          </cell>
          <cell r="Q401" t="str">
            <v>2016_09</v>
          </cell>
        </row>
        <row r="402">
          <cell r="J402" t="e">
            <v>#N/A</v>
          </cell>
          <cell r="K402" t="e">
            <v>#N/A</v>
          </cell>
          <cell r="N402">
            <v>-387.27</v>
          </cell>
          <cell r="Q402" t="str">
            <v>2015_10</v>
          </cell>
        </row>
        <row r="403">
          <cell r="J403" t="e">
            <v>#N/A</v>
          </cell>
          <cell r="K403" t="e">
            <v>#N/A</v>
          </cell>
          <cell r="N403">
            <v>-387.27</v>
          </cell>
          <cell r="Q403" t="str">
            <v>2015_11</v>
          </cell>
        </row>
        <row r="404">
          <cell r="J404" t="e">
            <v>#N/A</v>
          </cell>
          <cell r="K404" t="e">
            <v>#N/A</v>
          </cell>
          <cell r="N404">
            <v>-387.26</v>
          </cell>
          <cell r="Q404" t="str">
            <v>2015_12</v>
          </cell>
        </row>
        <row r="405">
          <cell r="J405" t="e">
            <v>#N/A</v>
          </cell>
          <cell r="K405" t="e">
            <v>#N/A</v>
          </cell>
          <cell r="N405">
            <v>-387.27</v>
          </cell>
          <cell r="Q405" t="str">
            <v>2016_01</v>
          </cell>
        </row>
        <row r="406">
          <cell r="J406" t="e">
            <v>#N/A</v>
          </cell>
          <cell r="K406" t="e">
            <v>#N/A</v>
          </cell>
          <cell r="N406">
            <v>-387.27</v>
          </cell>
          <cell r="Q406" t="str">
            <v>2016_02</v>
          </cell>
        </row>
        <row r="407">
          <cell r="J407" t="e">
            <v>#N/A</v>
          </cell>
          <cell r="K407" t="e">
            <v>#N/A</v>
          </cell>
          <cell r="N407">
            <v>-387.27</v>
          </cell>
          <cell r="Q407" t="str">
            <v>2016_03</v>
          </cell>
        </row>
        <row r="408">
          <cell r="J408" t="e">
            <v>#N/A</v>
          </cell>
          <cell r="K408" t="e">
            <v>#N/A</v>
          </cell>
          <cell r="N408">
            <v>-387.27</v>
          </cell>
          <cell r="Q408" t="str">
            <v>2016_04</v>
          </cell>
        </row>
        <row r="409">
          <cell r="J409" t="e">
            <v>#N/A</v>
          </cell>
          <cell r="K409" t="e">
            <v>#N/A</v>
          </cell>
          <cell r="N409">
            <v>-387.27</v>
          </cell>
          <cell r="Q409" t="str">
            <v>2016_05</v>
          </cell>
        </row>
        <row r="410">
          <cell r="J410" t="e">
            <v>#N/A</v>
          </cell>
          <cell r="K410" t="e">
            <v>#N/A</v>
          </cell>
          <cell r="N410">
            <v>-387.27</v>
          </cell>
          <cell r="Q410" t="str">
            <v>2016_06</v>
          </cell>
        </row>
        <row r="411">
          <cell r="J411" t="e">
            <v>#N/A</v>
          </cell>
          <cell r="K411" t="e">
            <v>#N/A</v>
          </cell>
          <cell r="N411">
            <v>-387.27</v>
          </cell>
          <cell r="Q411" t="str">
            <v>2016_07</v>
          </cell>
        </row>
        <row r="412">
          <cell r="J412" t="e">
            <v>#N/A</v>
          </cell>
          <cell r="K412" t="e">
            <v>#N/A</v>
          </cell>
          <cell r="N412">
            <v>-387.27</v>
          </cell>
          <cell r="Q412" t="str">
            <v>2016_08</v>
          </cell>
        </row>
        <row r="413">
          <cell r="J413" t="e">
            <v>#N/A</v>
          </cell>
          <cell r="K413" t="e">
            <v>#N/A</v>
          </cell>
          <cell r="N413">
            <v>-387.27</v>
          </cell>
          <cell r="Q413" t="str">
            <v>2016_09</v>
          </cell>
        </row>
        <row r="414">
          <cell r="J414" t="e">
            <v>#N/A</v>
          </cell>
          <cell r="K414" t="e">
            <v>#N/A</v>
          </cell>
          <cell r="N414">
            <v>0</v>
          </cell>
          <cell r="Q414" t="str">
            <v>2015_10</v>
          </cell>
        </row>
        <row r="415">
          <cell r="J415" t="e">
            <v>#N/A</v>
          </cell>
          <cell r="K415" t="e">
            <v>#N/A</v>
          </cell>
          <cell r="N415">
            <v>0</v>
          </cell>
          <cell r="Q415" t="str">
            <v>2015_11</v>
          </cell>
        </row>
        <row r="416">
          <cell r="J416" t="e">
            <v>#N/A</v>
          </cell>
          <cell r="K416" t="e">
            <v>#N/A</v>
          </cell>
          <cell r="N416">
            <v>12034.43</v>
          </cell>
          <cell r="Q416" t="str">
            <v>2015_12</v>
          </cell>
        </row>
        <row r="417">
          <cell r="J417" t="e">
            <v>#N/A</v>
          </cell>
          <cell r="K417" t="e">
            <v>#N/A</v>
          </cell>
          <cell r="N417">
            <v>0</v>
          </cell>
          <cell r="Q417" t="str">
            <v>2016_01</v>
          </cell>
        </row>
        <row r="418">
          <cell r="J418" t="e">
            <v>#N/A</v>
          </cell>
          <cell r="K418" t="e">
            <v>#N/A</v>
          </cell>
          <cell r="N418">
            <v>0</v>
          </cell>
          <cell r="Q418" t="str">
            <v>2016_02</v>
          </cell>
        </row>
        <row r="419">
          <cell r="J419" t="e">
            <v>#N/A</v>
          </cell>
          <cell r="K419" t="e">
            <v>#N/A</v>
          </cell>
          <cell r="N419">
            <v>0</v>
          </cell>
          <cell r="Q419" t="str">
            <v>2016_03</v>
          </cell>
        </row>
        <row r="420">
          <cell r="J420" t="e">
            <v>#N/A</v>
          </cell>
          <cell r="K420" t="e">
            <v>#N/A</v>
          </cell>
          <cell r="N420">
            <v>0</v>
          </cell>
          <cell r="Q420" t="str">
            <v>2016_04</v>
          </cell>
        </row>
        <row r="421">
          <cell r="J421" t="e">
            <v>#N/A</v>
          </cell>
          <cell r="K421" t="e">
            <v>#N/A</v>
          </cell>
          <cell r="N421">
            <v>0</v>
          </cell>
          <cell r="Q421" t="str">
            <v>2016_05</v>
          </cell>
        </row>
        <row r="422">
          <cell r="J422" t="e">
            <v>#N/A</v>
          </cell>
          <cell r="K422" t="e">
            <v>#N/A</v>
          </cell>
          <cell r="N422">
            <v>0</v>
          </cell>
          <cell r="Q422" t="str">
            <v>2016_06</v>
          </cell>
        </row>
        <row r="423">
          <cell r="J423" t="e">
            <v>#N/A</v>
          </cell>
          <cell r="K423" t="e">
            <v>#N/A</v>
          </cell>
          <cell r="N423">
            <v>4590.6000000000004</v>
          </cell>
          <cell r="Q423" t="str">
            <v>2016_07</v>
          </cell>
        </row>
        <row r="424">
          <cell r="J424" t="e">
            <v>#N/A</v>
          </cell>
          <cell r="K424" t="e">
            <v>#N/A</v>
          </cell>
          <cell r="N424">
            <v>0</v>
          </cell>
          <cell r="Q424" t="str">
            <v>2016_08</v>
          </cell>
        </row>
        <row r="425">
          <cell r="J425" t="e">
            <v>#N/A</v>
          </cell>
          <cell r="K425" t="e">
            <v>#N/A</v>
          </cell>
          <cell r="N425">
            <v>0</v>
          </cell>
          <cell r="Q425" t="str">
            <v>2016_09</v>
          </cell>
        </row>
        <row r="426">
          <cell r="J426" t="e">
            <v>#N/A</v>
          </cell>
          <cell r="K426" t="e">
            <v>#N/A</v>
          </cell>
          <cell r="N426">
            <v>0</v>
          </cell>
          <cell r="Q426" t="str">
            <v>2015_10</v>
          </cell>
        </row>
        <row r="427">
          <cell r="J427" t="e">
            <v>#N/A</v>
          </cell>
          <cell r="K427" t="e">
            <v>#N/A</v>
          </cell>
          <cell r="N427">
            <v>0</v>
          </cell>
          <cell r="Q427" t="str">
            <v>2015_11</v>
          </cell>
        </row>
        <row r="428">
          <cell r="J428" t="e">
            <v>#N/A</v>
          </cell>
          <cell r="K428" t="e">
            <v>#N/A</v>
          </cell>
          <cell r="N428">
            <v>303.47000000000003</v>
          </cell>
          <cell r="Q428" t="str">
            <v>2015_12</v>
          </cell>
        </row>
        <row r="429">
          <cell r="J429" t="e">
            <v>#N/A</v>
          </cell>
          <cell r="K429" t="e">
            <v>#N/A</v>
          </cell>
          <cell r="N429">
            <v>0</v>
          </cell>
          <cell r="Q429" t="str">
            <v>2016_01</v>
          </cell>
        </row>
        <row r="430">
          <cell r="J430" t="e">
            <v>#N/A</v>
          </cell>
          <cell r="K430" t="e">
            <v>#N/A</v>
          </cell>
          <cell r="N430">
            <v>0</v>
          </cell>
          <cell r="Q430" t="str">
            <v>2016_02</v>
          </cell>
        </row>
        <row r="431">
          <cell r="J431" t="e">
            <v>#N/A</v>
          </cell>
          <cell r="K431" t="e">
            <v>#N/A</v>
          </cell>
          <cell r="N431">
            <v>0</v>
          </cell>
          <cell r="Q431" t="str">
            <v>2016_03</v>
          </cell>
        </row>
        <row r="432">
          <cell r="J432" t="e">
            <v>#N/A</v>
          </cell>
          <cell r="K432" t="e">
            <v>#N/A</v>
          </cell>
          <cell r="N432">
            <v>0</v>
          </cell>
          <cell r="Q432" t="str">
            <v>2016_04</v>
          </cell>
        </row>
        <row r="433">
          <cell r="J433" t="e">
            <v>#N/A</v>
          </cell>
          <cell r="K433" t="e">
            <v>#N/A</v>
          </cell>
          <cell r="N433">
            <v>0</v>
          </cell>
          <cell r="Q433" t="str">
            <v>2016_05</v>
          </cell>
        </row>
        <row r="434">
          <cell r="J434" t="e">
            <v>#N/A</v>
          </cell>
          <cell r="K434" t="e">
            <v>#N/A</v>
          </cell>
          <cell r="N434">
            <v>0</v>
          </cell>
          <cell r="Q434" t="str">
            <v>2016_06</v>
          </cell>
        </row>
        <row r="435">
          <cell r="J435" t="e">
            <v>#N/A</v>
          </cell>
          <cell r="K435" t="e">
            <v>#N/A</v>
          </cell>
          <cell r="N435">
            <v>0</v>
          </cell>
          <cell r="Q435" t="str">
            <v>2016_07</v>
          </cell>
        </row>
        <row r="436">
          <cell r="J436" t="e">
            <v>#N/A</v>
          </cell>
          <cell r="K436" t="e">
            <v>#N/A</v>
          </cell>
          <cell r="N436">
            <v>0</v>
          </cell>
          <cell r="Q436" t="str">
            <v>2016_08</v>
          </cell>
        </row>
        <row r="437">
          <cell r="J437" t="e">
            <v>#N/A</v>
          </cell>
          <cell r="K437" t="e">
            <v>#N/A</v>
          </cell>
          <cell r="N437">
            <v>0</v>
          </cell>
          <cell r="Q437" t="str">
            <v>2016_09</v>
          </cell>
        </row>
        <row r="438">
          <cell r="J438" t="e">
            <v>#N/A</v>
          </cell>
          <cell r="K438" t="e">
            <v>#N/A</v>
          </cell>
          <cell r="N438">
            <v>0</v>
          </cell>
          <cell r="Q438" t="str">
            <v>2015_10</v>
          </cell>
        </row>
        <row r="439">
          <cell r="J439" t="e">
            <v>#N/A</v>
          </cell>
          <cell r="K439" t="e">
            <v>#N/A</v>
          </cell>
          <cell r="N439">
            <v>0</v>
          </cell>
          <cell r="Q439" t="str">
            <v>2015_11</v>
          </cell>
        </row>
        <row r="440">
          <cell r="J440" t="e">
            <v>#N/A</v>
          </cell>
          <cell r="K440" t="e">
            <v>#N/A</v>
          </cell>
          <cell r="N440">
            <v>84.55</v>
          </cell>
          <cell r="Q440" t="str">
            <v>2015_12</v>
          </cell>
        </row>
        <row r="441">
          <cell r="J441" t="e">
            <v>#N/A</v>
          </cell>
          <cell r="K441" t="e">
            <v>#N/A</v>
          </cell>
          <cell r="N441">
            <v>0</v>
          </cell>
          <cell r="Q441" t="str">
            <v>2016_01</v>
          </cell>
        </row>
        <row r="442">
          <cell r="J442" t="e">
            <v>#N/A</v>
          </cell>
          <cell r="K442" t="e">
            <v>#N/A</v>
          </cell>
          <cell r="N442">
            <v>0</v>
          </cell>
          <cell r="Q442" t="str">
            <v>2016_02</v>
          </cell>
        </row>
        <row r="443">
          <cell r="J443" t="e">
            <v>#N/A</v>
          </cell>
          <cell r="K443" t="e">
            <v>#N/A</v>
          </cell>
          <cell r="N443">
            <v>0</v>
          </cell>
          <cell r="Q443" t="str">
            <v>2016_03</v>
          </cell>
        </row>
        <row r="444">
          <cell r="J444" t="e">
            <v>#N/A</v>
          </cell>
          <cell r="K444" t="e">
            <v>#N/A</v>
          </cell>
          <cell r="N444">
            <v>0</v>
          </cell>
          <cell r="Q444" t="str">
            <v>2016_04</v>
          </cell>
        </row>
        <row r="445">
          <cell r="J445" t="e">
            <v>#N/A</v>
          </cell>
          <cell r="K445" t="e">
            <v>#N/A</v>
          </cell>
          <cell r="N445">
            <v>0</v>
          </cell>
          <cell r="Q445" t="str">
            <v>2016_05</v>
          </cell>
        </row>
        <row r="446">
          <cell r="J446" t="e">
            <v>#N/A</v>
          </cell>
          <cell r="K446" t="e">
            <v>#N/A</v>
          </cell>
          <cell r="N446">
            <v>0</v>
          </cell>
          <cell r="Q446" t="str">
            <v>2016_06</v>
          </cell>
        </row>
        <row r="447">
          <cell r="J447" t="e">
            <v>#N/A</v>
          </cell>
          <cell r="K447" t="e">
            <v>#N/A</v>
          </cell>
          <cell r="N447">
            <v>0</v>
          </cell>
          <cell r="Q447" t="str">
            <v>2016_07</v>
          </cell>
        </row>
        <row r="448">
          <cell r="J448" t="e">
            <v>#N/A</v>
          </cell>
          <cell r="K448" t="e">
            <v>#N/A</v>
          </cell>
          <cell r="N448">
            <v>0</v>
          </cell>
          <cell r="Q448" t="str">
            <v>2016_08</v>
          </cell>
        </row>
        <row r="449">
          <cell r="J449" t="e">
            <v>#N/A</v>
          </cell>
          <cell r="K449" t="e">
            <v>#N/A</v>
          </cell>
          <cell r="N449">
            <v>0</v>
          </cell>
          <cell r="Q449" t="str">
            <v>2016_09</v>
          </cell>
        </row>
        <row r="450">
          <cell r="J450" t="e">
            <v>#N/A</v>
          </cell>
          <cell r="K450" t="e">
            <v>#N/A</v>
          </cell>
          <cell r="N450">
            <v>0</v>
          </cell>
          <cell r="Q450" t="str">
            <v>2015_10</v>
          </cell>
        </row>
        <row r="451">
          <cell r="J451" t="e">
            <v>#N/A</v>
          </cell>
          <cell r="K451" t="e">
            <v>#N/A</v>
          </cell>
          <cell r="N451">
            <v>0</v>
          </cell>
          <cell r="Q451" t="str">
            <v>2015_11</v>
          </cell>
        </row>
        <row r="452">
          <cell r="J452" t="e">
            <v>#N/A</v>
          </cell>
          <cell r="K452" t="e">
            <v>#N/A</v>
          </cell>
          <cell r="N452">
            <v>0</v>
          </cell>
          <cell r="Q452" t="str">
            <v>2015_12</v>
          </cell>
        </row>
        <row r="453">
          <cell r="J453" t="e">
            <v>#N/A</v>
          </cell>
          <cell r="K453" t="e">
            <v>#N/A</v>
          </cell>
          <cell r="N453">
            <v>0</v>
          </cell>
          <cell r="Q453" t="str">
            <v>2016_01</v>
          </cell>
        </row>
        <row r="454">
          <cell r="J454" t="e">
            <v>#N/A</v>
          </cell>
          <cell r="K454" t="e">
            <v>#N/A</v>
          </cell>
          <cell r="N454">
            <v>0</v>
          </cell>
          <cell r="Q454" t="str">
            <v>2016_02</v>
          </cell>
        </row>
        <row r="455">
          <cell r="J455" t="e">
            <v>#N/A</v>
          </cell>
          <cell r="K455" t="e">
            <v>#N/A</v>
          </cell>
          <cell r="N455">
            <v>0</v>
          </cell>
          <cell r="Q455" t="str">
            <v>2016_03</v>
          </cell>
        </row>
        <row r="456">
          <cell r="J456" t="e">
            <v>#N/A</v>
          </cell>
          <cell r="K456" t="e">
            <v>#N/A</v>
          </cell>
          <cell r="N456">
            <v>0</v>
          </cell>
          <cell r="Q456" t="str">
            <v>2016_04</v>
          </cell>
        </row>
        <row r="457">
          <cell r="J457" t="e">
            <v>#N/A</v>
          </cell>
          <cell r="K457" t="e">
            <v>#N/A</v>
          </cell>
          <cell r="N457">
            <v>0</v>
          </cell>
          <cell r="Q457" t="str">
            <v>2016_05</v>
          </cell>
        </row>
        <row r="458">
          <cell r="J458" t="e">
            <v>#N/A</v>
          </cell>
          <cell r="K458" t="e">
            <v>#N/A</v>
          </cell>
          <cell r="N458">
            <v>0</v>
          </cell>
          <cell r="Q458" t="str">
            <v>2016_06</v>
          </cell>
        </row>
        <row r="459">
          <cell r="J459" t="e">
            <v>#N/A</v>
          </cell>
          <cell r="K459" t="e">
            <v>#N/A</v>
          </cell>
          <cell r="N459">
            <v>0</v>
          </cell>
          <cell r="Q459" t="str">
            <v>2016_07</v>
          </cell>
        </row>
        <row r="460">
          <cell r="J460" t="e">
            <v>#N/A</v>
          </cell>
          <cell r="K460" t="e">
            <v>#N/A</v>
          </cell>
          <cell r="N460">
            <v>0</v>
          </cell>
          <cell r="Q460" t="str">
            <v>2016_08</v>
          </cell>
        </row>
        <row r="461">
          <cell r="J461" t="e">
            <v>#N/A</v>
          </cell>
          <cell r="K461" t="e">
            <v>#N/A</v>
          </cell>
          <cell r="N461">
            <v>0</v>
          </cell>
          <cell r="Q461" t="str">
            <v>2016_09</v>
          </cell>
        </row>
        <row r="462">
          <cell r="J462" t="e">
            <v>#N/A</v>
          </cell>
          <cell r="K462" t="e">
            <v>#N/A</v>
          </cell>
          <cell r="N462">
            <v>0</v>
          </cell>
          <cell r="Q462" t="str">
            <v>2015_10</v>
          </cell>
        </row>
        <row r="463">
          <cell r="J463" t="e">
            <v>#N/A</v>
          </cell>
          <cell r="K463" t="e">
            <v>#N/A</v>
          </cell>
          <cell r="N463">
            <v>0</v>
          </cell>
          <cell r="Q463" t="str">
            <v>2015_11</v>
          </cell>
        </row>
        <row r="464">
          <cell r="J464" t="e">
            <v>#N/A</v>
          </cell>
          <cell r="K464" t="e">
            <v>#N/A</v>
          </cell>
          <cell r="N464">
            <v>12.18</v>
          </cell>
          <cell r="Q464" t="str">
            <v>2015_12</v>
          </cell>
        </row>
        <row r="465">
          <cell r="J465" t="e">
            <v>#N/A</v>
          </cell>
          <cell r="K465" t="e">
            <v>#N/A</v>
          </cell>
          <cell r="N465">
            <v>0</v>
          </cell>
          <cell r="Q465" t="str">
            <v>2016_01</v>
          </cell>
        </row>
        <row r="466">
          <cell r="J466" t="e">
            <v>#N/A</v>
          </cell>
          <cell r="K466" t="e">
            <v>#N/A</v>
          </cell>
          <cell r="N466">
            <v>0</v>
          </cell>
          <cell r="Q466" t="str">
            <v>2016_02</v>
          </cell>
        </row>
        <row r="467">
          <cell r="J467" t="e">
            <v>#N/A</v>
          </cell>
          <cell r="K467" t="e">
            <v>#N/A</v>
          </cell>
          <cell r="N467">
            <v>0</v>
          </cell>
          <cell r="Q467" t="str">
            <v>2016_03</v>
          </cell>
        </row>
        <row r="468">
          <cell r="J468" t="e">
            <v>#N/A</v>
          </cell>
          <cell r="K468" t="e">
            <v>#N/A</v>
          </cell>
          <cell r="N468">
            <v>0</v>
          </cell>
          <cell r="Q468" t="str">
            <v>2016_04</v>
          </cell>
        </row>
        <row r="469">
          <cell r="J469" t="e">
            <v>#N/A</v>
          </cell>
          <cell r="K469" t="e">
            <v>#N/A</v>
          </cell>
          <cell r="N469">
            <v>0</v>
          </cell>
          <cell r="Q469" t="str">
            <v>2016_05</v>
          </cell>
        </row>
        <row r="470">
          <cell r="J470" t="e">
            <v>#N/A</v>
          </cell>
          <cell r="K470" t="e">
            <v>#N/A</v>
          </cell>
          <cell r="N470">
            <v>0</v>
          </cell>
          <cell r="Q470" t="str">
            <v>2016_06</v>
          </cell>
        </row>
        <row r="471">
          <cell r="J471" t="e">
            <v>#N/A</v>
          </cell>
          <cell r="K471" t="e">
            <v>#N/A</v>
          </cell>
          <cell r="N471">
            <v>0</v>
          </cell>
          <cell r="Q471" t="str">
            <v>2016_07</v>
          </cell>
        </row>
        <row r="472">
          <cell r="J472" t="e">
            <v>#N/A</v>
          </cell>
          <cell r="K472" t="e">
            <v>#N/A</v>
          </cell>
          <cell r="N472">
            <v>0</v>
          </cell>
          <cell r="Q472" t="str">
            <v>2016_08</v>
          </cell>
        </row>
        <row r="473">
          <cell r="J473" t="e">
            <v>#N/A</v>
          </cell>
          <cell r="K473" t="e">
            <v>#N/A</v>
          </cell>
          <cell r="N473">
            <v>0</v>
          </cell>
          <cell r="Q473" t="str">
            <v>2016_09</v>
          </cell>
        </row>
        <row r="474">
          <cell r="J474" t="e">
            <v>#N/A</v>
          </cell>
          <cell r="K474" t="e">
            <v>#N/A</v>
          </cell>
          <cell r="N474">
            <v>0</v>
          </cell>
          <cell r="Q474" t="str">
            <v>2015_10</v>
          </cell>
        </row>
        <row r="475">
          <cell r="J475" t="e">
            <v>#N/A</v>
          </cell>
          <cell r="K475" t="e">
            <v>#N/A</v>
          </cell>
          <cell r="N475">
            <v>0</v>
          </cell>
          <cell r="Q475" t="str">
            <v>2015_11</v>
          </cell>
        </row>
        <row r="476">
          <cell r="J476" t="e">
            <v>#N/A</v>
          </cell>
          <cell r="K476" t="e">
            <v>#N/A</v>
          </cell>
          <cell r="N476">
            <v>51.58</v>
          </cell>
          <cell r="Q476" t="str">
            <v>2015_12</v>
          </cell>
        </row>
        <row r="477">
          <cell r="J477" t="e">
            <v>#N/A</v>
          </cell>
          <cell r="K477" t="e">
            <v>#N/A</v>
          </cell>
          <cell r="N477">
            <v>0</v>
          </cell>
          <cell r="Q477" t="str">
            <v>2016_01</v>
          </cell>
        </row>
        <row r="478">
          <cell r="J478" t="e">
            <v>#N/A</v>
          </cell>
          <cell r="K478" t="e">
            <v>#N/A</v>
          </cell>
          <cell r="N478">
            <v>0</v>
          </cell>
          <cell r="Q478" t="str">
            <v>2016_02</v>
          </cell>
        </row>
        <row r="479">
          <cell r="J479" t="e">
            <v>#N/A</v>
          </cell>
          <cell r="K479" t="e">
            <v>#N/A</v>
          </cell>
          <cell r="N479">
            <v>0</v>
          </cell>
          <cell r="Q479" t="str">
            <v>2016_03</v>
          </cell>
        </row>
        <row r="480">
          <cell r="J480" t="e">
            <v>#N/A</v>
          </cell>
          <cell r="K480" t="e">
            <v>#N/A</v>
          </cell>
          <cell r="N480">
            <v>0</v>
          </cell>
          <cell r="Q480" t="str">
            <v>2016_04</v>
          </cell>
        </row>
        <row r="481">
          <cell r="J481" t="e">
            <v>#N/A</v>
          </cell>
          <cell r="K481" t="e">
            <v>#N/A</v>
          </cell>
          <cell r="N481">
            <v>0</v>
          </cell>
          <cell r="Q481" t="str">
            <v>2016_05</v>
          </cell>
        </row>
        <row r="482">
          <cell r="J482" t="e">
            <v>#N/A</v>
          </cell>
          <cell r="K482" t="e">
            <v>#N/A</v>
          </cell>
          <cell r="N482">
            <v>0</v>
          </cell>
          <cell r="Q482" t="str">
            <v>2016_06</v>
          </cell>
        </row>
        <row r="483">
          <cell r="J483" t="e">
            <v>#N/A</v>
          </cell>
          <cell r="K483" t="e">
            <v>#N/A</v>
          </cell>
          <cell r="N483">
            <v>0</v>
          </cell>
          <cell r="Q483" t="str">
            <v>2016_07</v>
          </cell>
        </row>
        <row r="484">
          <cell r="J484" t="e">
            <v>#N/A</v>
          </cell>
          <cell r="K484" t="e">
            <v>#N/A</v>
          </cell>
          <cell r="N484">
            <v>0</v>
          </cell>
          <cell r="Q484" t="str">
            <v>2016_08</v>
          </cell>
        </row>
        <row r="485">
          <cell r="J485" t="e">
            <v>#N/A</v>
          </cell>
          <cell r="K485" t="e">
            <v>#N/A</v>
          </cell>
          <cell r="N485">
            <v>0</v>
          </cell>
          <cell r="Q485" t="str">
            <v>2016_09</v>
          </cell>
        </row>
        <row r="486">
          <cell r="J486" t="e">
            <v>#N/A</v>
          </cell>
          <cell r="K486" t="e">
            <v>#N/A</v>
          </cell>
          <cell r="N486">
            <v>-23521.64</v>
          </cell>
          <cell r="Q486" t="str">
            <v>2015_10</v>
          </cell>
        </row>
        <row r="487">
          <cell r="J487" t="e">
            <v>#N/A</v>
          </cell>
          <cell r="K487" t="e">
            <v>#N/A</v>
          </cell>
          <cell r="N487">
            <v>-10859.98</v>
          </cell>
          <cell r="Q487" t="str">
            <v>2015_11</v>
          </cell>
        </row>
        <row r="488">
          <cell r="J488" t="e">
            <v>#N/A</v>
          </cell>
          <cell r="K488" t="e">
            <v>#N/A</v>
          </cell>
          <cell r="N488">
            <v>250208.07</v>
          </cell>
          <cell r="Q488" t="str">
            <v>2015_12</v>
          </cell>
        </row>
        <row r="489">
          <cell r="J489" t="e">
            <v>#N/A</v>
          </cell>
          <cell r="K489" t="e">
            <v>#N/A</v>
          </cell>
          <cell r="N489">
            <v>-200018.53</v>
          </cell>
          <cell r="Q489" t="str">
            <v>2016_01</v>
          </cell>
        </row>
        <row r="490">
          <cell r="J490" t="e">
            <v>#N/A</v>
          </cell>
          <cell r="K490" t="e">
            <v>#N/A</v>
          </cell>
          <cell r="N490">
            <v>-86472.59</v>
          </cell>
          <cell r="Q490" t="str">
            <v>2016_02</v>
          </cell>
        </row>
        <row r="491">
          <cell r="J491" t="e">
            <v>#N/A</v>
          </cell>
          <cell r="K491" t="e">
            <v>#N/A</v>
          </cell>
          <cell r="N491">
            <v>91316.25</v>
          </cell>
          <cell r="Q491" t="str">
            <v>2016_03</v>
          </cell>
        </row>
        <row r="492">
          <cell r="J492" t="e">
            <v>#N/A</v>
          </cell>
          <cell r="K492" t="e">
            <v>#N/A</v>
          </cell>
          <cell r="N492">
            <v>-36896.870000000003</v>
          </cell>
          <cell r="Q492" t="str">
            <v>2016_04</v>
          </cell>
        </row>
        <row r="493">
          <cell r="J493" t="e">
            <v>#N/A</v>
          </cell>
          <cell r="K493" t="e">
            <v>#N/A</v>
          </cell>
          <cell r="N493">
            <v>-67741.95</v>
          </cell>
          <cell r="Q493" t="str">
            <v>2016_05</v>
          </cell>
        </row>
        <row r="494">
          <cell r="J494" t="e">
            <v>#N/A</v>
          </cell>
          <cell r="K494" t="e">
            <v>#N/A</v>
          </cell>
          <cell r="N494">
            <v>-143136.16</v>
          </cell>
          <cell r="Q494" t="str">
            <v>2016_06</v>
          </cell>
        </row>
        <row r="495">
          <cell r="J495" t="e">
            <v>#N/A</v>
          </cell>
          <cell r="K495" t="e">
            <v>#N/A</v>
          </cell>
          <cell r="N495">
            <v>103157.88</v>
          </cell>
          <cell r="Q495" t="str">
            <v>2016_07</v>
          </cell>
        </row>
        <row r="496">
          <cell r="J496" t="e">
            <v>#N/A</v>
          </cell>
          <cell r="K496" t="e">
            <v>#N/A</v>
          </cell>
          <cell r="N496">
            <v>58909.3</v>
          </cell>
          <cell r="Q496" t="str">
            <v>2016_08</v>
          </cell>
        </row>
        <row r="497">
          <cell r="J497" t="e">
            <v>#N/A</v>
          </cell>
          <cell r="K497" t="e">
            <v>#N/A</v>
          </cell>
          <cell r="N497">
            <v>354757.14</v>
          </cell>
          <cell r="Q497" t="str">
            <v>2016_09</v>
          </cell>
        </row>
        <row r="498">
          <cell r="J498" t="e">
            <v>#N/A</v>
          </cell>
          <cell r="K498" t="e">
            <v>#N/A</v>
          </cell>
          <cell r="N498">
            <v>-20154.099999999999</v>
          </cell>
          <cell r="Q498" t="str">
            <v>2015_10</v>
          </cell>
        </row>
        <row r="499">
          <cell r="J499" t="e">
            <v>#N/A</v>
          </cell>
          <cell r="K499" t="e">
            <v>#N/A</v>
          </cell>
          <cell r="N499">
            <v>22183.09</v>
          </cell>
          <cell r="Q499" t="str">
            <v>2015_11</v>
          </cell>
        </row>
        <row r="500">
          <cell r="J500" t="e">
            <v>#N/A</v>
          </cell>
          <cell r="K500" t="e">
            <v>#N/A</v>
          </cell>
          <cell r="N500">
            <v>-424669.54</v>
          </cell>
          <cell r="Q500" t="str">
            <v>2015_12</v>
          </cell>
        </row>
        <row r="501">
          <cell r="J501" t="e">
            <v>#N/A</v>
          </cell>
          <cell r="K501" t="e">
            <v>#N/A</v>
          </cell>
          <cell r="N501">
            <v>466858.18</v>
          </cell>
          <cell r="Q501" t="str">
            <v>2016_01</v>
          </cell>
        </row>
        <row r="502">
          <cell r="J502" t="e">
            <v>#N/A</v>
          </cell>
          <cell r="K502" t="e">
            <v>#N/A</v>
          </cell>
          <cell r="N502">
            <v>-4481.42</v>
          </cell>
          <cell r="Q502" t="str">
            <v>2016_02</v>
          </cell>
        </row>
        <row r="503">
          <cell r="J503" t="e">
            <v>#N/A</v>
          </cell>
          <cell r="K503" t="e">
            <v>#N/A</v>
          </cell>
          <cell r="N503">
            <v>-487.5</v>
          </cell>
          <cell r="Q503" t="str">
            <v>2016_03</v>
          </cell>
        </row>
        <row r="504">
          <cell r="J504" t="e">
            <v>#N/A</v>
          </cell>
          <cell r="K504" t="e">
            <v>#N/A</v>
          </cell>
          <cell r="N504">
            <v>7352.5</v>
          </cell>
          <cell r="Q504" t="str">
            <v>2016_04</v>
          </cell>
        </row>
        <row r="505">
          <cell r="J505" t="e">
            <v>#N/A</v>
          </cell>
          <cell r="K505" t="e">
            <v>#N/A</v>
          </cell>
          <cell r="N505">
            <v>-1722.33</v>
          </cell>
          <cell r="Q505" t="str">
            <v>2016_05</v>
          </cell>
        </row>
        <row r="506">
          <cell r="J506" t="e">
            <v>#N/A</v>
          </cell>
          <cell r="K506" t="e">
            <v>#N/A</v>
          </cell>
          <cell r="N506">
            <v>-10721.01</v>
          </cell>
          <cell r="Q506" t="str">
            <v>2016_06</v>
          </cell>
        </row>
        <row r="507">
          <cell r="J507" t="e">
            <v>#N/A</v>
          </cell>
          <cell r="K507" t="e">
            <v>#N/A</v>
          </cell>
          <cell r="N507">
            <v>8098.8</v>
          </cell>
          <cell r="Q507" t="str">
            <v>2016_07</v>
          </cell>
        </row>
        <row r="508">
          <cell r="J508" t="e">
            <v>#N/A</v>
          </cell>
          <cell r="K508" t="e">
            <v>#N/A</v>
          </cell>
          <cell r="N508">
            <v>-2551.94</v>
          </cell>
          <cell r="Q508" t="str">
            <v>2016_08</v>
          </cell>
        </row>
        <row r="509">
          <cell r="J509" t="e">
            <v>#N/A</v>
          </cell>
          <cell r="K509" t="e">
            <v>#N/A</v>
          </cell>
          <cell r="N509">
            <v>-382686.7</v>
          </cell>
          <cell r="Q509" t="str">
            <v>2016_09</v>
          </cell>
        </row>
        <row r="510">
          <cell r="J510" t="e">
            <v>#N/A</v>
          </cell>
          <cell r="K510" t="e">
            <v>#N/A</v>
          </cell>
          <cell r="N510">
            <v>-2971.47</v>
          </cell>
          <cell r="Q510" t="str">
            <v>2016_01</v>
          </cell>
        </row>
        <row r="511">
          <cell r="J511" t="e">
            <v>#N/A</v>
          </cell>
          <cell r="K511" t="e">
            <v>#N/A</v>
          </cell>
          <cell r="N511">
            <v>-10374.99</v>
          </cell>
          <cell r="Q511" t="str">
            <v>2016_02</v>
          </cell>
        </row>
        <row r="512">
          <cell r="J512" t="e">
            <v>#N/A</v>
          </cell>
          <cell r="K512" t="e">
            <v>#N/A</v>
          </cell>
          <cell r="N512">
            <v>-31599.599999999999</v>
          </cell>
          <cell r="Q512" t="str">
            <v>2016_03</v>
          </cell>
        </row>
        <row r="513">
          <cell r="J513" t="e">
            <v>#N/A</v>
          </cell>
          <cell r="K513" t="e">
            <v>#N/A</v>
          </cell>
          <cell r="N513">
            <v>108618.75</v>
          </cell>
          <cell r="Q513" t="str">
            <v>2016_04</v>
          </cell>
        </row>
        <row r="514">
          <cell r="J514" t="e">
            <v>#N/A</v>
          </cell>
          <cell r="K514" t="e">
            <v>#N/A</v>
          </cell>
          <cell r="N514">
            <v>-14834</v>
          </cell>
          <cell r="Q514" t="str">
            <v>2016_05</v>
          </cell>
        </row>
        <row r="515">
          <cell r="J515" t="e">
            <v>#N/A</v>
          </cell>
          <cell r="K515" t="e">
            <v>#N/A</v>
          </cell>
          <cell r="N515">
            <v>-22537.119999999999</v>
          </cell>
          <cell r="Q515" t="str">
            <v>2016_06</v>
          </cell>
        </row>
        <row r="516">
          <cell r="J516" t="e">
            <v>#N/A</v>
          </cell>
          <cell r="K516" t="e">
            <v>#N/A</v>
          </cell>
          <cell r="N516">
            <v>-3439.19</v>
          </cell>
          <cell r="Q516" t="str">
            <v>2016_07</v>
          </cell>
        </row>
        <row r="517">
          <cell r="J517" t="e">
            <v>#N/A</v>
          </cell>
          <cell r="K517" t="e">
            <v>#N/A</v>
          </cell>
          <cell r="N517">
            <v>-25918.89</v>
          </cell>
          <cell r="Q517" t="str">
            <v>2016_08</v>
          </cell>
        </row>
        <row r="518">
          <cell r="J518" t="e">
            <v>#N/A</v>
          </cell>
          <cell r="K518" t="e">
            <v>#N/A</v>
          </cell>
          <cell r="N518">
            <v>77097.63</v>
          </cell>
          <cell r="Q518" t="str">
            <v>2016_09</v>
          </cell>
        </row>
        <row r="519">
          <cell r="J519" t="e">
            <v>#N/A</v>
          </cell>
          <cell r="K519" t="e">
            <v>#N/A</v>
          </cell>
          <cell r="N519">
            <v>0</v>
          </cell>
          <cell r="Q519" t="str">
            <v>2015_10</v>
          </cell>
        </row>
        <row r="520">
          <cell r="J520" t="e">
            <v>#N/A</v>
          </cell>
          <cell r="K520" t="e">
            <v>#N/A</v>
          </cell>
          <cell r="N520">
            <v>0</v>
          </cell>
          <cell r="Q520" t="str">
            <v>2015_11</v>
          </cell>
        </row>
        <row r="521">
          <cell r="J521" t="e">
            <v>#N/A</v>
          </cell>
          <cell r="K521" t="e">
            <v>#N/A</v>
          </cell>
          <cell r="N521">
            <v>-24804.16</v>
          </cell>
          <cell r="Q521" t="str">
            <v>2015_12</v>
          </cell>
        </row>
        <row r="522">
          <cell r="J522" t="e">
            <v>#N/A</v>
          </cell>
          <cell r="K522" t="e">
            <v>#N/A</v>
          </cell>
          <cell r="N522">
            <v>-19037.23</v>
          </cell>
          <cell r="Q522" t="str">
            <v>2016_01</v>
          </cell>
        </row>
        <row r="523">
          <cell r="J523" t="e">
            <v>#N/A</v>
          </cell>
          <cell r="K523" t="e">
            <v>#N/A</v>
          </cell>
          <cell r="N523">
            <v>-15764.98</v>
          </cell>
          <cell r="Q523" t="str">
            <v>2016_02</v>
          </cell>
        </row>
        <row r="524">
          <cell r="J524" t="e">
            <v>#N/A</v>
          </cell>
          <cell r="K524" t="e">
            <v>#N/A</v>
          </cell>
          <cell r="N524">
            <v>54772.61</v>
          </cell>
          <cell r="Q524" t="str">
            <v>2016_03</v>
          </cell>
        </row>
        <row r="525">
          <cell r="J525" t="e">
            <v>#N/A</v>
          </cell>
          <cell r="K525" t="e">
            <v>#N/A</v>
          </cell>
          <cell r="N525">
            <v>25913.82</v>
          </cell>
          <cell r="Q525" t="str">
            <v>2016_04</v>
          </cell>
        </row>
        <row r="526">
          <cell r="J526" t="e">
            <v>#N/A</v>
          </cell>
          <cell r="K526" t="e">
            <v>#N/A</v>
          </cell>
          <cell r="N526">
            <v>-5595.36</v>
          </cell>
          <cell r="Q526" t="str">
            <v>2016_05</v>
          </cell>
        </row>
        <row r="527">
          <cell r="J527" t="e">
            <v>#N/A</v>
          </cell>
          <cell r="K527" t="e">
            <v>#N/A</v>
          </cell>
          <cell r="N527">
            <v>14752.55</v>
          </cell>
          <cell r="Q527" t="str">
            <v>2016_06</v>
          </cell>
        </row>
        <row r="528">
          <cell r="J528" t="e">
            <v>#N/A</v>
          </cell>
          <cell r="K528" t="e">
            <v>#N/A</v>
          </cell>
          <cell r="N528">
            <v>-51473.69</v>
          </cell>
          <cell r="Q528" t="str">
            <v>2016_07</v>
          </cell>
        </row>
        <row r="529">
          <cell r="J529" t="e">
            <v>#N/A</v>
          </cell>
          <cell r="K529" t="e">
            <v>#N/A</v>
          </cell>
          <cell r="N529">
            <v>82034</v>
          </cell>
          <cell r="Q529" t="str">
            <v>2016_08</v>
          </cell>
        </row>
        <row r="530">
          <cell r="J530" t="e">
            <v>#N/A</v>
          </cell>
          <cell r="K530" t="e">
            <v>#N/A</v>
          </cell>
          <cell r="N530">
            <v>40928.879999999997</v>
          </cell>
          <cell r="Q530" t="str">
            <v>2016_09</v>
          </cell>
        </row>
        <row r="531">
          <cell r="J531" t="e">
            <v>#N/A</v>
          </cell>
          <cell r="K531" t="e">
            <v>#N/A</v>
          </cell>
          <cell r="N531">
            <v>0</v>
          </cell>
          <cell r="Q531" t="str">
            <v>2015_10</v>
          </cell>
        </row>
        <row r="532">
          <cell r="J532" t="e">
            <v>#N/A</v>
          </cell>
          <cell r="K532" t="e">
            <v>#N/A</v>
          </cell>
          <cell r="N532">
            <v>0</v>
          </cell>
          <cell r="Q532" t="str">
            <v>2015_11</v>
          </cell>
        </row>
        <row r="533">
          <cell r="J533" t="e">
            <v>#N/A</v>
          </cell>
          <cell r="K533" t="e">
            <v>#N/A</v>
          </cell>
          <cell r="N533">
            <v>526.34</v>
          </cell>
          <cell r="Q533" t="str">
            <v>2015_12</v>
          </cell>
        </row>
        <row r="534">
          <cell r="J534" t="e">
            <v>#N/A</v>
          </cell>
          <cell r="K534" t="e">
            <v>#N/A</v>
          </cell>
          <cell r="N534">
            <v>13728.07</v>
          </cell>
          <cell r="Q534" t="str">
            <v>2016_01</v>
          </cell>
        </row>
        <row r="535">
          <cell r="J535" t="e">
            <v>#N/A</v>
          </cell>
          <cell r="K535" t="e">
            <v>#N/A</v>
          </cell>
          <cell r="N535">
            <v>-10115.280000000001</v>
          </cell>
          <cell r="Q535" t="str">
            <v>2016_02</v>
          </cell>
        </row>
        <row r="536">
          <cell r="J536" t="e">
            <v>#N/A</v>
          </cell>
          <cell r="K536" t="e">
            <v>#N/A</v>
          </cell>
          <cell r="N536">
            <v>-9213.0400000000009</v>
          </cell>
          <cell r="Q536" t="str">
            <v>2016_03</v>
          </cell>
        </row>
        <row r="537">
          <cell r="J537" t="e">
            <v>#N/A</v>
          </cell>
          <cell r="K537" t="e">
            <v>#N/A</v>
          </cell>
          <cell r="N537">
            <v>-1803.37</v>
          </cell>
          <cell r="Q537" t="str">
            <v>2016_04</v>
          </cell>
        </row>
        <row r="538">
          <cell r="J538" t="e">
            <v>#N/A</v>
          </cell>
          <cell r="K538" t="e">
            <v>#N/A</v>
          </cell>
          <cell r="N538">
            <v>-8271.2900000000009</v>
          </cell>
          <cell r="Q538" t="str">
            <v>2016_05</v>
          </cell>
        </row>
        <row r="539">
          <cell r="J539" t="e">
            <v>#N/A</v>
          </cell>
          <cell r="K539" t="e">
            <v>#N/A</v>
          </cell>
          <cell r="N539">
            <v>4399.8999999999996</v>
          </cell>
          <cell r="Q539" t="str">
            <v>2016_06</v>
          </cell>
        </row>
        <row r="540">
          <cell r="J540" t="e">
            <v>#N/A</v>
          </cell>
          <cell r="K540" t="e">
            <v>#N/A</v>
          </cell>
          <cell r="N540">
            <v>3835.62</v>
          </cell>
          <cell r="Q540" t="str">
            <v>2016_07</v>
          </cell>
        </row>
        <row r="541">
          <cell r="J541" t="e">
            <v>#N/A</v>
          </cell>
          <cell r="K541" t="e">
            <v>#N/A</v>
          </cell>
          <cell r="N541">
            <v>-4091.8</v>
          </cell>
          <cell r="Q541" t="str">
            <v>2016_08</v>
          </cell>
        </row>
        <row r="542">
          <cell r="J542" t="e">
            <v>#N/A</v>
          </cell>
          <cell r="K542" t="e">
            <v>#N/A</v>
          </cell>
          <cell r="N542">
            <v>6270.92</v>
          </cell>
          <cell r="Q542" t="str">
            <v>2016_09</v>
          </cell>
        </row>
        <row r="543">
          <cell r="J543" t="e">
            <v>#N/A</v>
          </cell>
          <cell r="K543" t="e">
            <v>#N/A</v>
          </cell>
          <cell r="N543">
            <v>-56148.07</v>
          </cell>
          <cell r="Q543" t="str">
            <v>2016_01</v>
          </cell>
        </row>
        <row r="544">
          <cell r="J544" t="e">
            <v>#N/A</v>
          </cell>
          <cell r="K544" t="e">
            <v>#N/A</v>
          </cell>
          <cell r="N544">
            <v>-85.23</v>
          </cell>
          <cell r="Q544" t="str">
            <v>2016_02</v>
          </cell>
        </row>
        <row r="545">
          <cell r="J545" t="e">
            <v>#N/A</v>
          </cell>
          <cell r="K545" t="e">
            <v>#N/A</v>
          </cell>
          <cell r="N545">
            <v>-3996.01</v>
          </cell>
          <cell r="Q545" t="str">
            <v>2016_03</v>
          </cell>
        </row>
        <row r="546">
          <cell r="J546" t="e">
            <v>#N/A</v>
          </cell>
          <cell r="K546" t="e">
            <v>#N/A</v>
          </cell>
          <cell r="N546">
            <v>2639.01</v>
          </cell>
          <cell r="Q546" t="str">
            <v>2016_04</v>
          </cell>
        </row>
        <row r="547">
          <cell r="J547" t="e">
            <v>#N/A</v>
          </cell>
          <cell r="K547" t="e">
            <v>#N/A</v>
          </cell>
          <cell r="N547">
            <v>-1064.8900000000001</v>
          </cell>
          <cell r="Q547" t="str">
            <v>2016_05</v>
          </cell>
        </row>
        <row r="548">
          <cell r="J548" t="e">
            <v>#N/A</v>
          </cell>
          <cell r="K548" t="e">
            <v>#N/A</v>
          </cell>
          <cell r="N548">
            <v>473.29</v>
          </cell>
          <cell r="Q548" t="str">
            <v>2016_06</v>
          </cell>
        </row>
        <row r="549">
          <cell r="J549" t="e">
            <v>#N/A</v>
          </cell>
          <cell r="K549" t="e">
            <v>#N/A</v>
          </cell>
          <cell r="N549">
            <v>-1810.28</v>
          </cell>
          <cell r="Q549" t="str">
            <v>2016_07</v>
          </cell>
        </row>
        <row r="550">
          <cell r="J550" t="e">
            <v>#N/A</v>
          </cell>
          <cell r="K550" t="e">
            <v>#N/A</v>
          </cell>
          <cell r="N550">
            <v>-1835.96</v>
          </cell>
          <cell r="Q550" t="str">
            <v>2016_08</v>
          </cell>
        </row>
        <row r="551">
          <cell r="J551" t="e">
            <v>#N/A</v>
          </cell>
          <cell r="K551" t="e">
            <v>#N/A</v>
          </cell>
          <cell r="N551">
            <v>2252.54</v>
          </cell>
          <cell r="Q551" t="str">
            <v>2016_09</v>
          </cell>
        </row>
        <row r="552">
          <cell r="J552" t="e">
            <v>#N/A</v>
          </cell>
          <cell r="K552" t="e">
            <v>#N/A</v>
          </cell>
          <cell r="N552">
            <v>-41.22</v>
          </cell>
          <cell r="Q552" t="str">
            <v>2015_10</v>
          </cell>
        </row>
        <row r="553">
          <cell r="J553" t="e">
            <v>#N/A</v>
          </cell>
          <cell r="K553" t="e">
            <v>#N/A</v>
          </cell>
          <cell r="N553">
            <v>72.010000000000005</v>
          </cell>
          <cell r="Q553" t="str">
            <v>2015_11</v>
          </cell>
        </row>
        <row r="554">
          <cell r="J554" t="e">
            <v>#N/A</v>
          </cell>
          <cell r="K554" t="e">
            <v>#N/A</v>
          </cell>
          <cell r="N554">
            <v>-47.51</v>
          </cell>
          <cell r="Q554" t="str">
            <v>2015_12</v>
          </cell>
        </row>
        <row r="555">
          <cell r="J555" t="e">
            <v>#N/A</v>
          </cell>
          <cell r="K555" t="e">
            <v>#N/A</v>
          </cell>
          <cell r="N555">
            <v>41.19</v>
          </cell>
          <cell r="Q555" t="str">
            <v>2016_01</v>
          </cell>
        </row>
        <row r="556">
          <cell r="J556" t="e">
            <v>#N/A</v>
          </cell>
          <cell r="K556" t="e">
            <v>#N/A</v>
          </cell>
          <cell r="N556">
            <v>-28.08</v>
          </cell>
          <cell r="Q556" t="str">
            <v>2016_02</v>
          </cell>
        </row>
        <row r="557">
          <cell r="J557" t="e">
            <v>#N/A</v>
          </cell>
          <cell r="K557" t="e">
            <v>#N/A</v>
          </cell>
          <cell r="N557">
            <v>37.42</v>
          </cell>
          <cell r="Q557" t="str">
            <v>2016_03</v>
          </cell>
        </row>
        <row r="558">
          <cell r="J558" t="e">
            <v>#N/A</v>
          </cell>
          <cell r="K558" t="e">
            <v>#N/A</v>
          </cell>
          <cell r="N558">
            <v>-40.270000000000003</v>
          </cell>
          <cell r="Q558" t="str">
            <v>2016_04</v>
          </cell>
        </row>
        <row r="559">
          <cell r="J559" t="e">
            <v>#N/A</v>
          </cell>
          <cell r="K559" t="e">
            <v>#N/A</v>
          </cell>
          <cell r="N559">
            <v>37.78</v>
          </cell>
          <cell r="Q559" t="str">
            <v>2016_05</v>
          </cell>
        </row>
        <row r="560">
          <cell r="J560" t="e">
            <v>#N/A</v>
          </cell>
          <cell r="K560" t="e">
            <v>#N/A</v>
          </cell>
          <cell r="N560">
            <v>-46.9</v>
          </cell>
          <cell r="Q560" t="str">
            <v>2016_06</v>
          </cell>
        </row>
        <row r="561">
          <cell r="J561" t="e">
            <v>#N/A</v>
          </cell>
          <cell r="K561" t="e">
            <v>#N/A</v>
          </cell>
          <cell r="N561">
            <v>52.26</v>
          </cell>
          <cell r="Q561" t="str">
            <v>2016_07</v>
          </cell>
        </row>
        <row r="562">
          <cell r="J562" t="e">
            <v>#N/A</v>
          </cell>
          <cell r="K562" t="e">
            <v>#N/A</v>
          </cell>
          <cell r="N562">
            <v>-48.32</v>
          </cell>
          <cell r="Q562" t="str">
            <v>2016_08</v>
          </cell>
        </row>
        <row r="563">
          <cell r="J563" t="e">
            <v>#N/A</v>
          </cell>
          <cell r="K563" t="e">
            <v>#N/A</v>
          </cell>
          <cell r="N563">
            <v>49.6</v>
          </cell>
          <cell r="Q563" t="str">
            <v>2016_09</v>
          </cell>
        </row>
        <row r="564">
          <cell r="J564" t="e">
            <v>#N/A</v>
          </cell>
          <cell r="K564" t="e">
            <v>#N/A</v>
          </cell>
          <cell r="N564">
            <v>3911.45</v>
          </cell>
          <cell r="Q564" t="str">
            <v>2015_10</v>
          </cell>
        </row>
        <row r="565">
          <cell r="J565" t="e">
            <v>#N/A</v>
          </cell>
          <cell r="K565" t="e">
            <v>#N/A</v>
          </cell>
          <cell r="N565">
            <v>-637.79999999999995</v>
          </cell>
          <cell r="Q565" t="str">
            <v>2015_11</v>
          </cell>
        </row>
        <row r="566">
          <cell r="J566" t="e">
            <v>#N/A</v>
          </cell>
          <cell r="K566" t="e">
            <v>#N/A</v>
          </cell>
          <cell r="N566">
            <v>-684</v>
          </cell>
          <cell r="Q566" t="str">
            <v>2015_12</v>
          </cell>
        </row>
        <row r="567">
          <cell r="J567" t="e">
            <v>#N/A</v>
          </cell>
          <cell r="K567" t="e">
            <v>#N/A</v>
          </cell>
          <cell r="N567">
            <v>-1772.75</v>
          </cell>
          <cell r="Q567" t="str">
            <v>2016_01</v>
          </cell>
        </row>
        <row r="568">
          <cell r="J568" t="e">
            <v>#N/A</v>
          </cell>
          <cell r="K568" t="e">
            <v>#N/A</v>
          </cell>
          <cell r="N568">
            <v>-2170.34</v>
          </cell>
          <cell r="Q568" t="str">
            <v>2016_02</v>
          </cell>
        </row>
        <row r="569">
          <cell r="J569" t="e">
            <v>#N/A</v>
          </cell>
          <cell r="K569" t="e">
            <v>#N/A</v>
          </cell>
          <cell r="N569">
            <v>-1922.59</v>
          </cell>
          <cell r="Q569" t="str">
            <v>2016_03</v>
          </cell>
        </row>
        <row r="570">
          <cell r="J570" t="e">
            <v>#N/A</v>
          </cell>
          <cell r="K570" t="e">
            <v>#N/A</v>
          </cell>
          <cell r="N570">
            <v>3222.71</v>
          </cell>
          <cell r="Q570" t="str">
            <v>2016_04</v>
          </cell>
        </row>
        <row r="571">
          <cell r="J571" t="e">
            <v>#N/A</v>
          </cell>
          <cell r="K571" t="e">
            <v>#N/A</v>
          </cell>
          <cell r="N571">
            <v>-1891.56</v>
          </cell>
          <cell r="Q571" t="str">
            <v>2016_05</v>
          </cell>
        </row>
        <row r="572">
          <cell r="J572" t="e">
            <v>#N/A</v>
          </cell>
          <cell r="K572" t="e">
            <v>#N/A</v>
          </cell>
          <cell r="N572">
            <v>-1967.49</v>
          </cell>
          <cell r="Q572" t="str">
            <v>2016_06</v>
          </cell>
        </row>
        <row r="573">
          <cell r="J573" t="e">
            <v>#N/A</v>
          </cell>
          <cell r="K573" t="e">
            <v>#N/A</v>
          </cell>
          <cell r="N573">
            <v>3732.24</v>
          </cell>
          <cell r="Q573" t="str">
            <v>2016_07</v>
          </cell>
        </row>
        <row r="574">
          <cell r="J574" t="e">
            <v>#N/A</v>
          </cell>
          <cell r="K574" t="e">
            <v>#N/A</v>
          </cell>
          <cell r="N574">
            <v>-2007.4</v>
          </cell>
          <cell r="Q574" t="str">
            <v>2016_08</v>
          </cell>
        </row>
        <row r="575">
          <cell r="J575" t="e">
            <v>#N/A</v>
          </cell>
          <cell r="K575" t="e">
            <v>#N/A</v>
          </cell>
          <cell r="N575">
            <v>-1990.06</v>
          </cell>
          <cell r="Q575" t="str">
            <v>2016_09</v>
          </cell>
        </row>
        <row r="576">
          <cell r="J576" t="e">
            <v>#N/A</v>
          </cell>
          <cell r="K576" t="e">
            <v>#N/A</v>
          </cell>
          <cell r="N576">
            <v>9462.23</v>
          </cell>
          <cell r="Q576" t="str">
            <v>2015_10</v>
          </cell>
        </row>
        <row r="577">
          <cell r="J577" t="e">
            <v>#N/A</v>
          </cell>
          <cell r="K577" t="e">
            <v>#N/A</v>
          </cell>
          <cell r="N577">
            <v>-4697.41</v>
          </cell>
          <cell r="Q577" t="str">
            <v>2015_11</v>
          </cell>
        </row>
        <row r="578">
          <cell r="J578" t="e">
            <v>#N/A</v>
          </cell>
          <cell r="K578" t="e">
            <v>#N/A</v>
          </cell>
          <cell r="N578">
            <v>-6252.61</v>
          </cell>
          <cell r="Q578" t="str">
            <v>2015_12</v>
          </cell>
        </row>
        <row r="579">
          <cell r="J579" t="e">
            <v>#N/A</v>
          </cell>
          <cell r="K579" t="e">
            <v>#N/A</v>
          </cell>
          <cell r="N579">
            <v>12200.09</v>
          </cell>
          <cell r="Q579" t="str">
            <v>2016_01</v>
          </cell>
        </row>
        <row r="580">
          <cell r="J580" t="e">
            <v>#N/A</v>
          </cell>
          <cell r="K580" t="e">
            <v>#N/A</v>
          </cell>
          <cell r="N580">
            <v>-2164.39</v>
          </cell>
          <cell r="Q580" t="str">
            <v>2016_02</v>
          </cell>
        </row>
        <row r="581">
          <cell r="J581" t="e">
            <v>#N/A</v>
          </cell>
          <cell r="K581" t="e">
            <v>#N/A</v>
          </cell>
          <cell r="N581">
            <v>-4402.6499999999996</v>
          </cell>
          <cell r="Q581" t="str">
            <v>2016_03</v>
          </cell>
        </row>
        <row r="582">
          <cell r="J582" t="e">
            <v>#N/A</v>
          </cell>
          <cell r="K582" t="e">
            <v>#N/A</v>
          </cell>
          <cell r="N582">
            <v>6407.37</v>
          </cell>
          <cell r="Q582" t="str">
            <v>2016_04</v>
          </cell>
        </row>
        <row r="583">
          <cell r="J583" t="e">
            <v>#N/A</v>
          </cell>
          <cell r="K583" t="e">
            <v>#N/A</v>
          </cell>
          <cell r="N583">
            <v>-4588.68</v>
          </cell>
          <cell r="Q583" t="str">
            <v>2016_05</v>
          </cell>
        </row>
        <row r="584">
          <cell r="J584" t="e">
            <v>#N/A</v>
          </cell>
          <cell r="K584" t="e">
            <v>#N/A</v>
          </cell>
          <cell r="N584">
            <v>-4496.6000000000004</v>
          </cell>
          <cell r="Q584" t="str">
            <v>2016_06</v>
          </cell>
        </row>
        <row r="585">
          <cell r="J585" t="e">
            <v>#N/A</v>
          </cell>
          <cell r="K585" t="e">
            <v>#N/A</v>
          </cell>
          <cell r="N585">
            <v>9061.4500000000007</v>
          </cell>
          <cell r="Q585" t="str">
            <v>2016_07</v>
          </cell>
        </row>
        <row r="586">
          <cell r="J586" t="e">
            <v>#N/A</v>
          </cell>
          <cell r="K586" t="e">
            <v>#N/A</v>
          </cell>
          <cell r="N586">
            <v>-4430.6499999999996</v>
          </cell>
          <cell r="Q586" t="str">
            <v>2016_08</v>
          </cell>
        </row>
        <row r="587">
          <cell r="J587" t="e">
            <v>#N/A</v>
          </cell>
          <cell r="K587" t="e">
            <v>#N/A</v>
          </cell>
          <cell r="N587">
            <v>-4509.34</v>
          </cell>
          <cell r="Q587" t="str">
            <v>2016_09</v>
          </cell>
        </row>
        <row r="588">
          <cell r="J588" t="e">
            <v>#N/A</v>
          </cell>
          <cell r="K588" t="e">
            <v>#N/A</v>
          </cell>
          <cell r="N588">
            <v>7047.6</v>
          </cell>
          <cell r="Q588" t="str">
            <v>2015_10</v>
          </cell>
        </row>
        <row r="589">
          <cell r="J589" t="e">
            <v>#N/A</v>
          </cell>
          <cell r="K589" t="e">
            <v>#N/A</v>
          </cell>
          <cell r="N589">
            <v>-2871.97</v>
          </cell>
          <cell r="Q589" t="str">
            <v>2015_11</v>
          </cell>
        </row>
        <row r="590">
          <cell r="J590" t="e">
            <v>#N/A</v>
          </cell>
          <cell r="K590" t="e">
            <v>#N/A</v>
          </cell>
          <cell r="N590">
            <v>-3430.79</v>
          </cell>
          <cell r="Q590" t="str">
            <v>2015_12</v>
          </cell>
        </row>
        <row r="591">
          <cell r="J591" t="e">
            <v>#N/A</v>
          </cell>
          <cell r="K591" t="e">
            <v>#N/A</v>
          </cell>
          <cell r="N591">
            <v>6867.27</v>
          </cell>
          <cell r="Q591" t="str">
            <v>2016_01</v>
          </cell>
        </row>
        <row r="592">
          <cell r="J592" t="e">
            <v>#N/A</v>
          </cell>
          <cell r="K592" t="e">
            <v>#N/A</v>
          </cell>
          <cell r="N592">
            <v>-2431.4499999999998</v>
          </cell>
          <cell r="Q592" t="str">
            <v>2016_02</v>
          </cell>
        </row>
        <row r="593">
          <cell r="J593" t="e">
            <v>#N/A</v>
          </cell>
          <cell r="K593" t="e">
            <v>#N/A</v>
          </cell>
          <cell r="N593">
            <v>-2758.44</v>
          </cell>
          <cell r="Q593" t="str">
            <v>2016_03</v>
          </cell>
        </row>
        <row r="594">
          <cell r="J594" t="e">
            <v>#N/A</v>
          </cell>
          <cell r="K594" t="e">
            <v>#N/A</v>
          </cell>
          <cell r="N594">
            <v>5194.66</v>
          </cell>
          <cell r="Q594" t="str">
            <v>2016_04</v>
          </cell>
        </row>
        <row r="595">
          <cell r="J595" t="e">
            <v>#N/A</v>
          </cell>
          <cell r="K595" t="e">
            <v>#N/A</v>
          </cell>
          <cell r="N595">
            <v>-2899.62</v>
          </cell>
          <cell r="Q595" t="str">
            <v>2016_05</v>
          </cell>
        </row>
        <row r="596">
          <cell r="J596" t="e">
            <v>#N/A</v>
          </cell>
          <cell r="K596" t="e">
            <v>#N/A</v>
          </cell>
          <cell r="N596">
            <v>-2201.29</v>
          </cell>
          <cell r="Q596" t="str">
            <v>2016_06</v>
          </cell>
        </row>
        <row r="597">
          <cell r="J597" t="e">
            <v>#N/A</v>
          </cell>
          <cell r="K597" t="e">
            <v>#N/A</v>
          </cell>
          <cell r="N597">
            <v>5431.87</v>
          </cell>
          <cell r="Q597" t="str">
            <v>2016_07</v>
          </cell>
        </row>
        <row r="598">
          <cell r="J598" t="e">
            <v>#N/A</v>
          </cell>
          <cell r="K598" t="e">
            <v>#N/A</v>
          </cell>
          <cell r="N598">
            <v>-2900.46</v>
          </cell>
          <cell r="Q598" t="str">
            <v>2016_08</v>
          </cell>
        </row>
        <row r="599">
          <cell r="J599" t="e">
            <v>#N/A</v>
          </cell>
          <cell r="K599" t="e">
            <v>#N/A</v>
          </cell>
          <cell r="N599">
            <v>-2869.38</v>
          </cell>
          <cell r="Q599" t="str">
            <v>2016_09</v>
          </cell>
        </row>
        <row r="600">
          <cell r="J600" t="e">
            <v>#N/A</v>
          </cell>
          <cell r="K600" t="e">
            <v>#N/A</v>
          </cell>
          <cell r="N600">
            <v>2586.5100000000002</v>
          </cell>
          <cell r="Q600" t="str">
            <v>2015_10</v>
          </cell>
        </row>
        <row r="601">
          <cell r="J601" t="e">
            <v>#N/A</v>
          </cell>
          <cell r="K601" t="e">
            <v>#N/A</v>
          </cell>
          <cell r="N601">
            <v>-17676.259999999998</v>
          </cell>
          <cell r="Q601" t="str">
            <v>2015_11</v>
          </cell>
        </row>
        <row r="602">
          <cell r="J602" t="e">
            <v>#N/A</v>
          </cell>
          <cell r="K602" t="e">
            <v>#N/A</v>
          </cell>
          <cell r="N602">
            <v>18680.59</v>
          </cell>
          <cell r="Q602" t="str">
            <v>2015_12</v>
          </cell>
        </row>
        <row r="603">
          <cell r="J603" t="e">
            <v>#N/A</v>
          </cell>
          <cell r="K603" t="e">
            <v>#N/A</v>
          </cell>
          <cell r="N603">
            <v>-2551.7399999999998</v>
          </cell>
          <cell r="Q603" t="str">
            <v>2016_01</v>
          </cell>
        </row>
        <row r="604">
          <cell r="J604" t="e">
            <v>#N/A</v>
          </cell>
          <cell r="K604" t="e">
            <v>#N/A</v>
          </cell>
          <cell r="N604">
            <v>4507.3</v>
          </cell>
          <cell r="Q604" t="str">
            <v>2016_02</v>
          </cell>
        </row>
        <row r="605">
          <cell r="J605" t="e">
            <v>#N/A</v>
          </cell>
          <cell r="K605" t="e">
            <v>#N/A</v>
          </cell>
          <cell r="N605">
            <v>-7247.41</v>
          </cell>
          <cell r="Q605" t="str">
            <v>2016_03</v>
          </cell>
        </row>
        <row r="606">
          <cell r="J606" t="e">
            <v>#N/A</v>
          </cell>
          <cell r="K606" t="e">
            <v>#N/A</v>
          </cell>
          <cell r="N606">
            <v>1993.71</v>
          </cell>
          <cell r="Q606" t="str">
            <v>2016_04</v>
          </cell>
        </row>
        <row r="607">
          <cell r="J607" t="e">
            <v>#N/A</v>
          </cell>
          <cell r="K607" t="e">
            <v>#N/A</v>
          </cell>
          <cell r="N607">
            <v>-2055.19</v>
          </cell>
          <cell r="Q607" t="str">
            <v>2016_05</v>
          </cell>
        </row>
        <row r="608">
          <cell r="J608" t="e">
            <v>#N/A</v>
          </cell>
          <cell r="K608" t="e">
            <v>#N/A</v>
          </cell>
          <cell r="N608">
            <v>30.96</v>
          </cell>
          <cell r="Q608" t="str">
            <v>2016_06</v>
          </cell>
        </row>
        <row r="609">
          <cell r="J609" t="e">
            <v>#N/A</v>
          </cell>
          <cell r="K609" t="e">
            <v>#N/A</v>
          </cell>
          <cell r="N609">
            <v>215.26</v>
          </cell>
          <cell r="Q609" t="str">
            <v>2016_07</v>
          </cell>
        </row>
        <row r="610">
          <cell r="J610" t="e">
            <v>#N/A</v>
          </cell>
          <cell r="K610" t="e">
            <v>#N/A</v>
          </cell>
          <cell r="N610">
            <v>-2723</v>
          </cell>
          <cell r="Q610" t="str">
            <v>2016_08</v>
          </cell>
        </row>
        <row r="611">
          <cell r="J611" t="e">
            <v>#N/A</v>
          </cell>
          <cell r="K611" t="e">
            <v>#N/A</v>
          </cell>
          <cell r="N611">
            <v>2207.35</v>
          </cell>
          <cell r="Q611" t="str">
            <v>2016_09</v>
          </cell>
        </row>
        <row r="612">
          <cell r="J612" t="e">
            <v>#N/A</v>
          </cell>
          <cell r="K612" t="e">
            <v>#N/A</v>
          </cell>
          <cell r="N612">
            <v>-1623.76</v>
          </cell>
          <cell r="Q612" t="str">
            <v>2015_10</v>
          </cell>
        </row>
        <row r="613">
          <cell r="J613" t="e">
            <v>#N/A</v>
          </cell>
          <cell r="K613" t="e">
            <v>#N/A</v>
          </cell>
          <cell r="N613">
            <v>-1440.09</v>
          </cell>
          <cell r="Q613" t="str">
            <v>2015_11</v>
          </cell>
        </row>
        <row r="614">
          <cell r="J614" t="e">
            <v>#N/A</v>
          </cell>
          <cell r="K614" t="e">
            <v>#N/A</v>
          </cell>
          <cell r="N614">
            <v>-1828.37</v>
          </cell>
          <cell r="Q614" t="str">
            <v>2015_12</v>
          </cell>
        </row>
        <row r="615">
          <cell r="J615" t="e">
            <v>#N/A</v>
          </cell>
          <cell r="K615" t="e">
            <v>#N/A</v>
          </cell>
          <cell r="N615">
            <v>-1335.6</v>
          </cell>
          <cell r="Q615" t="str">
            <v>2016_01</v>
          </cell>
        </row>
        <row r="616">
          <cell r="J616" t="e">
            <v>#N/A</v>
          </cell>
          <cell r="K616" t="e">
            <v>#N/A</v>
          </cell>
          <cell r="N616">
            <v>-922.01</v>
          </cell>
          <cell r="Q616" t="str">
            <v>2016_02</v>
          </cell>
        </row>
        <row r="617">
          <cell r="J617" t="e">
            <v>#N/A</v>
          </cell>
          <cell r="K617" t="e">
            <v>#N/A</v>
          </cell>
          <cell r="N617">
            <v>-1414.91</v>
          </cell>
          <cell r="Q617" t="str">
            <v>2016_03</v>
          </cell>
        </row>
        <row r="618">
          <cell r="J618" t="e">
            <v>#N/A</v>
          </cell>
          <cell r="K618" t="e">
            <v>#N/A</v>
          </cell>
          <cell r="N618">
            <v>15924.69</v>
          </cell>
          <cell r="Q618" t="str">
            <v>2016_04</v>
          </cell>
        </row>
        <row r="619">
          <cell r="J619" t="e">
            <v>#N/A</v>
          </cell>
          <cell r="K619" t="e">
            <v>#N/A</v>
          </cell>
          <cell r="N619">
            <v>-1394.7</v>
          </cell>
          <cell r="Q619" t="str">
            <v>2016_05</v>
          </cell>
        </row>
        <row r="620">
          <cell r="J620" t="e">
            <v>#N/A</v>
          </cell>
          <cell r="K620" t="e">
            <v>#N/A</v>
          </cell>
          <cell r="N620">
            <v>-1480.84</v>
          </cell>
          <cell r="Q620" t="str">
            <v>2016_06</v>
          </cell>
        </row>
        <row r="621">
          <cell r="J621" t="e">
            <v>#N/A</v>
          </cell>
          <cell r="K621" t="e">
            <v>#N/A</v>
          </cell>
          <cell r="N621">
            <v>-1376.67</v>
          </cell>
          <cell r="Q621" t="str">
            <v>2016_07</v>
          </cell>
        </row>
        <row r="622">
          <cell r="J622" t="e">
            <v>#N/A</v>
          </cell>
          <cell r="K622" t="e">
            <v>#N/A</v>
          </cell>
          <cell r="N622">
            <v>-1484.81</v>
          </cell>
          <cell r="Q622" t="str">
            <v>2016_08</v>
          </cell>
        </row>
        <row r="623">
          <cell r="J623" t="e">
            <v>#N/A</v>
          </cell>
          <cell r="K623" t="e">
            <v>#N/A</v>
          </cell>
          <cell r="N623">
            <v>-1473.48</v>
          </cell>
          <cell r="Q623" t="str">
            <v>2016_09</v>
          </cell>
        </row>
        <row r="624">
          <cell r="J624" t="e">
            <v>#N/A</v>
          </cell>
          <cell r="K624" t="e">
            <v>#N/A</v>
          </cell>
          <cell r="N624">
            <v>-326.08</v>
          </cell>
          <cell r="Q624" t="str">
            <v>2015_10</v>
          </cell>
        </row>
        <row r="625">
          <cell r="J625" t="e">
            <v>#N/A</v>
          </cell>
          <cell r="K625" t="e">
            <v>#N/A</v>
          </cell>
          <cell r="N625">
            <v>-1909.9</v>
          </cell>
          <cell r="Q625" t="str">
            <v>2015_11</v>
          </cell>
        </row>
        <row r="626">
          <cell r="J626" t="e">
            <v>#N/A</v>
          </cell>
          <cell r="K626" t="e">
            <v>#N/A</v>
          </cell>
          <cell r="N626">
            <v>-699.67</v>
          </cell>
          <cell r="Q626" t="str">
            <v>2015_12</v>
          </cell>
        </row>
        <row r="627">
          <cell r="J627" t="e">
            <v>#N/A</v>
          </cell>
          <cell r="K627" t="e">
            <v>#N/A</v>
          </cell>
          <cell r="N627">
            <v>1287.01</v>
          </cell>
          <cell r="Q627" t="str">
            <v>2016_01</v>
          </cell>
        </row>
        <row r="628">
          <cell r="J628" t="e">
            <v>#N/A</v>
          </cell>
          <cell r="K628" t="e">
            <v>#N/A</v>
          </cell>
          <cell r="N628">
            <v>807.47</v>
          </cell>
          <cell r="Q628" t="str">
            <v>2016_02</v>
          </cell>
        </row>
        <row r="629">
          <cell r="J629" t="e">
            <v>#N/A</v>
          </cell>
          <cell r="K629" t="e">
            <v>#N/A</v>
          </cell>
          <cell r="N629">
            <v>-1322.37</v>
          </cell>
          <cell r="Q629" t="str">
            <v>2016_03</v>
          </cell>
        </row>
        <row r="630">
          <cell r="J630" t="e">
            <v>#N/A</v>
          </cell>
          <cell r="K630" t="e">
            <v>#N/A</v>
          </cell>
          <cell r="N630">
            <v>-1543.56</v>
          </cell>
          <cell r="Q630" t="str">
            <v>2016_04</v>
          </cell>
        </row>
        <row r="631">
          <cell r="J631" t="e">
            <v>#N/A</v>
          </cell>
          <cell r="K631" t="e">
            <v>#N/A</v>
          </cell>
          <cell r="N631">
            <v>-279.05</v>
          </cell>
          <cell r="Q631" t="str">
            <v>2016_05</v>
          </cell>
        </row>
        <row r="632">
          <cell r="J632" t="e">
            <v>#N/A</v>
          </cell>
          <cell r="K632" t="e">
            <v>#N/A</v>
          </cell>
          <cell r="N632">
            <v>216.27</v>
          </cell>
          <cell r="Q632" t="str">
            <v>2016_06</v>
          </cell>
        </row>
        <row r="633">
          <cell r="J633" t="e">
            <v>#N/A</v>
          </cell>
          <cell r="K633" t="e">
            <v>#N/A</v>
          </cell>
          <cell r="N633">
            <v>1173.3599999999999</v>
          </cell>
          <cell r="Q633" t="str">
            <v>2016_07</v>
          </cell>
        </row>
        <row r="634">
          <cell r="J634" t="e">
            <v>#N/A</v>
          </cell>
          <cell r="K634" t="e">
            <v>#N/A</v>
          </cell>
          <cell r="N634">
            <v>-1462.43</v>
          </cell>
          <cell r="Q634" t="str">
            <v>2016_08</v>
          </cell>
        </row>
        <row r="635">
          <cell r="J635" t="e">
            <v>#N/A</v>
          </cell>
          <cell r="K635" t="e">
            <v>#N/A</v>
          </cell>
          <cell r="N635">
            <v>6151.72</v>
          </cell>
          <cell r="Q635" t="str">
            <v>2016_09</v>
          </cell>
        </row>
        <row r="636">
          <cell r="J636" t="e">
            <v>#N/A</v>
          </cell>
          <cell r="K636" t="e">
            <v>#N/A</v>
          </cell>
          <cell r="N636">
            <v>0</v>
          </cell>
          <cell r="Q636" t="str">
            <v>2015_10</v>
          </cell>
        </row>
        <row r="637">
          <cell r="J637" t="e">
            <v>#N/A</v>
          </cell>
          <cell r="K637" t="e">
            <v>#N/A</v>
          </cell>
          <cell r="N637">
            <v>-24485.279999999999</v>
          </cell>
          <cell r="Q637" t="str">
            <v>2015_11</v>
          </cell>
        </row>
        <row r="638">
          <cell r="J638" t="e">
            <v>#N/A</v>
          </cell>
          <cell r="K638" t="e">
            <v>#N/A</v>
          </cell>
          <cell r="N638">
            <v>-10122.23</v>
          </cell>
          <cell r="Q638" t="str">
            <v>2015_12</v>
          </cell>
        </row>
        <row r="639">
          <cell r="J639" t="e">
            <v>#N/A</v>
          </cell>
          <cell r="K639" t="e">
            <v>#N/A</v>
          </cell>
          <cell r="N639">
            <v>0</v>
          </cell>
          <cell r="Q639" t="str">
            <v>2016_01</v>
          </cell>
        </row>
        <row r="640">
          <cell r="J640" t="e">
            <v>#N/A</v>
          </cell>
          <cell r="K640" t="e">
            <v>#N/A</v>
          </cell>
          <cell r="N640">
            <v>0</v>
          </cell>
          <cell r="Q640" t="str">
            <v>2016_02</v>
          </cell>
        </row>
        <row r="641">
          <cell r="J641" t="e">
            <v>#N/A</v>
          </cell>
          <cell r="K641" t="e">
            <v>#N/A</v>
          </cell>
          <cell r="N641">
            <v>0</v>
          </cell>
          <cell r="Q641" t="str">
            <v>2016_03</v>
          </cell>
        </row>
        <row r="642">
          <cell r="J642" t="e">
            <v>#N/A</v>
          </cell>
          <cell r="K642" t="e">
            <v>#N/A</v>
          </cell>
          <cell r="N642">
            <v>0</v>
          </cell>
          <cell r="Q642" t="str">
            <v>2016_04</v>
          </cell>
        </row>
        <row r="643">
          <cell r="J643" t="e">
            <v>#N/A</v>
          </cell>
          <cell r="K643" t="e">
            <v>#N/A</v>
          </cell>
          <cell r="N643">
            <v>0</v>
          </cell>
          <cell r="Q643" t="str">
            <v>2016_05</v>
          </cell>
        </row>
        <row r="644">
          <cell r="J644" t="e">
            <v>#N/A</v>
          </cell>
          <cell r="K644" t="e">
            <v>#N/A</v>
          </cell>
          <cell r="N644">
            <v>0</v>
          </cell>
          <cell r="Q644" t="str">
            <v>2016_06</v>
          </cell>
        </row>
        <row r="645">
          <cell r="J645" t="e">
            <v>#N/A</v>
          </cell>
          <cell r="K645" t="e">
            <v>#N/A</v>
          </cell>
          <cell r="N645">
            <v>0</v>
          </cell>
          <cell r="Q645" t="str">
            <v>2016_07</v>
          </cell>
        </row>
        <row r="646">
          <cell r="J646" t="e">
            <v>#N/A</v>
          </cell>
          <cell r="K646" t="e">
            <v>#N/A</v>
          </cell>
          <cell r="N646">
            <v>0</v>
          </cell>
          <cell r="Q646" t="str">
            <v>2016_08</v>
          </cell>
        </row>
        <row r="647">
          <cell r="J647" t="e">
            <v>#N/A</v>
          </cell>
          <cell r="K647" t="e">
            <v>#N/A</v>
          </cell>
          <cell r="N647">
            <v>0</v>
          </cell>
          <cell r="Q647" t="str">
            <v>2016_09</v>
          </cell>
        </row>
        <row r="648">
          <cell r="J648" t="e">
            <v>#N/A</v>
          </cell>
          <cell r="K648" t="e">
            <v>#N/A</v>
          </cell>
          <cell r="N648">
            <v>-10874.71</v>
          </cell>
          <cell r="Q648" t="str">
            <v>2015_10</v>
          </cell>
        </row>
        <row r="649">
          <cell r="J649" t="e">
            <v>#N/A</v>
          </cell>
          <cell r="K649" t="e">
            <v>#N/A</v>
          </cell>
          <cell r="N649">
            <v>-24.99</v>
          </cell>
          <cell r="Q649" t="str">
            <v>2015_11</v>
          </cell>
        </row>
        <row r="650">
          <cell r="J650" t="e">
            <v>#N/A</v>
          </cell>
          <cell r="K650" t="e">
            <v>#N/A</v>
          </cell>
          <cell r="N650">
            <v>7328.77</v>
          </cell>
          <cell r="Q650" t="str">
            <v>2015_12</v>
          </cell>
        </row>
        <row r="651">
          <cell r="J651" t="e">
            <v>#N/A</v>
          </cell>
          <cell r="K651" t="e">
            <v>#N/A</v>
          </cell>
          <cell r="N651">
            <v>-1145.98</v>
          </cell>
          <cell r="Q651" t="str">
            <v>2016_01</v>
          </cell>
        </row>
        <row r="652">
          <cell r="J652" t="e">
            <v>#N/A</v>
          </cell>
          <cell r="K652" t="e">
            <v>#N/A</v>
          </cell>
          <cell r="N652">
            <v>-2693.78</v>
          </cell>
          <cell r="Q652" t="str">
            <v>2016_02</v>
          </cell>
        </row>
        <row r="653">
          <cell r="J653" t="e">
            <v>#N/A</v>
          </cell>
          <cell r="K653" t="e">
            <v>#N/A</v>
          </cell>
          <cell r="N653">
            <v>-4138.3</v>
          </cell>
          <cell r="Q653" t="str">
            <v>2016_03</v>
          </cell>
        </row>
        <row r="654">
          <cell r="J654" t="e">
            <v>#N/A</v>
          </cell>
          <cell r="K654" t="e">
            <v>#N/A</v>
          </cell>
          <cell r="N654">
            <v>5651.72</v>
          </cell>
          <cell r="Q654" t="str">
            <v>2016_04</v>
          </cell>
        </row>
        <row r="655">
          <cell r="J655" t="e">
            <v>#N/A</v>
          </cell>
          <cell r="K655" t="e">
            <v>#N/A</v>
          </cell>
          <cell r="N655">
            <v>-4144.55</v>
          </cell>
          <cell r="Q655" t="str">
            <v>2016_05</v>
          </cell>
        </row>
        <row r="656">
          <cell r="J656" t="e">
            <v>#N/A</v>
          </cell>
          <cell r="K656" t="e">
            <v>#N/A</v>
          </cell>
          <cell r="N656">
            <v>-4013.23</v>
          </cell>
          <cell r="Q656" t="str">
            <v>2016_06</v>
          </cell>
        </row>
        <row r="657">
          <cell r="J657" t="e">
            <v>#N/A</v>
          </cell>
          <cell r="K657" t="e">
            <v>#N/A</v>
          </cell>
          <cell r="N657">
            <v>5382.8</v>
          </cell>
          <cell r="Q657" t="str">
            <v>2016_07</v>
          </cell>
        </row>
        <row r="658">
          <cell r="J658" t="e">
            <v>#N/A</v>
          </cell>
          <cell r="K658" t="e">
            <v>#N/A</v>
          </cell>
          <cell r="N658">
            <v>-5347.24</v>
          </cell>
          <cell r="Q658" t="str">
            <v>2016_08</v>
          </cell>
        </row>
        <row r="659">
          <cell r="J659" t="e">
            <v>#N/A</v>
          </cell>
          <cell r="K659" t="e">
            <v>#N/A</v>
          </cell>
          <cell r="N659">
            <v>-4570</v>
          </cell>
          <cell r="Q659" t="str">
            <v>2016_09</v>
          </cell>
        </row>
        <row r="660">
          <cell r="J660" t="e">
            <v>#N/A</v>
          </cell>
          <cell r="K660" t="e">
            <v>#N/A</v>
          </cell>
          <cell r="N660">
            <v>-200000</v>
          </cell>
          <cell r="Q660" t="str">
            <v>2016_07</v>
          </cell>
        </row>
        <row r="661">
          <cell r="J661" t="e">
            <v>#N/A</v>
          </cell>
          <cell r="K661" t="e">
            <v>#N/A</v>
          </cell>
          <cell r="N661">
            <v>0</v>
          </cell>
          <cell r="Q661" t="str">
            <v>2016_08</v>
          </cell>
        </row>
        <row r="662">
          <cell r="J662" t="e">
            <v>#N/A</v>
          </cell>
          <cell r="K662" t="e">
            <v>#N/A</v>
          </cell>
          <cell r="N662">
            <v>0</v>
          </cell>
          <cell r="Q662" t="str">
            <v>2016_09</v>
          </cell>
        </row>
        <row r="663">
          <cell r="J663" t="e">
            <v>#N/A</v>
          </cell>
          <cell r="K663" t="e">
            <v>#N/A</v>
          </cell>
          <cell r="N663">
            <v>-10017.82</v>
          </cell>
          <cell r="Q663" t="str">
            <v>2015_10</v>
          </cell>
        </row>
        <row r="664">
          <cell r="J664" t="e">
            <v>#N/A</v>
          </cell>
          <cell r="K664" t="e">
            <v>#N/A</v>
          </cell>
          <cell r="N664">
            <v>-5175.0200000000004</v>
          </cell>
          <cell r="Q664" t="str">
            <v>2015_11</v>
          </cell>
        </row>
        <row r="665">
          <cell r="J665" t="e">
            <v>#N/A</v>
          </cell>
          <cell r="K665" t="e">
            <v>#N/A</v>
          </cell>
          <cell r="N665">
            <v>4575.1499999999996</v>
          </cell>
          <cell r="Q665" t="str">
            <v>2015_12</v>
          </cell>
        </row>
        <row r="666">
          <cell r="J666" t="e">
            <v>#N/A</v>
          </cell>
          <cell r="K666" t="e">
            <v>#N/A</v>
          </cell>
          <cell r="N666">
            <v>-12529.09</v>
          </cell>
          <cell r="Q666" t="str">
            <v>2016_01</v>
          </cell>
        </row>
        <row r="667">
          <cell r="J667" t="e">
            <v>#N/A</v>
          </cell>
          <cell r="K667" t="e">
            <v>#N/A</v>
          </cell>
          <cell r="N667">
            <v>-922.35</v>
          </cell>
          <cell r="Q667" t="str">
            <v>2016_02</v>
          </cell>
        </row>
        <row r="668">
          <cell r="J668" t="e">
            <v>#N/A</v>
          </cell>
          <cell r="K668" t="e">
            <v>#N/A</v>
          </cell>
          <cell r="N668">
            <v>6716.67</v>
          </cell>
          <cell r="Q668" t="str">
            <v>2016_03</v>
          </cell>
        </row>
        <row r="669">
          <cell r="J669" t="e">
            <v>#N/A</v>
          </cell>
          <cell r="K669" t="e">
            <v>#N/A</v>
          </cell>
          <cell r="N669">
            <v>7643.63</v>
          </cell>
          <cell r="Q669" t="str">
            <v>2016_04</v>
          </cell>
        </row>
        <row r="670">
          <cell r="J670" t="e">
            <v>#N/A</v>
          </cell>
          <cell r="K670" t="e">
            <v>#N/A</v>
          </cell>
          <cell r="N670">
            <v>-298.72000000000003</v>
          </cell>
          <cell r="Q670" t="str">
            <v>2016_05</v>
          </cell>
        </row>
        <row r="671">
          <cell r="J671" t="e">
            <v>#N/A</v>
          </cell>
          <cell r="K671" t="e">
            <v>#N/A</v>
          </cell>
          <cell r="N671">
            <v>7459.32</v>
          </cell>
          <cell r="Q671" t="str">
            <v>2016_06</v>
          </cell>
        </row>
        <row r="672">
          <cell r="J672" t="e">
            <v>#N/A</v>
          </cell>
          <cell r="K672" t="e">
            <v>#N/A</v>
          </cell>
          <cell r="N672">
            <v>-442.97</v>
          </cell>
          <cell r="Q672" t="str">
            <v>2016_07</v>
          </cell>
        </row>
        <row r="673">
          <cell r="J673" t="e">
            <v>#N/A</v>
          </cell>
          <cell r="K673" t="e">
            <v>#N/A</v>
          </cell>
          <cell r="N673">
            <v>-834.39</v>
          </cell>
          <cell r="Q673" t="str">
            <v>2016_08</v>
          </cell>
        </row>
        <row r="674">
          <cell r="J674" t="e">
            <v>#N/A</v>
          </cell>
          <cell r="K674" t="e">
            <v>#N/A</v>
          </cell>
          <cell r="N674">
            <v>-45189.48</v>
          </cell>
          <cell r="Q674" t="str">
            <v>2016_09</v>
          </cell>
        </row>
        <row r="675">
          <cell r="J675" t="e">
            <v>#N/A</v>
          </cell>
          <cell r="K675" t="e">
            <v>#N/A</v>
          </cell>
          <cell r="N675">
            <v>-1296.49</v>
          </cell>
          <cell r="Q675" t="str">
            <v>2015_10</v>
          </cell>
        </row>
        <row r="676">
          <cell r="J676" t="e">
            <v>#N/A</v>
          </cell>
          <cell r="K676" t="e">
            <v>#N/A</v>
          </cell>
          <cell r="N676">
            <v>2249.77</v>
          </cell>
          <cell r="Q676" t="str">
            <v>2015_11</v>
          </cell>
        </row>
        <row r="677">
          <cell r="J677" t="e">
            <v>#N/A</v>
          </cell>
          <cell r="K677" t="e">
            <v>#N/A</v>
          </cell>
          <cell r="N677">
            <v>4979.32</v>
          </cell>
          <cell r="Q677" t="str">
            <v>2015_12</v>
          </cell>
        </row>
        <row r="678">
          <cell r="J678" t="e">
            <v>#N/A</v>
          </cell>
          <cell r="K678" t="e">
            <v>#N/A</v>
          </cell>
          <cell r="N678">
            <v>-9247</v>
          </cell>
          <cell r="Q678" t="str">
            <v>2016_01</v>
          </cell>
        </row>
        <row r="679">
          <cell r="J679" t="e">
            <v>#N/A</v>
          </cell>
          <cell r="K679" t="e">
            <v>#N/A</v>
          </cell>
          <cell r="N679">
            <v>1290.49</v>
          </cell>
          <cell r="Q679" t="str">
            <v>2016_02</v>
          </cell>
        </row>
        <row r="680">
          <cell r="J680" t="e">
            <v>#N/A</v>
          </cell>
          <cell r="K680" t="e">
            <v>#N/A</v>
          </cell>
          <cell r="N680">
            <v>2632.1</v>
          </cell>
          <cell r="Q680" t="str">
            <v>2016_03</v>
          </cell>
        </row>
        <row r="681">
          <cell r="J681" t="e">
            <v>#N/A</v>
          </cell>
          <cell r="K681" t="e">
            <v>#N/A</v>
          </cell>
          <cell r="N681">
            <v>-4153.95</v>
          </cell>
          <cell r="Q681" t="str">
            <v>2016_04</v>
          </cell>
        </row>
        <row r="682">
          <cell r="J682" t="e">
            <v>#N/A</v>
          </cell>
          <cell r="K682" t="e">
            <v>#N/A</v>
          </cell>
          <cell r="N682">
            <v>4590.04</v>
          </cell>
          <cell r="Q682" t="str">
            <v>2016_05</v>
          </cell>
        </row>
        <row r="683">
          <cell r="J683" t="e">
            <v>#N/A</v>
          </cell>
          <cell r="K683" t="e">
            <v>#N/A</v>
          </cell>
          <cell r="N683">
            <v>-432.4</v>
          </cell>
          <cell r="Q683" t="str">
            <v>2016_06</v>
          </cell>
        </row>
        <row r="684">
          <cell r="J684" t="e">
            <v>#N/A</v>
          </cell>
          <cell r="K684" t="e">
            <v>#N/A</v>
          </cell>
          <cell r="N684">
            <v>-7929.32</v>
          </cell>
          <cell r="Q684" t="str">
            <v>2016_07</v>
          </cell>
        </row>
        <row r="685">
          <cell r="J685" t="e">
            <v>#N/A</v>
          </cell>
          <cell r="K685" t="e">
            <v>#N/A</v>
          </cell>
          <cell r="N685">
            <v>2580.67</v>
          </cell>
          <cell r="Q685" t="str">
            <v>2016_08</v>
          </cell>
        </row>
        <row r="686">
          <cell r="J686" t="e">
            <v>#N/A</v>
          </cell>
          <cell r="K686" t="e">
            <v>#N/A</v>
          </cell>
          <cell r="N686">
            <v>-2026.92</v>
          </cell>
          <cell r="Q686" t="str">
            <v>2016_09</v>
          </cell>
        </row>
        <row r="687">
          <cell r="J687" t="e">
            <v>#N/A</v>
          </cell>
          <cell r="K687" t="e">
            <v>#N/A</v>
          </cell>
          <cell r="N687">
            <v>4324.5200000000004</v>
          </cell>
          <cell r="Q687" t="str">
            <v>2015_10</v>
          </cell>
        </row>
        <row r="688">
          <cell r="J688" t="e">
            <v>#N/A</v>
          </cell>
          <cell r="K688" t="e">
            <v>#N/A</v>
          </cell>
          <cell r="N688">
            <v>-2219.8000000000002</v>
          </cell>
          <cell r="Q688" t="str">
            <v>2015_11</v>
          </cell>
        </row>
        <row r="689">
          <cell r="J689" t="e">
            <v>#N/A</v>
          </cell>
          <cell r="K689" t="e">
            <v>#N/A</v>
          </cell>
          <cell r="N689">
            <v>30737.119999999999</v>
          </cell>
          <cell r="Q689" t="str">
            <v>2015_12</v>
          </cell>
        </row>
        <row r="690">
          <cell r="J690" t="e">
            <v>#N/A</v>
          </cell>
          <cell r="K690" t="e">
            <v>#N/A</v>
          </cell>
          <cell r="N690">
            <v>-23127.040000000001</v>
          </cell>
          <cell r="Q690" t="str">
            <v>2016_01</v>
          </cell>
        </row>
        <row r="691">
          <cell r="J691" t="e">
            <v>#N/A</v>
          </cell>
          <cell r="K691" t="e">
            <v>#N/A</v>
          </cell>
          <cell r="N691">
            <v>804.67</v>
          </cell>
          <cell r="Q691" t="str">
            <v>2016_02</v>
          </cell>
        </row>
        <row r="692">
          <cell r="J692" t="e">
            <v>#N/A</v>
          </cell>
          <cell r="K692" t="e">
            <v>#N/A</v>
          </cell>
          <cell r="N692">
            <v>1346.14</v>
          </cell>
          <cell r="Q692" t="str">
            <v>2016_03</v>
          </cell>
        </row>
        <row r="693">
          <cell r="J693" t="e">
            <v>#N/A</v>
          </cell>
          <cell r="K693" t="e">
            <v>#N/A</v>
          </cell>
          <cell r="N693">
            <v>-7511.16</v>
          </cell>
          <cell r="Q693" t="str">
            <v>2016_04</v>
          </cell>
        </row>
        <row r="694">
          <cell r="J694" t="e">
            <v>#N/A</v>
          </cell>
          <cell r="K694" t="e">
            <v>#N/A</v>
          </cell>
          <cell r="N694">
            <v>4851.12</v>
          </cell>
          <cell r="Q694" t="str">
            <v>2016_05</v>
          </cell>
        </row>
        <row r="695">
          <cell r="J695" t="e">
            <v>#N/A</v>
          </cell>
          <cell r="K695" t="e">
            <v>#N/A</v>
          </cell>
          <cell r="N695">
            <v>2703.73</v>
          </cell>
          <cell r="Q695" t="str">
            <v>2016_06</v>
          </cell>
        </row>
        <row r="696">
          <cell r="J696" t="e">
            <v>#N/A</v>
          </cell>
          <cell r="K696" t="e">
            <v>#N/A</v>
          </cell>
          <cell r="N696">
            <v>-5504.98</v>
          </cell>
          <cell r="Q696" t="str">
            <v>2016_07</v>
          </cell>
        </row>
        <row r="697">
          <cell r="J697" t="e">
            <v>#N/A</v>
          </cell>
          <cell r="K697" t="e">
            <v>#N/A</v>
          </cell>
          <cell r="N697">
            <v>4389.53</v>
          </cell>
          <cell r="Q697" t="str">
            <v>2016_08</v>
          </cell>
        </row>
        <row r="698">
          <cell r="J698" t="e">
            <v>#N/A</v>
          </cell>
          <cell r="K698" t="e">
            <v>#N/A</v>
          </cell>
          <cell r="N698">
            <v>780.24</v>
          </cell>
          <cell r="Q698" t="str">
            <v>2016_09</v>
          </cell>
        </row>
        <row r="699">
          <cell r="J699" t="e">
            <v>#N/A</v>
          </cell>
          <cell r="K699" t="e">
            <v>#N/A</v>
          </cell>
          <cell r="N699">
            <v>11138.46</v>
          </cell>
          <cell r="Q699" t="str">
            <v>2015_10</v>
          </cell>
        </row>
        <row r="700">
          <cell r="J700" t="e">
            <v>#N/A</v>
          </cell>
          <cell r="K700" t="e">
            <v>#N/A</v>
          </cell>
          <cell r="N700">
            <v>-6401.02</v>
          </cell>
          <cell r="Q700" t="str">
            <v>2015_11</v>
          </cell>
        </row>
        <row r="701">
          <cell r="J701" t="e">
            <v>#N/A</v>
          </cell>
          <cell r="K701" t="e">
            <v>#N/A</v>
          </cell>
          <cell r="N701">
            <v>5635.55</v>
          </cell>
          <cell r="Q701" t="str">
            <v>2015_12</v>
          </cell>
        </row>
        <row r="702">
          <cell r="J702" t="e">
            <v>#N/A</v>
          </cell>
          <cell r="K702" t="e">
            <v>#N/A</v>
          </cell>
          <cell r="N702">
            <v>-8890.4500000000007</v>
          </cell>
          <cell r="Q702" t="str">
            <v>2016_01</v>
          </cell>
        </row>
        <row r="703">
          <cell r="J703" t="e">
            <v>#N/A</v>
          </cell>
          <cell r="K703" t="e">
            <v>#N/A</v>
          </cell>
          <cell r="N703">
            <v>1329.86</v>
          </cell>
          <cell r="Q703" t="str">
            <v>2016_02</v>
          </cell>
        </row>
        <row r="704">
          <cell r="J704" t="e">
            <v>#N/A</v>
          </cell>
          <cell r="K704" t="e">
            <v>#N/A</v>
          </cell>
          <cell r="N704">
            <v>1186.48</v>
          </cell>
          <cell r="Q704" t="str">
            <v>2016_03</v>
          </cell>
        </row>
        <row r="705">
          <cell r="J705" t="e">
            <v>#N/A</v>
          </cell>
          <cell r="K705" t="e">
            <v>#N/A</v>
          </cell>
          <cell r="N705">
            <v>-1736.14</v>
          </cell>
          <cell r="Q705" t="str">
            <v>2016_04</v>
          </cell>
        </row>
        <row r="706">
          <cell r="J706" t="e">
            <v>#N/A</v>
          </cell>
          <cell r="K706" t="e">
            <v>#N/A</v>
          </cell>
          <cell r="N706">
            <v>1832.25</v>
          </cell>
          <cell r="Q706" t="str">
            <v>2016_05</v>
          </cell>
        </row>
        <row r="707">
          <cell r="J707" t="e">
            <v>#N/A</v>
          </cell>
          <cell r="K707" t="e">
            <v>#N/A</v>
          </cell>
          <cell r="N707">
            <v>3030.41</v>
          </cell>
          <cell r="Q707" t="str">
            <v>2016_06</v>
          </cell>
        </row>
        <row r="708">
          <cell r="J708" t="e">
            <v>#N/A</v>
          </cell>
          <cell r="K708" t="e">
            <v>#N/A</v>
          </cell>
          <cell r="N708">
            <v>-9442.08</v>
          </cell>
          <cell r="Q708" t="str">
            <v>2016_07</v>
          </cell>
        </row>
        <row r="709">
          <cell r="J709" t="e">
            <v>#N/A</v>
          </cell>
          <cell r="K709" t="e">
            <v>#N/A</v>
          </cell>
          <cell r="N709">
            <v>-1164.42</v>
          </cell>
          <cell r="Q709" t="str">
            <v>2016_08</v>
          </cell>
        </row>
        <row r="710">
          <cell r="J710" t="e">
            <v>#N/A</v>
          </cell>
          <cell r="K710" t="e">
            <v>#N/A</v>
          </cell>
          <cell r="N710">
            <v>-4823.3900000000003</v>
          </cell>
          <cell r="Q710" t="str">
            <v>2016_09</v>
          </cell>
        </row>
        <row r="711">
          <cell r="J711" t="e">
            <v>#N/A</v>
          </cell>
          <cell r="K711" t="e">
            <v>#N/A</v>
          </cell>
          <cell r="N711">
            <v>1931.36</v>
          </cell>
          <cell r="Q711" t="str">
            <v>2016_04</v>
          </cell>
        </row>
        <row r="712">
          <cell r="J712" t="e">
            <v>#N/A</v>
          </cell>
          <cell r="K712" t="e">
            <v>#N/A</v>
          </cell>
          <cell r="N712">
            <v>5286.4</v>
          </cell>
          <cell r="Q712" t="str">
            <v>2016_05</v>
          </cell>
        </row>
        <row r="713">
          <cell r="J713" t="e">
            <v>#N/A</v>
          </cell>
          <cell r="K713" t="e">
            <v>#N/A</v>
          </cell>
          <cell r="N713">
            <v>-1465.01</v>
          </cell>
          <cell r="Q713" t="str">
            <v>2016_06</v>
          </cell>
        </row>
        <row r="714">
          <cell r="J714" t="e">
            <v>#N/A</v>
          </cell>
          <cell r="K714" t="e">
            <v>#N/A</v>
          </cell>
          <cell r="N714">
            <v>362.97</v>
          </cell>
          <cell r="Q714" t="str">
            <v>2016_07</v>
          </cell>
        </row>
        <row r="715">
          <cell r="J715" t="e">
            <v>#N/A</v>
          </cell>
          <cell r="K715" t="e">
            <v>#N/A</v>
          </cell>
          <cell r="N715">
            <v>-1950.73</v>
          </cell>
          <cell r="Q715" t="str">
            <v>2016_08</v>
          </cell>
        </row>
        <row r="716">
          <cell r="J716" t="e">
            <v>#N/A</v>
          </cell>
          <cell r="K716" t="e">
            <v>#N/A</v>
          </cell>
          <cell r="N716">
            <v>-1503</v>
          </cell>
          <cell r="Q716" t="str">
            <v>2016_09</v>
          </cell>
        </row>
        <row r="717">
          <cell r="J717" t="e">
            <v>#N/A</v>
          </cell>
          <cell r="K717" t="e">
            <v>#N/A</v>
          </cell>
          <cell r="N717">
            <v>500000</v>
          </cell>
          <cell r="Q717" t="str">
            <v>2015_12</v>
          </cell>
        </row>
        <row r="718">
          <cell r="J718" t="e">
            <v>#N/A</v>
          </cell>
          <cell r="K718" t="e">
            <v>#N/A</v>
          </cell>
          <cell r="N718">
            <v>-100000</v>
          </cell>
          <cell r="Q718" t="str">
            <v>2016_01</v>
          </cell>
        </row>
        <row r="719">
          <cell r="J719" t="e">
            <v>#N/A</v>
          </cell>
          <cell r="K719" t="e">
            <v>#N/A</v>
          </cell>
          <cell r="N719">
            <v>-130000</v>
          </cell>
          <cell r="Q719" t="str">
            <v>2016_02</v>
          </cell>
        </row>
        <row r="720">
          <cell r="J720" t="e">
            <v>#N/A</v>
          </cell>
          <cell r="K720" t="e">
            <v>#N/A</v>
          </cell>
          <cell r="N720">
            <v>610000</v>
          </cell>
          <cell r="Q720" t="str">
            <v>2016_03</v>
          </cell>
        </row>
        <row r="721">
          <cell r="J721" t="e">
            <v>#N/A</v>
          </cell>
          <cell r="K721" t="e">
            <v>#N/A</v>
          </cell>
          <cell r="N721">
            <v>-320000</v>
          </cell>
          <cell r="Q721" t="str">
            <v>2016_04</v>
          </cell>
        </row>
        <row r="722">
          <cell r="J722" t="e">
            <v>#N/A</v>
          </cell>
          <cell r="K722" t="e">
            <v>#N/A</v>
          </cell>
          <cell r="N722">
            <v>130000</v>
          </cell>
          <cell r="Q722" t="str">
            <v>2016_05</v>
          </cell>
        </row>
        <row r="723">
          <cell r="J723" t="e">
            <v>#N/A</v>
          </cell>
          <cell r="K723" t="e">
            <v>#N/A</v>
          </cell>
          <cell r="N723">
            <v>-280000</v>
          </cell>
          <cell r="Q723" t="str">
            <v>2016_06</v>
          </cell>
        </row>
        <row r="724">
          <cell r="J724" t="e">
            <v>#N/A</v>
          </cell>
          <cell r="K724" t="e">
            <v>#N/A</v>
          </cell>
          <cell r="N724">
            <v>-500000</v>
          </cell>
          <cell r="Q724" t="str">
            <v>2016_07</v>
          </cell>
        </row>
        <row r="725">
          <cell r="J725" t="e">
            <v>#N/A</v>
          </cell>
          <cell r="K725" t="e">
            <v>#N/A</v>
          </cell>
          <cell r="N725">
            <v>320000</v>
          </cell>
          <cell r="Q725" t="str">
            <v>2016_08</v>
          </cell>
        </row>
        <row r="726">
          <cell r="J726" t="e">
            <v>#N/A</v>
          </cell>
          <cell r="K726" t="e">
            <v>#N/A</v>
          </cell>
          <cell r="N726">
            <v>-361027.33</v>
          </cell>
          <cell r="Q726" t="str">
            <v>2016_09</v>
          </cell>
        </row>
        <row r="727">
          <cell r="J727" t="e">
            <v>#N/A</v>
          </cell>
          <cell r="K727" t="e">
            <v>#N/A</v>
          </cell>
          <cell r="N727">
            <v>0</v>
          </cell>
          <cell r="Q727" t="str">
            <v>2015_10</v>
          </cell>
        </row>
        <row r="728">
          <cell r="J728" t="e">
            <v>#N/A</v>
          </cell>
          <cell r="K728" t="e">
            <v>#N/A</v>
          </cell>
          <cell r="N728">
            <v>0</v>
          </cell>
          <cell r="Q728" t="str">
            <v>2015_11</v>
          </cell>
        </row>
        <row r="729">
          <cell r="J729" t="e">
            <v>#N/A</v>
          </cell>
          <cell r="K729" t="e">
            <v>#N/A</v>
          </cell>
          <cell r="N729">
            <v>0</v>
          </cell>
          <cell r="Q729" t="str">
            <v>2015_12</v>
          </cell>
        </row>
        <row r="730">
          <cell r="J730" t="e">
            <v>#N/A</v>
          </cell>
          <cell r="K730" t="e">
            <v>#N/A</v>
          </cell>
          <cell r="N730">
            <v>0</v>
          </cell>
          <cell r="Q730" t="str">
            <v>2016_01</v>
          </cell>
        </row>
        <row r="731">
          <cell r="J731" t="e">
            <v>#N/A</v>
          </cell>
          <cell r="K731" t="e">
            <v>#N/A</v>
          </cell>
          <cell r="N731">
            <v>0</v>
          </cell>
          <cell r="Q731" t="str">
            <v>2016_02</v>
          </cell>
        </row>
        <row r="732">
          <cell r="J732" t="e">
            <v>#N/A</v>
          </cell>
          <cell r="K732" t="e">
            <v>#N/A</v>
          </cell>
          <cell r="N732">
            <v>0</v>
          </cell>
          <cell r="Q732" t="str">
            <v>2016_03</v>
          </cell>
        </row>
        <row r="733">
          <cell r="J733" t="e">
            <v>#N/A</v>
          </cell>
          <cell r="K733" t="e">
            <v>#N/A</v>
          </cell>
          <cell r="N733">
            <v>0</v>
          </cell>
          <cell r="Q733" t="str">
            <v>2016_04</v>
          </cell>
        </row>
        <row r="734">
          <cell r="J734" t="e">
            <v>#N/A</v>
          </cell>
          <cell r="K734" t="e">
            <v>#N/A</v>
          </cell>
          <cell r="N734">
            <v>0</v>
          </cell>
          <cell r="Q734" t="str">
            <v>2016_05</v>
          </cell>
        </row>
        <row r="735">
          <cell r="J735" t="e">
            <v>#N/A</v>
          </cell>
          <cell r="K735" t="e">
            <v>#N/A</v>
          </cell>
          <cell r="N735">
            <v>0</v>
          </cell>
          <cell r="Q735" t="str">
            <v>2016_06</v>
          </cell>
        </row>
        <row r="736">
          <cell r="J736" t="e">
            <v>#N/A</v>
          </cell>
          <cell r="K736" t="e">
            <v>#N/A</v>
          </cell>
          <cell r="N736">
            <v>0</v>
          </cell>
          <cell r="Q736" t="str">
            <v>2016_07</v>
          </cell>
        </row>
        <row r="737">
          <cell r="J737" t="e">
            <v>#N/A</v>
          </cell>
          <cell r="K737" t="e">
            <v>#N/A</v>
          </cell>
          <cell r="N737">
            <v>0</v>
          </cell>
          <cell r="Q737" t="str">
            <v>2016_08</v>
          </cell>
        </row>
        <row r="738">
          <cell r="J738" t="e">
            <v>#N/A</v>
          </cell>
          <cell r="K738" t="e">
            <v>#N/A</v>
          </cell>
          <cell r="N738">
            <v>0</v>
          </cell>
          <cell r="Q738" t="str">
            <v>2016_09</v>
          </cell>
        </row>
        <row r="739">
          <cell r="J739" t="e">
            <v>#N/A</v>
          </cell>
          <cell r="K739" t="e">
            <v>#N/A</v>
          </cell>
          <cell r="N739">
            <v>0</v>
          </cell>
          <cell r="Q739" t="str">
            <v>2015_10</v>
          </cell>
        </row>
        <row r="740">
          <cell r="J740" t="e">
            <v>#N/A</v>
          </cell>
          <cell r="K740" t="e">
            <v>#N/A</v>
          </cell>
          <cell r="N740">
            <v>0</v>
          </cell>
          <cell r="Q740" t="str">
            <v>2015_11</v>
          </cell>
        </row>
        <row r="741">
          <cell r="J741" t="e">
            <v>#N/A</v>
          </cell>
          <cell r="K741" t="e">
            <v>#N/A</v>
          </cell>
          <cell r="N741">
            <v>0</v>
          </cell>
          <cell r="Q741" t="str">
            <v>2015_12</v>
          </cell>
        </row>
        <row r="742">
          <cell r="J742" t="e">
            <v>#N/A</v>
          </cell>
          <cell r="K742" t="e">
            <v>#N/A</v>
          </cell>
          <cell r="N742">
            <v>0</v>
          </cell>
          <cell r="Q742" t="str">
            <v>2016_01</v>
          </cell>
        </row>
        <row r="743">
          <cell r="J743" t="e">
            <v>#N/A</v>
          </cell>
          <cell r="K743" t="e">
            <v>#N/A</v>
          </cell>
          <cell r="N743">
            <v>0</v>
          </cell>
          <cell r="Q743" t="str">
            <v>2016_02</v>
          </cell>
        </row>
        <row r="744">
          <cell r="J744" t="e">
            <v>#N/A</v>
          </cell>
          <cell r="K744" t="e">
            <v>#N/A</v>
          </cell>
          <cell r="N744">
            <v>0</v>
          </cell>
          <cell r="Q744" t="str">
            <v>2016_03</v>
          </cell>
        </row>
        <row r="745">
          <cell r="J745" t="e">
            <v>#N/A</v>
          </cell>
          <cell r="K745" t="e">
            <v>#N/A</v>
          </cell>
          <cell r="N745">
            <v>0</v>
          </cell>
          <cell r="Q745" t="str">
            <v>2016_04</v>
          </cell>
        </row>
        <row r="746">
          <cell r="J746" t="e">
            <v>#N/A</v>
          </cell>
          <cell r="K746" t="e">
            <v>#N/A</v>
          </cell>
          <cell r="N746">
            <v>0</v>
          </cell>
          <cell r="Q746" t="str">
            <v>2016_05</v>
          </cell>
        </row>
        <row r="747">
          <cell r="J747" t="e">
            <v>#N/A</v>
          </cell>
          <cell r="K747" t="e">
            <v>#N/A</v>
          </cell>
          <cell r="N747">
            <v>0</v>
          </cell>
          <cell r="Q747" t="str">
            <v>2016_06</v>
          </cell>
        </row>
        <row r="748">
          <cell r="J748" t="e">
            <v>#N/A</v>
          </cell>
          <cell r="K748" t="e">
            <v>#N/A</v>
          </cell>
          <cell r="N748">
            <v>0</v>
          </cell>
          <cell r="Q748" t="str">
            <v>2016_07</v>
          </cell>
        </row>
        <row r="749">
          <cell r="J749" t="e">
            <v>#N/A</v>
          </cell>
          <cell r="K749" t="e">
            <v>#N/A</v>
          </cell>
          <cell r="N749">
            <v>0</v>
          </cell>
          <cell r="Q749" t="str">
            <v>2016_08</v>
          </cell>
        </row>
        <row r="750">
          <cell r="J750" t="e">
            <v>#N/A</v>
          </cell>
          <cell r="K750" t="e">
            <v>#N/A</v>
          </cell>
          <cell r="N750">
            <v>0</v>
          </cell>
          <cell r="Q750" t="str">
            <v>2016_09</v>
          </cell>
        </row>
        <row r="751">
          <cell r="J751" t="e">
            <v>#N/A</v>
          </cell>
          <cell r="K751" t="e">
            <v>#N/A</v>
          </cell>
          <cell r="N751">
            <v>0</v>
          </cell>
          <cell r="Q751" t="str">
            <v>2015_10</v>
          </cell>
        </row>
        <row r="752">
          <cell r="J752" t="e">
            <v>#N/A</v>
          </cell>
          <cell r="K752" t="e">
            <v>#N/A</v>
          </cell>
          <cell r="N752">
            <v>0</v>
          </cell>
          <cell r="Q752" t="str">
            <v>2015_11</v>
          </cell>
        </row>
        <row r="753">
          <cell r="J753" t="e">
            <v>#N/A</v>
          </cell>
          <cell r="K753" t="e">
            <v>#N/A</v>
          </cell>
          <cell r="N753">
            <v>-928792.46</v>
          </cell>
          <cell r="Q753" t="str">
            <v>2015_12</v>
          </cell>
        </row>
        <row r="754">
          <cell r="J754" t="e">
            <v>#N/A</v>
          </cell>
          <cell r="K754" t="e">
            <v>#N/A</v>
          </cell>
          <cell r="N754">
            <v>520250</v>
          </cell>
          <cell r="Q754" t="str">
            <v>2016_01</v>
          </cell>
        </row>
        <row r="755">
          <cell r="J755" t="e">
            <v>#N/A</v>
          </cell>
          <cell r="K755" t="e">
            <v>#N/A</v>
          </cell>
          <cell r="N755">
            <v>0</v>
          </cell>
          <cell r="Q755" t="str">
            <v>2016_02</v>
          </cell>
        </row>
        <row r="756">
          <cell r="J756" t="e">
            <v>#N/A</v>
          </cell>
          <cell r="K756" t="e">
            <v>#N/A</v>
          </cell>
          <cell r="N756">
            <v>0</v>
          </cell>
          <cell r="Q756" t="str">
            <v>2016_03</v>
          </cell>
        </row>
        <row r="757">
          <cell r="J757" t="e">
            <v>#N/A</v>
          </cell>
          <cell r="K757" t="e">
            <v>#N/A</v>
          </cell>
          <cell r="N757">
            <v>0</v>
          </cell>
          <cell r="Q757" t="str">
            <v>2016_04</v>
          </cell>
        </row>
        <row r="758">
          <cell r="J758" t="e">
            <v>#N/A</v>
          </cell>
          <cell r="K758" t="e">
            <v>#N/A</v>
          </cell>
          <cell r="N758">
            <v>0</v>
          </cell>
          <cell r="Q758" t="str">
            <v>2016_05</v>
          </cell>
        </row>
        <row r="759">
          <cell r="J759" t="e">
            <v>#N/A</v>
          </cell>
          <cell r="K759" t="e">
            <v>#N/A</v>
          </cell>
          <cell r="N759">
            <v>0</v>
          </cell>
          <cell r="Q759" t="str">
            <v>2016_06</v>
          </cell>
        </row>
        <row r="760">
          <cell r="J760" t="e">
            <v>#N/A</v>
          </cell>
          <cell r="K760" t="e">
            <v>#N/A</v>
          </cell>
          <cell r="N760">
            <v>0</v>
          </cell>
          <cell r="Q760" t="str">
            <v>2016_07</v>
          </cell>
        </row>
        <row r="761">
          <cell r="J761" t="e">
            <v>#N/A</v>
          </cell>
          <cell r="K761" t="e">
            <v>#N/A</v>
          </cell>
          <cell r="N761">
            <v>0</v>
          </cell>
          <cell r="Q761" t="str">
            <v>2016_08</v>
          </cell>
        </row>
        <row r="762">
          <cell r="J762" t="e">
            <v>#N/A</v>
          </cell>
          <cell r="K762" t="e">
            <v>#N/A</v>
          </cell>
          <cell r="N762">
            <v>0</v>
          </cell>
          <cell r="Q762" t="str">
            <v>2016_09</v>
          </cell>
        </row>
        <row r="763">
          <cell r="J763" t="e">
            <v>#N/A</v>
          </cell>
          <cell r="K763" t="e">
            <v>#N/A</v>
          </cell>
          <cell r="N763">
            <v>0</v>
          </cell>
          <cell r="Q763" t="str">
            <v>2015_10</v>
          </cell>
        </row>
        <row r="764">
          <cell r="J764" t="e">
            <v>#N/A</v>
          </cell>
          <cell r="K764" t="e">
            <v>#N/A</v>
          </cell>
          <cell r="N764">
            <v>0</v>
          </cell>
          <cell r="Q764" t="str">
            <v>2015_11</v>
          </cell>
        </row>
        <row r="765">
          <cell r="J765" t="e">
            <v>#N/A</v>
          </cell>
          <cell r="K765" t="e">
            <v>#N/A</v>
          </cell>
          <cell r="N765">
            <v>0</v>
          </cell>
          <cell r="Q765" t="str">
            <v>2015_12</v>
          </cell>
        </row>
        <row r="766">
          <cell r="J766" t="e">
            <v>#N/A</v>
          </cell>
          <cell r="K766" t="e">
            <v>#N/A</v>
          </cell>
          <cell r="N766">
            <v>-198250</v>
          </cell>
          <cell r="Q766" t="str">
            <v>2016_01</v>
          </cell>
        </row>
        <row r="767">
          <cell r="J767" t="e">
            <v>#N/A</v>
          </cell>
          <cell r="K767" t="e">
            <v>#N/A</v>
          </cell>
          <cell r="N767">
            <v>100000</v>
          </cell>
          <cell r="Q767" t="str">
            <v>2016_06</v>
          </cell>
        </row>
        <row r="768">
          <cell r="J768" t="e">
            <v>#N/A</v>
          </cell>
          <cell r="K768" t="e">
            <v>#N/A</v>
          </cell>
          <cell r="N768">
            <v>0</v>
          </cell>
          <cell r="Q768" t="str">
            <v>2016_07</v>
          </cell>
        </row>
        <row r="769">
          <cell r="J769" t="e">
            <v>#N/A</v>
          </cell>
          <cell r="K769" t="e">
            <v>#N/A</v>
          </cell>
          <cell r="N769">
            <v>0</v>
          </cell>
          <cell r="Q769" t="str">
            <v>2016_08</v>
          </cell>
        </row>
        <row r="770">
          <cell r="J770" t="e">
            <v>#N/A</v>
          </cell>
          <cell r="K770" t="e">
            <v>#N/A</v>
          </cell>
          <cell r="N770">
            <v>0</v>
          </cell>
          <cell r="Q770" t="str">
            <v>2016_09</v>
          </cell>
        </row>
        <row r="771">
          <cell r="J771" t="e">
            <v>#N/A</v>
          </cell>
          <cell r="K771" t="e">
            <v>#N/A</v>
          </cell>
          <cell r="N771">
            <v>12000</v>
          </cell>
          <cell r="Q771" t="str">
            <v>2015_10</v>
          </cell>
        </row>
        <row r="772">
          <cell r="J772" t="e">
            <v>#N/A</v>
          </cell>
          <cell r="K772" t="e">
            <v>#N/A</v>
          </cell>
          <cell r="N772">
            <v>12000</v>
          </cell>
          <cell r="Q772" t="str">
            <v>2015_11</v>
          </cell>
        </row>
        <row r="773">
          <cell r="J773" t="e">
            <v>#N/A</v>
          </cell>
          <cell r="K773" t="e">
            <v>#N/A</v>
          </cell>
          <cell r="N773">
            <v>12000</v>
          </cell>
          <cell r="Q773" t="str">
            <v>2015_12</v>
          </cell>
        </row>
        <row r="774">
          <cell r="J774" t="e">
            <v>#N/A</v>
          </cell>
          <cell r="K774" t="e">
            <v>#N/A</v>
          </cell>
          <cell r="N774">
            <v>-60000</v>
          </cell>
          <cell r="Q774" t="str">
            <v>2016_01</v>
          </cell>
        </row>
        <row r="775">
          <cell r="J775" t="e">
            <v>#N/A</v>
          </cell>
          <cell r="K775" t="e">
            <v>#N/A</v>
          </cell>
          <cell r="N775">
            <v>12000</v>
          </cell>
          <cell r="Q775" t="str">
            <v>2016_02</v>
          </cell>
        </row>
        <row r="776">
          <cell r="J776" t="e">
            <v>#N/A</v>
          </cell>
          <cell r="K776" t="e">
            <v>#N/A</v>
          </cell>
          <cell r="N776">
            <v>12000</v>
          </cell>
          <cell r="Q776" t="str">
            <v>2016_03</v>
          </cell>
        </row>
        <row r="777">
          <cell r="J777" t="e">
            <v>#N/A</v>
          </cell>
          <cell r="K777" t="e">
            <v>#N/A</v>
          </cell>
          <cell r="N777">
            <v>22000</v>
          </cell>
          <cell r="Q777" t="str">
            <v>2016_04</v>
          </cell>
        </row>
        <row r="778">
          <cell r="J778" t="e">
            <v>#N/A</v>
          </cell>
          <cell r="K778" t="e">
            <v>#N/A</v>
          </cell>
          <cell r="N778">
            <v>22000</v>
          </cell>
          <cell r="Q778" t="str">
            <v>2016_05</v>
          </cell>
        </row>
        <row r="779">
          <cell r="J779" t="e">
            <v>#N/A</v>
          </cell>
          <cell r="K779" t="e">
            <v>#N/A</v>
          </cell>
          <cell r="N779">
            <v>22000</v>
          </cell>
          <cell r="Q779" t="str">
            <v>2016_06</v>
          </cell>
        </row>
        <row r="780">
          <cell r="J780" t="e">
            <v>#N/A</v>
          </cell>
          <cell r="K780" t="e">
            <v>#N/A</v>
          </cell>
          <cell r="N780">
            <v>46700</v>
          </cell>
          <cell r="Q780" t="str">
            <v>2016_07</v>
          </cell>
        </row>
        <row r="781">
          <cell r="J781" t="e">
            <v>#N/A</v>
          </cell>
          <cell r="K781" t="e">
            <v>#N/A</v>
          </cell>
          <cell r="N781">
            <v>46700</v>
          </cell>
          <cell r="Q781" t="str">
            <v>2016_08</v>
          </cell>
        </row>
        <row r="782">
          <cell r="J782" t="e">
            <v>#N/A</v>
          </cell>
          <cell r="K782" t="e">
            <v>#N/A</v>
          </cell>
          <cell r="N782">
            <v>46700</v>
          </cell>
          <cell r="Q782" t="str">
            <v>2016_09</v>
          </cell>
        </row>
        <row r="783">
          <cell r="J783" t="e">
            <v>#N/A</v>
          </cell>
          <cell r="K783" t="e">
            <v>#N/A</v>
          </cell>
          <cell r="N783">
            <v>37500</v>
          </cell>
          <cell r="Q783" t="str">
            <v>2015_10</v>
          </cell>
        </row>
        <row r="784">
          <cell r="J784" t="e">
            <v>#N/A</v>
          </cell>
          <cell r="K784" t="e">
            <v>#N/A</v>
          </cell>
          <cell r="N784">
            <v>0</v>
          </cell>
          <cell r="Q784" t="str">
            <v>2015_11</v>
          </cell>
        </row>
        <row r="785">
          <cell r="J785" t="e">
            <v>#N/A</v>
          </cell>
          <cell r="K785" t="e">
            <v>#N/A</v>
          </cell>
          <cell r="N785">
            <v>175000</v>
          </cell>
          <cell r="Q785" t="str">
            <v>2015_12</v>
          </cell>
        </row>
        <row r="786">
          <cell r="J786" t="e">
            <v>#N/A</v>
          </cell>
          <cell r="K786" t="e">
            <v>#N/A</v>
          </cell>
          <cell r="N786">
            <v>-118000</v>
          </cell>
          <cell r="Q786" t="str">
            <v>2016_01</v>
          </cell>
        </row>
        <row r="787">
          <cell r="J787" t="e">
            <v>#N/A</v>
          </cell>
          <cell r="K787" t="e">
            <v>#N/A</v>
          </cell>
          <cell r="N787">
            <v>0</v>
          </cell>
          <cell r="Q787" t="str">
            <v>2016_02</v>
          </cell>
        </row>
        <row r="788">
          <cell r="J788" t="e">
            <v>#N/A</v>
          </cell>
          <cell r="K788" t="e">
            <v>#N/A</v>
          </cell>
          <cell r="N788">
            <v>0</v>
          </cell>
          <cell r="Q788" t="str">
            <v>2016_03</v>
          </cell>
        </row>
        <row r="789">
          <cell r="J789" t="e">
            <v>#N/A</v>
          </cell>
          <cell r="K789" t="e">
            <v>#N/A</v>
          </cell>
          <cell r="N789">
            <v>0</v>
          </cell>
          <cell r="Q789" t="str">
            <v>2016_04</v>
          </cell>
        </row>
        <row r="790">
          <cell r="J790" t="e">
            <v>#N/A</v>
          </cell>
          <cell r="K790" t="e">
            <v>#N/A</v>
          </cell>
          <cell r="N790">
            <v>0</v>
          </cell>
          <cell r="Q790" t="str">
            <v>2016_05</v>
          </cell>
        </row>
        <row r="791">
          <cell r="J791" t="e">
            <v>#N/A</v>
          </cell>
          <cell r="K791" t="e">
            <v>#N/A</v>
          </cell>
          <cell r="N791">
            <v>0</v>
          </cell>
          <cell r="Q791" t="str">
            <v>2016_06</v>
          </cell>
        </row>
        <row r="792">
          <cell r="J792" t="e">
            <v>#N/A</v>
          </cell>
          <cell r="K792" t="e">
            <v>#N/A</v>
          </cell>
          <cell r="N792">
            <v>113900</v>
          </cell>
          <cell r="Q792" t="str">
            <v>2016_07</v>
          </cell>
        </row>
        <row r="793">
          <cell r="J793" t="e">
            <v>#N/A</v>
          </cell>
          <cell r="K793" t="e">
            <v>#N/A</v>
          </cell>
          <cell r="N793">
            <v>0</v>
          </cell>
          <cell r="Q793" t="str">
            <v>2016_08</v>
          </cell>
        </row>
        <row r="794">
          <cell r="J794" t="e">
            <v>#N/A</v>
          </cell>
          <cell r="K794" t="e">
            <v>#N/A</v>
          </cell>
          <cell r="N794">
            <v>0</v>
          </cell>
          <cell r="Q794" t="str">
            <v>2016_09</v>
          </cell>
        </row>
        <row r="795">
          <cell r="J795">
            <v>8</v>
          </cell>
          <cell r="K795">
            <v>8</v>
          </cell>
          <cell r="N795">
            <v>-717</v>
          </cell>
          <cell r="Q795" t="str">
            <v>2016_01</v>
          </cell>
        </row>
        <row r="796">
          <cell r="J796">
            <v>24</v>
          </cell>
          <cell r="K796">
            <v>24</v>
          </cell>
          <cell r="N796">
            <v>0</v>
          </cell>
          <cell r="Q796" t="str">
            <v>2015_10</v>
          </cell>
        </row>
        <row r="797">
          <cell r="J797">
            <v>24</v>
          </cell>
          <cell r="K797">
            <v>24</v>
          </cell>
          <cell r="N797">
            <v>1265.5999999999999</v>
          </cell>
          <cell r="Q797" t="str">
            <v>2015_11</v>
          </cell>
        </row>
        <row r="798">
          <cell r="J798">
            <v>24</v>
          </cell>
          <cell r="K798">
            <v>24</v>
          </cell>
          <cell r="N798">
            <v>0</v>
          </cell>
          <cell r="Q798" t="str">
            <v>2015_12</v>
          </cell>
        </row>
        <row r="799">
          <cell r="J799">
            <v>24</v>
          </cell>
          <cell r="K799">
            <v>24</v>
          </cell>
          <cell r="N799">
            <v>2528</v>
          </cell>
          <cell r="Q799" t="str">
            <v>2016_02</v>
          </cell>
        </row>
        <row r="800">
          <cell r="J800">
            <v>24</v>
          </cell>
          <cell r="K800">
            <v>24</v>
          </cell>
          <cell r="N800">
            <v>0</v>
          </cell>
          <cell r="Q800" t="str">
            <v>2016_03</v>
          </cell>
        </row>
        <row r="801">
          <cell r="J801">
            <v>24</v>
          </cell>
          <cell r="K801">
            <v>24</v>
          </cell>
          <cell r="N801">
            <v>0</v>
          </cell>
          <cell r="Q801" t="str">
            <v>2016_04</v>
          </cell>
        </row>
        <row r="802">
          <cell r="J802">
            <v>24</v>
          </cell>
          <cell r="K802">
            <v>24</v>
          </cell>
          <cell r="N802">
            <v>0</v>
          </cell>
          <cell r="Q802" t="str">
            <v>2016_05</v>
          </cell>
        </row>
        <row r="803">
          <cell r="J803">
            <v>24</v>
          </cell>
          <cell r="K803">
            <v>24</v>
          </cell>
          <cell r="N803">
            <v>5385.2</v>
          </cell>
          <cell r="Q803" t="str">
            <v>2016_06</v>
          </cell>
        </row>
        <row r="804">
          <cell r="J804">
            <v>24</v>
          </cell>
          <cell r="K804">
            <v>24</v>
          </cell>
          <cell r="N804">
            <v>2360</v>
          </cell>
          <cell r="Q804" t="str">
            <v>2016_07</v>
          </cell>
        </row>
        <row r="805">
          <cell r="J805">
            <v>24</v>
          </cell>
          <cell r="K805">
            <v>24</v>
          </cell>
          <cell r="N805">
            <v>2298</v>
          </cell>
          <cell r="Q805" t="str">
            <v>2016_08</v>
          </cell>
        </row>
        <row r="806">
          <cell r="J806">
            <v>24</v>
          </cell>
          <cell r="K806">
            <v>24</v>
          </cell>
          <cell r="N806">
            <v>0</v>
          </cell>
          <cell r="Q806" t="str">
            <v>2016_09</v>
          </cell>
        </row>
        <row r="807">
          <cell r="J807">
            <v>23</v>
          </cell>
          <cell r="K807">
            <v>23</v>
          </cell>
          <cell r="N807">
            <v>293.51</v>
          </cell>
          <cell r="Q807" t="str">
            <v>2015_10</v>
          </cell>
        </row>
        <row r="808">
          <cell r="J808">
            <v>23</v>
          </cell>
          <cell r="K808">
            <v>23</v>
          </cell>
          <cell r="N808">
            <v>0</v>
          </cell>
          <cell r="Q808" t="str">
            <v>2015_11</v>
          </cell>
        </row>
        <row r="809">
          <cell r="J809">
            <v>23</v>
          </cell>
          <cell r="K809">
            <v>23</v>
          </cell>
          <cell r="N809">
            <v>-15615.6</v>
          </cell>
          <cell r="Q809" t="str">
            <v>2015_12</v>
          </cell>
        </row>
        <row r="810">
          <cell r="J810">
            <v>23</v>
          </cell>
          <cell r="K810">
            <v>23</v>
          </cell>
          <cell r="N810">
            <v>581.79</v>
          </cell>
          <cell r="Q810" t="str">
            <v>2016_01</v>
          </cell>
        </row>
        <row r="811">
          <cell r="J811">
            <v>23</v>
          </cell>
          <cell r="K811">
            <v>23</v>
          </cell>
          <cell r="N811">
            <v>0</v>
          </cell>
          <cell r="Q811" t="str">
            <v>2016_02</v>
          </cell>
        </row>
        <row r="812">
          <cell r="J812">
            <v>23</v>
          </cell>
          <cell r="K812">
            <v>23</v>
          </cell>
          <cell r="N812">
            <v>530.05999999999995</v>
          </cell>
          <cell r="Q812" t="str">
            <v>2016_03</v>
          </cell>
        </row>
        <row r="813">
          <cell r="J813">
            <v>23</v>
          </cell>
          <cell r="K813">
            <v>23</v>
          </cell>
          <cell r="N813">
            <v>0</v>
          </cell>
          <cell r="Q813" t="str">
            <v>2016_04</v>
          </cell>
        </row>
        <row r="814">
          <cell r="J814">
            <v>23</v>
          </cell>
          <cell r="K814">
            <v>23</v>
          </cell>
          <cell r="N814">
            <v>0</v>
          </cell>
          <cell r="Q814" t="str">
            <v>2016_05</v>
          </cell>
        </row>
        <row r="815">
          <cell r="J815">
            <v>23</v>
          </cell>
          <cell r="K815">
            <v>23</v>
          </cell>
          <cell r="N815">
            <v>-17.41</v>
          </cell>
          <cell r="Q815" t="str">
            <v>2016_06</v>
          </cell>
        </row>
        <row r="816">
          <cell r="J816">
            <v>23</v>
          </cell>
          <cell r="K816">
            <v>23</v>
          </cell>
          <cell r="N816">
            <v>0</v>
          </cell>
          <cell r="Q816" t="str">
            <v>2016_07</v>
          </cell>
        </row>
        <row r="817">
          <cell r="J817">
            <v>23</v>
          </cell>
          <cell r="K817">
            <v>23</v>
          </cell>
          <cell r="N817">
            <v>0</v>
          </cell>
          <cell r="Q817" t="str">
            <v>2016_08</v>
          </cell>
        </row>
        <row r="818">
          <cell r="J818">
            <v>23</v>
          </cell>
          <cell r="K818">
            <v>23</v>
          </cell>
          <cell r="N818">
            <v>10287.89</v>
          </cell>
          <cell r="Q818" t="str">
            <v>2016_09</v>
          </cell>
        </row>
        <row r="819">
          <cell r="J819">
            <v>23</v>
          </cell>
          <cell r="K819">
            <v>23</v>
          </cell>
          <cell r="N819">
            <v>400</v>
          </cell>
          <cell r="Q819" t="str">
            <v>2015_10</v>
          </cell>
        </row>
        <row r="820">
          <cell r="J820">
            <v>23</v>
          </cell>
          <cell r="K820">
            <v>23</v>
          </cell>
          <cell r="N820">
            <v>0</v>
          </cell>
          <cell r="Q820" t="str">
            <v>2015_11</v>
          </cell>
        </row>
        <row r="821">
          <cell r="J821">
            <v>23</v>
          </cell>
          <cell r="K821">
            <v>23</v>
          </cell>
          <cell r="N821">
            <v>200</v>
          </cell>
          <cell r="Q821" t="str">
            <v>2015_12</v>
          </cell>
        </row>
        <row r="822">
          <cell r="J822">
            <v>23</v>
          </cell>
          <cell r="K822">
            <v>23</v>
          </cell>
          <cell r="N822">
            <v>600</v>
          </cell>
          <cell r="Q822" t="str">
            <v>2016_06</v>
          </cell>
        </row>
        <row r="823">
          <cell r="J823">
            <v>23</v>
          </cell>
          <cell r="K823">
            <v>23</v>
          </cell>
          <cell r="N823">
            <v>400</v>
          </cell>
          <cell r="Q823" t="str">
            <v>2016_07</v>
          </cell>
        </row>
        <row r="824">
          <cell r="J824">
            <v>23</v>
          </cell>
          <cell r="K824">
            <v>23</v>
          </cell>
          <cell r="N824">
            <v>0</v>
          </cell>
          <cell r="Q824" t="str">
            <v>2016_08</v>
          </cell>
        </row>
        <row r="825">
          <cell r="J825">
            <v>23</v>
          </cell>
          <cell r="K825">
            <v>23</v>
          </cell>
          <cell r="N825">
            <v>0</v>
          </cell>
          <cell r="Q825" t="str">
            <v>2016_09</v>
          </cell>
        </row>
        <row r="826">
          <cell r="J826">
            <v>22</v>
          </cell>
          <cell r="K826">
            <v>22</v>
          </cell>
          <cell r="N826">
            <v>399919.44</v>
          </cell>
          <cell r="Q826" t="str">
            <v>2015_10</v>
          </cell>
        </row>
        <row r="827">
          <cell r="J827">
            <v>22</v>
          </cell>
          <cell r="K827">
            <v>22</v>
          </cell>
          <cell r="N827">
            <v>353722.89</v>
          </cell>
          <cell r="Q827" t="str">
            <v>2015_11</v>
          </cell>
        </row>
        <row r="828">
          <cell r="J828">
            <v>22</v>
          </cell>
          <cell r="K828">
            <v>22</v>
          </cell>
          <cell r="N828">
            <v>363700.25</v>
          </cell>
          <cell r="Q828" t="str">
            <v>2015_12</v>
          </cell>
        </row>
        <row r="829">
          <cell r="J829">
            <v>22</v>
          </cell>
          <cell r="K829">
            <v>22</v>
          </cell>
          <cell r="N829">
            <v>294655.78999999998</v>
          </cell>
          <cell r="Q829" t="str">
            <v>2016_01</v>
          </cell>
        </row>
        <row r="830">
          <cell r="J830">
            <v>22</v>
          </cell>
          <cell r="K830">
            <v>22</v>
          </cell>
          <cell r="N830">
            <v>320602.81</v>
          </cell>
          <cell r="Q830" t="str">
            <v>2016_02</v>
          </cell>
        </row>
        <row r="831">
          <cell r="J831">
            <v>22</v>
          </cell>
          <cell r="K831">
            <v>22</v>
          </cell>
          <cell r="N831">
            <v>372800.34</v>
          </cell>
          <cell r="Q831" t="str">
            <v>2016_03</v>
          </cell>
        </row>
        <row r="832">
          <cell r="J832">
            <v>22</v>
          </cell>
          <cell r="K832">
            <v>22</v>
          </cell>
          <cell r="N832">
            <v>361525.29</v>
          </cell>
          <cell r="Q832" t="str">
            <v>2016_04</v>
          </cell>
        </row>
        <row r="833">
          <cell r="J833">
            <v>22</v>
          </cell>
          <cell r="K833">
            <v>22</v>
          </cell>
          <cell r="N833">
            <v>398364.13</v>
          </cell>
          <cell r="Q833" t="str">
            <v>2016_05</v>
          </cell>
        </row>
        <row r="834">
          <cell r="J834">
            <v>22</v>
          </cell>
          <cell r="K834">
            <v>22</v>
          </cell>
          <cell r="N834">
            <v>397280.28</v>
          </cell>
          <cell r="Q834" t="str">
            <v>2016_06</v>
          </cell>
        </row>
        <row r="835">
          <cell r="J835">
            <v>22</v>
          </cell>
          <cell r="K835">
            <v>22</v>
          </cell>
          <cell r="N835">
            <v>362653.4</v>
          </cell>
          <cell r="Q835" t="str">
            <v>2016_07</v>
          </cell>
        </row>
        <row r="836">
          <cell r="J836">
            <v>22</v>
          </cell>
          <cell r="K836">
            <v>22</v>
          </cell>
          <cell r="N836">
            <v>423951.21</v>
          </cell>
          <cell r="Q836" t="str">
            <v>2016_08</v>
          </cell>
        </row>
        <row r="837">
          <cell r="J837">
            <v>22</v>
          </cell>
          <cell r="K837">
            <v>22</v>
          </cell>
          <cell r="N837">
            <v>383654.67</v>
          </cell>
          <cell r="Q837" t="str">
            <v>2016_09</v>
          </cell>
        </row>
        <row r="838">
          <cell r="J838">
            <v>21</v>
          </cell>
          <cell r="K838">
            <v>21</v>
          </cell>
          <cell r="N838">
            <v>0</v>
          </cell>
          <cell r="Q838" t="str">
            <v>2015_10</v>
          </cell>
        </row>
        <row r="839">
          <cell r="J839">
            <v>21</v>
          </cell>
          <cell r="K839">
            <v>21</v>
          </cell>
          <cell r="N839">
            <v>0</v>
          </cell>
          <cell r="Q839" t="str">
            <v>2015_11</v>
          </cell>
        </row>
        <row r="840">
          <cell r="J840">
            <v>21</v>
          </cell>
          <cell r="K840">
            <v>21</v>
          </cell>
          <cell r="N840">
            <v>0</v>
          </cell>
          <cell r="Q840" t="str">
            <v>2015_12</v>
          </cell>
        </row>
        <row r="841">
          <cell r="J841">
            <v>6</v>
          </cell>
          <cell r="K841">
            <v>6</v>
          </cell>
          <cell r="N841">
            <v>-5702.28</v>
          </cell>
          <cell r="Q841" t="str">
            <v>2015_10</v>
          </cell>
        </row>
        <row r="842">
          <cell r="J842">
            <v>6</v>
          </cell>
          <cell r="K842">
            <v>6</v>
          </cell>
          <cell r="N842">
            <v>-5779.97</v>
          </cell>
          <cell r="Q842" t="str">
            <v>2015_11</v>
          </cell>
        </row>
        <row r="843">
          <cell r="J843">
            <v>6</v>
          </cell>
          <cell r="K843">
            <v>6</v>
          </cell>
          <cell r="N843">
            <v>-5668.8</v>
          </cell>
          <cell r="Q843" t="str">
            <v>2015_12</v>
          </cell>
        </row>
        <row r="844">
          <cell r="J844">
            <v>6</v>
          </cell>
          <cell r="K844">
            <v>6</v>
          </cell>
          <cell r="N844">
            <v>-5789.81</v>
          </cell>
          <cell r="Q844" t="str">
            <v>2016_01</v>
          </cell>
        </row>
        <row r="845">
          <cell r="J845">
            <v>6</v>
          </cell>
          <cell r="K845">
            <v>6</v>
          </cell>
          <cell r="N845">
            <v>-6000.84</v>
          </cell>
          <cell r="Q845" t="str">
            <v>2016_02</v>
          </cell>
        </row>
        <row r="846">
          <cell r="J846">
            <v>6</v>
          </cell>
          <cell r="K846">
            <v>6</v>
          </cell>
          <cell r="N846">
            <v>-5995.59</v>
          </cell>
          <cell r="Q846" t="str">
            <v>2016_03</v>
          </cell>
        </row>
        <row r="847">
          <cell r="J847">
            <v>6</v>
          </cell>
          <cell r="K847">
            <v>6</v>
          </cell>
          <cell r="N847">
            <v>-6074.48</v>
          </cell>
          <cell r="Q847" t="str">
            <v>2016_04</v>
          </cell>
        </row>
        <row r="848">
          <cell r="J848">
            <v>6</v>
          </cell>
          <cell r="K848">
            <v>6</v>
          </cell>
          <cell r="N848">
            <v>-6047.59</v>
          </cell>
          <cell r="Q848" t="str">
            <v>2016_05</v>
          </cell>
        </row>
        <row r="849">
          <cell r="J849">
            <v>6</v>
          </cell>
          <cell r="K849">
            <v>6</v>
          </cell>
          <cell r="N849">
            <v>-6112.84</v>
          </cell>
          <cell r="Q849" t="str">
            <v>2016_06</v>
          </cell>
        </row>
        <row r="850">
          <cell r="J850">
            <v>6</v>
          </cell>
          <cell r="K850">
            <v>6</v>
          </cell>
          <cell r="N850">
            <v>-5931.05</v>
          </cell>
          <cell r="Q850" t="str">
            <v>2016_07</v>
          </cell>
        </row>
        <row r="851">
          <cell r="J851">
            <v>6</v>
          </cell>
          <cell r="K851">
            <v>6</v>
          </cell>
          <cell r="N851">
            <v>-5870.96</v>
          </cell>
          <cell r="Q851" t="str">
            <v>2016_08</v>
          </cell>
        </row>
        <row r="852">
          <cell r="J852">
            <v>6</v>
          </cell>
          <cell r="K852">
            <v>6</v>
          </cell>
          <cell r="N852">
            <v>-5821.72</v>
          </cell>
          <cell r="Q852" t="str">
            <v>2016_09</v>
          </cell>
        </row>
        <row r="853">
          <cell r="J853">
            <v>18</v>
          </cell>
          <cell r="K853">
            <v>18</v>
          </cell>
          <cell r="N853">
            <v>-85</v>
          </cell>
          <cell r="Q853" t="str">
            <v>2015_10</v>
          </cell>
        </row>
        <row r="854">
          <cell r="J854">
            <v>18</v>
          </cell>
          <cell r="K854">
            <v>18</v>
          </cell>
          <cell r="N854">
            <v>-85</v>
          </cell>
          <cell r="Q854" t="str">
            <v>2015_11</v>
          </cell>
        </row>
        <row r="855">
          <cell r="J855">
            <v>18</v>
          </cell>
          <cell r="K855">
            <v>18</v>
          </cell>
          <cell r="N855">
            <v>-100</v>
          </cell>
          <cell r="Q855" t="str">
            <v>2015_12</v>
          </cell>
        </row>
        <row r="856">
          <cell r="J856">
            <v>18</v>
          </cell>
          <cell r="K856">
            <v>18</v>
          </cell>
          <cell r="N856">
            <v>-55</v>
          </cell>
          <cell r="Q856" t="str">
            <v>2016_01</v>
          </cell>
        </row>
        <row r="857">
          <cell r="J857">
            <v>18</v>
          </cell>
          <cell r="K857">
            <v>18</v>
          </cell>
          <cell r="N857">
            <v>-77.5</v>
          </cell>
          <cell r="Q857" t="str">
            <v>2016_02</v>
          </cell>
        </row>
        <row r="858">
          <cell r="J858">
            <v>18</v>
          </cell>
          <cell r="K858">
            <v>18</v>
          </cell>
          <cell r="N858">
            <v>-85</v>
          </cell>
          <cell r="Q858" t="str">
            <v>2016_03</v>
          </cell>
        </row>
        <row r="859">
          <cell r="J859">
            <v>18</v>
          </cell>
          <cell r="K859">
            <v>18</v>
          </cell>
          <cell r="N859">
            <v>-85</v>
          </cell>
          <cell r="Q859" t="str">
            <v>2016_04</v>
          </cell>
        </row>
        <row r="860">
          <cell r="J860">
            <v>18</v>
          </cell>
          <cell r="K860">
            <v>18</v>
          </cell>
          <cell r="N860">
            <v>-85</v>
          </cell>
          <cell r="Q860" t="str">
            <v>2016_05</v>
          </cell>
        </row>
        <row r="861">
          <cell r="J861">
            <v>18</v>
          </cell>
          <cell r="K861">
            <v>18</v>
          </cell>
          <cell r="N861">
            <v>-85</v>
          </cell>
          <cell r="Q861" t="str">
            <v>2016_06</v>
          </cell>
        </row>
        <row r="862">
          <cell r="J862">
            <v>18</v>
          </cell>
          <cell r="K862">
            <v>18</v>
          </cell>
          <cell r="N862">
            <v>-85</v>
          </cell>
          <cell r="Q862" t="str">
            <v>2016_07</v>
          </cell>
        </row>
        <row r="863">
          <cell r="J863">
            <v>18</v>
          </cell>
          <cell r="K863">
            <v>18</v>
          </cell>
          <cell r="N863">
            <v>-85</v>
          </cell>
          <cell r="Q863" t="str">
            <v>2016_08</v>
          </cell>
        </row>
        <row r="864">
          <cell r="J864">
            <v>18</v>
          </cell>
          <cell r="K864">
            <v>18</v>
          </cell>
          <cell r="N864">
            <v>-85</v>
          </cell>
          <cell r="Q864" t="str">
            <v>2016_09</v>
          </cell>
        </row>
        <row r="865">
          <cell r="J865">
            <v>18</v>
          </cell>
          <cell r="K865">
            <v>18</v>
          </cell>
          <cell r="N865">
            <v>0</v>
          </cell>
          <cell r="Q865" t="str">
            <v>2015_10</v>
          </cell>
        </row>
        <row r="866">
          <cell r="J866">
            <v>18</v>
          </cell>
          <cell r="K866">
            <v>18</v>
          </cell>
          <cell r="N866">
            <v>0</v>
          </cell>
          <cell r="Q866" t="str">
            <v>2015_11</v>
          </cell>
        </row>
        <row r="867">
          <cell r="J867">
            <v>18</v>
          </cell>
          <cell r="K867">
            <v>18</v>
          </cell>
          <cell r="N867">
            <v>0</v>
          </cell>
          <cell r="Q867" t="str">
            <v>2015_12</v>
          </cell>
        </row>
        <row r="868">
          <cell r="J868">
            <v>12</v>
          </cell>
          <cell r="K868">
            <v>12</v>
          </cell>
          <cell r="N868">
            <v>0</v>
          </cell>
          <cell r="Q868" t="str">
            <v>2015_10</v>
          </cell>
        </row>
        <row r="869">
          <cell r="J869">
            <v>12</v>
          </cell>
          <cell r="K869">
            <v>12</v>
          </cell>
          <cell r="N869">
            <v>0</v>
          </cell>
          <cell r="Q869" t="str">
            <v>2015_11</v>
          </cell>
        </row>
        <row r="870">
          <cell r="J870">
            <v>12</v>
          </cell>
          <cell r="K870">
            <v>12</v>
          </cell>
          <cell r="N870">
            <v>0</v>
          </cell>
          <cell r="Q870" t="str">
            <v>2015_12</v>
          </cell>
        </row>
        <row r="871">
          <cell r="J871">
            <v>16</v>
          </cell>
          <cell r="K871">
            <v>16</v>
          </cell>
          <cell r="N871">
            <v>-35</v>
          </cell>
          <cell r="Q871" t="str">
            <v>2015_10</v>
          </cell>
        </row>
        <row r="872">
          <cell r="J872">
            <v>16</v>
          </cell>
          <cell r="K872">
            <v>16</v>
          </cell>
          <cell r="N872">
            <v>-20</v>
          </cell>
          <cell r="Q872" t="str">
            <v>2015_11</v>
          </cell>
        </row>
        <row r="873">
          <cell r="J873">
            <v>16</v>
          </cell>
          <cell r="K873">
            <v>16</v>
          </cell>
          <cell r="N873">
            <v>-20</v>
          </cell>
          <cell r="Q873" t="str">
            <v>2015_12</v>
          </cell>
        </row>
        <row r="874">
          <cell r="J874">
            <v>16</v>
          </cell>
          <cell r="K874">
            <v>16</v>
          </cell>
          <cell r="N874">
            <v>10</v>
          </cell>
          <cell r="Q874" t="str">
            <v>2016_01</v>
          </cell>
        </row>
        <row r="875">
          <cell r="J875">
            <v>16</v>
          </cell>
          <cell r="K875">
            <v>16</v>
          </cell>
          <cell r="N875">
            <v>-20</v>
          </cell>
          <cell r="Q875" t="str">
            <v>2016_02</v>
          </cell>
        </row>
        <row r="876">
          <cell r="J876">
            <v>16</v>
          </cell>
          <cell r="K876">
            <v>16</v>
          </cell>
          <cell r="N876">
            <v>-5</v>
          </cell>
          <cell r="Q876" t="str">
            <v>2016_03</v>
          </cell>
        </row>
        <row r="877">
          <cell r="J877">
            <v>16</v>
          </cell>
          <cell r="K877">
            <v>16</v>
          </cell>
          <cell r="N877">
            <v>-20</v>
          </cell>
          <cell r="Q877" t="str">
            <v>2016_04</v>
          </cell>
        </row>
        <row r="878">
          <cell r="J878">
            <v>16</v>
          </cell>
          <cell r="K878">
            <v>16</v>
          </cell>
          <cell r="N878">
            <v>-20</v>
          </cell>
          <cell r="Q878" t="str">
            <v>2016_05</v>
          </cell>
        </row>
        <row r="879">
          <cell r="J879">
            <v>16</v>
          </cell>
          <cell r="K879">
            <v>16</v>
          </cell>
          <cell r="N879">
            <v>-20</v>
          </cell>
          <cell r="Q879" t="str">
            <v>2016_06</v>
          </cell>
        </row>
        <row r="880">
          <cell r="J880">
            <v>16</v>
          </cell>
          <cell r="K880">
            <v>16</v>
          </cell>
          <cell r="N880">
            <v>-20</v>
          </cell>
          <cell r="Q880" t="str">
            <v>2016_07</v>
          </cell>
        </row>
        <row r="881">
          <cell r="J881">
            <v>16</v>
          </cell>
          <cell r="K881">
            <v>16</v>
          </cell>
          <cell r="N881">
            <v>-20</v>
          </cell>
          <cell r="Q881" t="str">
            <v>2016_08</v>
          </cell>
        </row>
        <row r="882">
          <cell r="J882">
            <v>16</v>
          </cell>
          <cell r="K882">
            <v>16</v>
          </cell>
          <cell r="N882">
            <v>-20</v>
          </cell>
          <cell r="Q882" t="str">
            <v>2016_09</v>
          </cell>
        </row>
        <row r="883">
          <cell r="J883">
            <v>16</v>
          </cell>
          <cell r="K883">
            <v>16</v>
          </cell>
          <cell r="N883">
            <v>-285</v>
          </cell>
          <cell r="Q883" t="str">
            <v>2015_10</v>
          </cell>
        </row>
        <row r="884">
          <cell r="J884">
            <v>16</v>
          </cell>
          <cell r="K884">
            <v>16</v>
          </cell>
          <cell r="N884">
            <v>-269</v>
          </cell>
          <cell r="Q884" t="str">
            <v>2015_11</v>
          </cell>
        </row>
        <row r="885">
          <cell r="J885">
            <v>16</v>
          </cell>
          <cell r="K885">
            <v>16</v>
          </cell>
          <cell r="N885">
            <v>-285</v>
          </cell>
          <cell r="Q885" t="str">
            <v>2015_12</v>
          </cell>
        </row>
        <row r="886">
          <cell r="J886">
            <v>16</v>
          </cell>
          <cell r="K886">
            <v>16</v>
          </cell>
          <cell r="N886">
            <v>-270</v>
          </cell>
          <cell r="Q886" t="str">
            <v>2016_01</v>
          </cell>
        </row>
        <row r="887">
          <cell r="J887">
            <v>16</v>
          </cell>
          <cell r="K887">
            <v>16</v>
          </cell>
          <cell r="N887">
            <v>-267</v>
          </cell>
          <cell r="Q887" t="str">
            <v>2016_02</v>
          </cell>
        </row>
        <row r="888">
          <cell r="J888">
            <v>16</v>
          </cell>
          <cell r="K888">
            <v>16</v>
          </cell>
          <cell r="N888">
            <v>-255</v>
          </cell>
          <cell r="Q888" t="str">
            <v>2016_03</v>
          </cell>
        </row>
        <row r="889">
          <cell r="J889">
            <v>16</v>
          </cell>
          <cell r="K889">
            <v>16</v>
          </cell>
          <cell r="N889">
            <v>-255</v>
          </cell>
          <cell r="Q889" t="str">
            <v>2016_04</v>
          </cell>
        </row>
        <row r="890">
          <cell r="J890">
            <v>16</v>
          </cell>
          <cell r="K890">
            <v>16</v>
          </cell>
          <cell r="N890">
            <v>-252</v>
          </cell>
          <cell r="Q890" t="str">
            <v>2016_05</v>
          </cell>
        </row>
        <row r="891">
          <cell r="J891">
            <v>16</v>
          </cell>
          <cell r="K891">
            <v>16</v>
          </cell>
          <cell r="N891">
            <v>-255</v>
          </cell>
          <cell r="Q891" t="str">
            <v>2016_06</v>
          </cell>
        </row>
        <row r="892">
          <cell r="J892">
            <v>16</v>
          </cell>
          <cell r="K892">
            <v>16</v>
          </cell>
          <cell r="N892">
            <v>-258</v>
          </cell>
          <cell r="Q892" t="str">
            <v>2016_07</v>
          </cell>
        </row>
        <row r="893">
          <cell r="J893">
            <v>16</v>
          </cell>
          <cell r="K893">
            <v>16</v>
          </cell>
          <cell r="N893">
            <v>-270</v>
          </cell>
          <cell r="Q893" t="str">
            <v>2016_08</v>
          </cell>
        </row>
        <row r="894">
          <cell r="J894">
            <v>16</v>
          </cell>
          <cell r="K894">
            <v>16</v>
          </cell>
          <cell r="N894">
            <v>-255</v>
          </cell>
          <cell r="Q894" t="str">
            <v>2016_09</v>
          </cell>
        </row>
        <row r="895">
          <cell r="J895">
            <v>18</v>
          </cell>
          <cell r="K895">
            <v>18</v>
          </cell>
          <cell r="N895">
            <v>-109</v>
          </cell>
          <cell r="Q895" t="str">
            <v>2015_10</v>
          </cell>
        </row>
        <row r="896">
          <cell r="J896">
            <v>18</v>
          </cell>
          <cell r="K896">
            <v>18</v>
          </cell>
          <cell r="N896">
            <v>-115</v>
          </cell>
          <cell r="Q896" t="str">
            <v>2015_11</v>
          </cell>
        </row>
        <row r="897">
          <cell r="J897">
            <v>18</v>
          </cell>
          <cell r="K897">
            <v>18</v>
          </cell>
          <cell r="N897">
            <v>-115</v>
          </cell>
          <cell r="Q897" t="str">
            <v>2015_12</v>
          </cell>
        </row>
        <row r="898">
          <cell r="J898">
            <v>18</v>
          </cell>
          <cell r="K898">
            <v>18</v>
          </cell>
          <cell r="N898">
            <v>-115</v>
          </cell>
          <cell r="Q898" t="str">
            <v>2016_01</v>
          </cell>
        </row>
        <row r="899">
          <cell r="J899">
            <v>18</v>
          </cell>
          <cell r="K899">
            <v>18</v>
          </cell>
          <cell r="N899">
            <v>-115</v>
          </cell>
          <cell r="Q899" t="str">
            <v>2016_02</v>
          </cell>
        </row>
        <row r="900">
          <cell r="J900">
            <v>18</v>
          </cell>
          <cell r="K900">
            <v>18</v>
          </cell>
          <cell r="N900">
            <v>-103</v>
          </cell>
          <cell r="Q900" t="str">
            <v>2016_03</v>
          </cell>
        </row>
        <row r="901">
          <cell r="J901">
            <v>18</v>
          </cell>
          <cell r="K901">
            <v>18</v>
          </cell>
          <cell r="N901">
            <v>-115</v>
          </cell>
          <cell r="Q901" t="str">
            <v>2016_04</v>
          </cell>
        </row>
        <row r="902">
          <cell r="J902">
            <v>18</v>
          </cell>
          <cell r="K902">
            <v>18</v>
          </cell>
          <cell r="N902">
            <v>-115</v>
          </cell>
          <cell r="Q902" t="str">
            <v>2016_05</v>
          </cell>
        </row>
        <row r="903">
          <cell r="J903">
            <v>18</v>
          </cell>
          <cell r="K903">
            <v>18</v>
          </cell>
          <cell r="N903">
            <v>-112</v>
          </cell>
          <cell r="Q903" t="str">
            <v>2016_06</v>
          </cell>
        </row>
        <row r="904">
          <cell r="J904">
            <v>18</v>
          </cell>
          <cell r="K904">
            <v>18</v>
          </cell>
          <cell r="N904">
            <v>-100</v>
          </cell>
          <cell r="Q904" t="str">
            <v>2016_07</v>
          </cell>
        </row>
        <row r="905">
          <cell r="J905">
            <v>18</v>
          </cell>
          <cell r="K905">
            <v>18</v>
          </cell>
          <cell r="N905">
            <v>-88.75</v>
          </cell>
          <cell r="Q905" t="str">
            <v>2016_08</v>
          </cell>
        </row>
        <row r="906">
          <cell r="J906">
            <v>18</v>
          </cell>
          <cell r="K906">
            <v>18</v>
          </cell>
          <cell r="N906">
            <v>-115</v>
          </cell>
          <cell r="Q906" t="str">
            <v>2016_09</v>
          </cell>
        </row>
        <row r="907">
          <cell r="J907">
            <v>7</v>
          </cell>
          <cell r="K907">
            <v>7</v>
          </cell>
          <cell r="N907">
            <v>-18431.919999999998</v>
          </cell>
          <cell r="Q907" t="str">
            <v>2016_07</v>
          </cell>
        </row>
        <row r="908">
          <cell r="J908">
            <v>7</v>
          </cell>
          <cell r="K908">
            <v>7</v>
          </cell>
          <cell r="N908">
            <v>0</v>
          </cell>
          <cell r="Q908" t="str">
            <v>2016_08</v>
          </cell>
        </row>
        <row r="909">
          <cell r="J909">
            <v>7</v>
          </cell>
          <cell r="K909">
            <v>7</v>
          </cell>
          <cell r="N909">
            <v>0</v>
          </cell>
          <cell r="Q909" t="str">
            <v>2016_09</v>
          </cell>
        </row>
        <row r="910">
          <cell r="J910">
            <v>5</v>
          </cell>
          <cell r="K910">
            <v>5</v>
          </cell>
          <cell r="N910">
            <v>-75</v>
          </cell>
          <cell r="Q910" t="str">
            <v>2015_10</v>
          </cell>
        </row>
        <row r="911">
          <cell r="J911">
            <v>5</v>
          </cell>
          <cell r="K911">
            <v>5</v>
          </cell>
          <cell r="N911">
            <v>-75</v>
          </cell>
          <cell r="Q911" t="str">
            <v>2015_11</v>
          </cell>
        </row>
        <row r="912">
          <cell r="J912">
            <v>5</v>
          </cell>
          <cell r="K912">
            <v>5</v>
          </cell>
          <cell r="N912">
            <v>-144.88</v>
          </cell>
          <cell r="Q912" t="str">
            <v>2015_12</v>
          </cell>
        </row>
        <row r="913">
          <cell r="J913">
            <v>5</v>
          </cell>
          <cell r="K913">
            <v>5</v>
          </cell>
          <cell r="N913">
            <v>-76</v>
          </cell>
          <cell r="Q913" t="str">
            <v>2016_01</v>
          </cell>
        </row>
        <row r="914">
          <cell r="J914">
            <v>5</v>
          </cell>
          <cell r="K914">
            <v>5</v>
          </cell>
          <cell r="N914">
            <v>-4.12</v>
          </cell>
          <cell r="Q914" t="str">
            <v>2016_02</v>
          </cell>
        </row>
        <row r="915">
          <cell r="J915">
            <v>5</v>
          </cell>
          <cell r="K915">
            <v>5</v>
          </cell>
          <cell r="N915">
            <v>-75</v>
          </cell>
          <cell r="Q915" t="str">
            <v>2016_03</v>
          </cell>
        </row>
        <row r="916">
          <cell r="J916">
            <v>5</v>
          </cell>
          <cell r="K916">
            <v>5</v>
          </cell>
          <cell r="N916">
            <v>-75</v>
          </cell>
          <cell r="Q916" t="str">
            <v>2016_04</v>
          </cell>
        </row>
        <row r="917">
          <cell r="J917">
            <v>5</v>
          </cell>
          <cell r="K917">
            <v>5</v>
          </cell>
          <cell r="N917">
            <v>-75</v>
          </cell>
          <cell r="Q917" t="str">
            <v>2016_05</v>
          </cell>
        </row>
        <row r="918">
          <cell r="J918">
            <v>5</v>
          </cell>
          <cell r="K918">
            <v>5</v>
          </cell>
          <cell r="N918">
            <v>-75</v>
          </cell>
          <cell r="Q918" t="str">
            <v>2016_06</v>
          </cell>
        </row>
        <row r="919">
          <cell r="J919">
            <v>5</v>
          </cell>
          <cell r="K919">
            <v>5</v>
          </cell>
          <cell r="N919">
            <v>-75</v>
          </cell>
          <cell r="Q919" t="str">
            <v>2016_07</v>
          </cell>
        </row>
        <row r="920">
          <cell r="J920">
            <v>5</v>
          </cell>
          <cell r="K920">
            <v>5</v>
          </cell>
          <cell r="N920">
            <v>-75</v>
          </cell>
          <cell r="Q920" t="str">
            <v>2016_08</v>
          </cell>
        </row>
        <row r="921">
          <cell r="J921">
            <v>5</v>
          </cell>
          <cell r="K921">
            <v>5</v>
          </cell>
          <cell r="N921">
            <v>-75</v>
          </cell>
          <cell r="Q921" t="str">
            <v>2016_09</v>
          </cell>
        </row>
        <row r="922">
          <cell r="J922">
            <v>5</v>
          </cell>
          <cell r="K922">
            <v>5</v>
          </cell>
          <cell r="N922">
            <v>105.75</v>
          </cell>
          <cell r="Q922" t="str">
            <v>2016_08</v>
          </cell>
        </row>
        <row r="923">
          <cell r="J923">
            <v>5</v>
          </cell>
          <cell r="K923">
            <v>5</v>
          </cell>
          <cell r="N923">
            <v>0</v>
          </cell>
          <cell r="Q923" t="str">
            <v>2016_09</v>
          </cell>
        </row>
        <row r="924">
          <cell r="J924">
            <v>18</v>
          </cell>
          <cell r="K924">
            <v>18</v>
          </cell>
          <cell r="N924">
            <v>-60</v>
          </cell>
          <cell r="Q924" t="str">
            <v>2015_10</v>
          </cell>
        </row>
        <row r="925">
          <cell r="J925">
            <v>18</v>
          </cell>
          <cell r="K925">
            <v>18</v>
          </cell>
          <cell r="N925">
            <v>-60</v>
          </cell>
          <cell r="Q925" t="str">
            <v>2015_11</v>
          </cell>
        </row>
        <row r="926">
          <cell r="J926">
            <v>18</v>
          </cell>
          <cell r="K926">
            <v>18</v>
          </cell>
          <cell r="N926">
            <v>-60</v>
          </cell>
          <cell r="Q926" t="str">
            <v>2015_12</v>
          </cell>
        </row>
        <row r="927">
          <cell r="J927">
            <v>18</v>
          </cell>
          <cell r="K927">
            <v>18</v>
          </cell>
          <cell r="N927">
            <v>-60</v>
          </cell>
          <cell r="Q927" t="str">
            <v>2016_01</v>
          </cell>
        </row>
        <row r="928">
          <cell r="J928">
            <v>18</v>
          </cell>
          <cell r="K928">
            <v>18</v>
          </cell>
          <cell r="N928">
            <v>-63</v>
          </cell>
          <cell r="Q928" t="str">
            <v>2016_02</v>
          </cell>
        </row>
        <row r="929">
          <cell r="J929">
            <v>18</v>
          </cell>
          <cell r="K929">
            <v>18</v>
          </cell>
          <cell r="N929">
            <v>-60</v>
          </cell>
          <cell r="Q929" t="str">
            <v>2016_03</v>
          </cell>
        </row>
        <row r="930">
          <cell r="J930">
            <v>18</v>
          </cell>
          <cell r="K930">
            <v>18</v>
          </cell>
          <cell r="N930">
            <v>-60</v>
          </cell>
          <cell r="Q930" t="str">
            <v>2016_04</v>
          </cell>
        </row>
        <row r="931">
          <cell r="J931">
            <v>18</v>
          </cell>
          <cell r="K931">
            <v>18</v>
          </cell>
          <cell r="N931">
            <v>-60</v>
          </cell>
          <cell r="Q931" t="str">
            <v>2016_05</v>
          </cell>
        </row>
        <row r="932">
          <cell r="J932">
            <v>18</v>
          </cell>
          <cell r="K932">
            <v>18</v>
          </cell>
          <cell r="N932">
            <v>-60</v>
          </cell>
          <cell r="Q932" t="str">
            <v>2016_06</v>
          </cell>
        </row>
        <row r="933">
          <cell r="J933">
            <v>18</v>
          </cell>
          <cell r="K933">
            <v>18</v>
          </cell>
          <cell r="N933">
            <v>-60</v>
          </cell>
          <cell r="Q933" t="str">
            <v>2016_07</v>
          </cell>
        </row>
        <row r="934">
          <cell r="J934">
            <v>18</v>
          </cell>
          <cell r="K934">
            <v>18</v>
          </cell>
          <cell r="N934">
            <v>-60</v>
          </cell>
          <cell r="Q934" t="str">
            <v>2016_08</v>
          </cell>
        </row>
        <row r="935">
          <cell r="J935">
            <v>18</v>
          </cell>
          <cell r="K935">
            <v>18</v>
          </cell>
          <cell r="N935">
            <v>-60</v>
          </cell>
          <cell r="Q935" t="str">
            <v>2016_09</v>
          </cell>
        </row>
        <row r="936">
          <cell r="J936">
            <v>21</v>
          </cell>
          <cell r="K936">
            <v>21</v>
          </cell>
          <cell r="N936">
            <v>-7252.45</v>
          </cell>
          <cell r="Q936" t="str">
            <v>2015_10</v>
          </cell>
        </row>
        <row r="937">
          <cell r="J937">
            <v>21</v>
          </cell>
          <cell r="K937">
            <v>21</v>
          </cell>
          <cell r="N937">
            <v>-4536.6499999999996</v>
          </cell>
          <cell r="Q937" t="str">
            <v>2015_11</v>
          </cell>
        </row>
        <row r="938">
          <cell r="J938">
            <v>21</v>
          </cell>
          <cell r="K938">
            <v>21</v>
          </cell>
          <cell r="N938">
            <v>-5254.8</v>
          </cell>
          <cell r="Q938" t="str">
            <v>2015_12</v>
          </cell>
        </row>
        <row r="939">
          <cell r="J939">
            <v>21</v>
          </cell>
          <cell r="K939">
            <v>21</v>
          </cell>
          <cell r="N939">
            <v>-4156.13</v>
          </cell>
          <cell r="Q939" t="str">
            <v>2016_01</v>
          </cell>
        </row>
        <row r="940">
          <cell r="J940">
            <v>21</v>
          </cell>
          <cell r="K940">
            <v>21</v>
          </cell>
          <cell r="N940">
            <v>-4042.25</v>
          </cell>
          <cell r="Q940" t="str">
            <v>2016_02</v>
          </cell>
        </row>
        <row r="941">
          <cell r="J941">
            <v>21</v>
          </cell>
          <cell r="K941">
            <v>21</v>
          </cell>
          <cell r="N941">
            <v>-6562.55</v>
          </cell>
          <cell r="Q941" t="str">
            <v>2016_03</v>
          </cell>
        </row>
        <row r="942">
          <cell r="J942">
            <v>21</v>
          </cell>
          <cell r="K942">
            <v>21</v>
          </cell>
          <cell r="N942">
            <v>-5425.13</v>
          </cell>
          <cell r="Q942" t="str">
            <v>2016_04</v>
          </cell>
        </row>
        <row r="943">
          <cell r="J943">
            <v>21</v>
          </cell>
          <cell r="K943">
            <v>21</v>
          </cell>
          <cell r="N943">
            <v>-6088.7</v>
          </cell>
          <cell r="Q943" t="str">
            <v>2016_05</v>
          </cell>
        </row>
        <row r="944">
          <cell r="J944">
            <v>21</v>
          </cell>
          <cell r="K944">
            <v>21</v>
          </cell>
          <cell r="N944">
            <v>-5612.35</v>
          </cell>
          <cell r="Q944" t="str">
            <v>2016_06</v>
          </cell>
        </row>
        <row r="945">
          <cell r="J945">
            <v>21</v>
          </cell>
          <cell r="K945">
            <v>21</v>
          </cell>
          <cell r="N945">
            <v>-7048.85</v>
          </cell>
          <cell r="Q945" t="str">
            <v>2016_07</v>
          </cell>
        </row>
        <row r="946">
          <cell r="J946">
            <v>21</v>
          </cell>
          <cell r="K946">
            <v>21</v>
          </cell>
          <cell r="N946">
            <v>-8753</v>
          </cell>
          <cell r="Q946" t="str">
            <v>2016_08</v>
          </cell>
        </row>
        <row r="947">
          <cell r="J947">
            <v>21</v>
          </cell>
          <cell r="K947">
            <v>21</v>
          </cell>
          <cell r="N947">
            <v>-7099.5</v>
          </cell>
          <cell r="Q947" t="str">
            <v>2016_09</v>
          </cell>
        </row>
        <row r="948">
          <cell r="J948">
            <v>6</v>
          </cell>
          <cell r="K948">
            <v>6</v>
          </cell>
          <cell r="N948">
            <v>-1801.5</v>
          </cell>
          <cell r="Q948" t="str">
            <v>2015_10</v>
          </cell>
        </row>
        <row r="949">
          <cell r="J949">
            <v>6</v>
          </cell>
          <cell r="K949">
            <v>6</v>
          </cell>
          <cell r="N949">
            <v>-1933.42</v>
          </cell>
          <cell r="Q949" t="str">
            <v>2015_11</v>
          </cell>
        </row>
        <row r="950">
          <cell r="J950">
            <v>6</v>
          </cell>
          <cell r="K950">
            <v>6</v>
          </cell>
          <cell r="N950">
            <v>-2174.86</v>
          </cell>
          <cell r="Q950" t="str">
            <v>2015_12</v>
          </cell>
        </row>
        <row r="951">
          <cell r="J951">
            <v>6</v>
          </cell>
          <cell r="K951">
            <v>6</v>
          </cell>
          <cell r="N951">
            <v>-2135.5100000000002</v>
          </cell>
          <cell r="Q951" t="str">
            <v>2016_01</v>
          </cell>
        </row>
        <row r="952">
          <cell r="J952">
            <v>6</v>
          </cell>
          <cell r="K952">
            <v>6</v>
          </cell>
          <cell r="N952">
            <v>-2114.09</v>
          </cell>
          <cell r="Q952" t="str">
            <v>2016_02</v>
          </cell>
        </row>
        <row r="953">
          <cell r="J953">
            <v>6</v>
          </cell>
          <cell r="K953">
            <v>6</v>
          </cell>
          <cell r="N953">
            <v>-2165.23</v>
          </cell>
          <cell r="Q953" t="str">
            <v>2016_03</v>
          </cell>
        </row>
        <row r="954">
          <cell r="J954">
            <v>6</v>
          </cell>
          <cell r="K954">
            <v>6</v>
          </cell>
          <cell r="N954">
            <v>-2330.16</v>
          </cell>
          <cell r="Q954" t="str">
            <v>2016_04</v>
          </cell>
        </row>
        <row r="955">
          <cell r="J955">
            <v>6</v>
          </cell>
          <cell r="K955">
            <v>6</v>
          </cell>
          <cell r="N955">
            <v>-2491.0300000000002</v>
          </cell>
          <cell r="Q955" t="str">
            <v>2016_05</v>
          </cell>
        </row>
        <row r="956">
          <cell r="J956">
            <v>6</v>
          </cell>
          <cell r="K956">
            <v>6</v>
          </cell>
          <cell r="N956">
            <v>-2448.15</v>
          </cell>
          <cell r="Q956" t="str">
            <v>2016_06</v>
          </cell>
        </row>
        <row r="957">
          <cell r="J957">
            <v>6</v>
          </cell>
          <cell r="K957">
            <v>6</v>
          </cell>
          <cell r="N957">
            <v>-2293.19</v>
          </cell>
          <cell r="Q957" t="str">
            <v>2016_07</v>
          </cell>
        </row>
        <row r="958">
          <cell r="J958">
            <v>6</v>
          </cell>
          <cell r="K958">
            <v>6</v>
          </cell>
          <cell r="N958">
            <v>-2363.1999999999998</v>
          </cell>
          <cell r="Q958" t="str">
            <v>2016_08</v>
          </cell>
        </row>
        <row r="959">
          <cell r="J959">
            <v>6</v>
          </cell>
          <cell r="K959">
            <v>6</v>
          </cell>
          <cell r="N959">
            <v>-2382.91</v>
          </cell>
          <cell r="Q959" t="str">
            <v>2016_09</v>
          </cell>
        </row>
        <row r="960">
          <cell r="J960">
            <v>6</v>
          </cell>
          <cell r="K960">
            <v>6</v>
          </cell>
          <cell r="N960">
            <v>-248.71</v>
          </cell>
          <cell r="Q960" t="str">
            <v>2015_10</v>
          </cell>
        </row>
        <row r="961">
          <cell r="J961">
            <v>6</v>
          </cell>
          <cell r="K961">
            <v>6</v>
          </cell>
          <cell r="N961">
            <v>-149.43</v>
          </cell>
          <cell r="Q961" t="str">
            <v>2015_11</v>
          </cell>
        </row>
        <row r="962">
          <cell r="J962">
            <v>6</v>
          </cell>
          <cell r="K962">
            <v>6</v>
          </cell>
          <cell r="N962">
            <v>0</v>
          </cell>
          <cell r="Q962" t="str">
            <v>2015_12</v>
          </cell>
        </row>
        <row r="963">
          <cell r="J963">
            <v>5</v>
          </cell>
          <cell r="K963">
            <v>5</v>
          </cell>
          <cell r="N963">
            <v>-278.38</v>
          </cell>
          <cell r="Q963" t="str">
            <v>2015_10</v>
          </cell>
        </row>
        <row r="964">
          <cell r="J964">
            <v>5</v>
          </cell>
          <cell r="K964">
            <v>5</v>
          </cell>
          <cell r="N964">
            <v>-293.77</v>
          </cell>
          <cell r="Q964" t="str">
            <v>2015_11</v>
          </cell>
        </row>
        <row r="965">
          <cell r="J965">
            <v>5</v>
          </cell>
          <cell r="K965">
            <v>5</v>
          </cell>
          <cell r="N965">
            <v>-395.64</v>
          </cell>
          <cell r="Q965" t="str">
            <v>2015_12</v>
          </cell>
        </row>
        <row r="966">
          <cell r="J966">
            <v>5</v>
          </cell>
          <cell r="K966">
            <v>5</v>
          </cell>
          <cell r="N966">
            <v>-279.33</v>
          </cell>
          <cell r="Q966" t="str">
            <v>2016_01</v>
          </cell>
        </row>
        <row r="967">
          <cell r="J967">
            <v>5</v>
          </cell>
          <cell r="K967">
            <v>5</v>
          </cell>
          <cell r="N967">
            <v>-70.52</v>
          </cell>
          <cell r="Q967" t="str">
            <v>2016_02</v>
          </cell>
        </row>
        <row r="968">
          <cell r="J968">
            <v>5</v>
          </cell>
          <cell r="K968">
            <v>5</v>
          </cell>
          <cell r="N968">
            <v>-298.99</v>
          </cell>
          <cell r="Q968" t="str">
            <v>2016_03</v>
          </cell>
        </row>
        <row r="969">
          <cell r="J969">
            <v>5</v>
          </cell>
          <cell r="K969">
            <v>5</v>
          </cell>
          <cell r="N969">
            <v>-318.64</v>
          </cell>
          <cell r="Q969" t="str">
            <v>2016_04</v>
          </cell>
        </row>
        <row r="970">
          <cell r="J970">
            <v>5</v>
          </cell>
          <cell r="K970">
            <v>5</v>
          </cell>
          <cell r="N970">
            <v>-283.69</v>
          </cell>
          <cell r="Q970" t="str">
            <v>2016_05</v>
          </cell>
        </row>
        <row r="971">
          <cell r="J971">
            <v>5</v>
          </cell>
          <cell r="K971">
            <v>5</v>
          </cell>
          <cell r="N971">
            <v>-274.2</v>
          </cell>
          <cell r="Q971" t="str">
            <v>2016_06</v>
          </cell>
        </row>
        <row r="972">
          <cell r="J972">
            <v>5</v>
          </cell>
          <cell r="K972">
            <v>5</v>
          </cell>
          <cell r="N972">
            <v>-289.01</v>
          </cell>
          <cell r="Q972" t="str">
            <v>2016_07</v>
          </cell>
        </row>
        <row r="973">
          <cell r="J973">
            <v>5</v>
          </cell>
          <cell r="K973">
            <v>5</v>
          </cell>
          <cell r="N973">
            <v>-236.97</v>
          </cell>
          <cell r="Q973" t="str">
            <v>2016_08</v>
          </cell>
        </row>
        <row r="974">
          <cell r="J974">
            <v>5</v>
          </cell>
          <cell r="K974">
            <v>5</v>
          </cell>
          <cell r="N974">
            <v>-355.59</v>
          </cell>
          <cell r="Q974" t="str">
            <v>2016_09</v>
          </cell>
        </row>
        <row r="975">
          <cell r="J975">
            <v>5</v>
          </cell>
          <cell r="K975">
            <v>5</v>
          </cell>
          <cell r="N975">
            <v>-281.75</v>
          </cell>
          <cell r="Q975" t="str">
            <v>2015_10</v>
          </cell>
        </row>
        <row r="976">
          <cell r="J976">
            <v>5</v>
          </cell>
          <cell r="K976">
            <v>5</v>
          </cell>
          <cell r="N976">
            <v>-466.41</v>
          </cell>
          <cell r="Q976" t="str">
            <v>2015_11</v>
          </cell>
        </row>
        <row r="977">
          <cell r="J977">
            <v>5</v>
          </cell>
          <cell r="K977">
            <v>5</v>
          </cell>
          <cell r="N977">
            <v>-555</v>
          </cell>
          <cell r="Q977" t="str">
            <v>2015_12</v>
          </cell>
        </row>
        <row r="978">
          <cell r="J978">
            <v>5</v>
          </cell>
          <cell r="K978">
            <v>5</v>
          </cell>
          <cell r="N978">
            <v>-291.89999999999998</v>
          </cell>
          <cell r="Q978" t="str">
            <v>2016_01</v>
          </cell>
        </row>
        <row r="979">
          <cell r="J979">
            <v>5</v>
          </cell>
          <cell r="K979">
            <v>5</v>
          </cell>
          <cell r="N979">
            <v>-99.44</v>
          </cell>
          <cell r="Q979" t="str">
            <v>2016_02</v>
          </cell>
        </row>
        <row r="980">
          <cell r="J980">
            <v>5</v>
          </cell>
          <cell r="K980">
            <v>5</v>
          </cell>
          <cell r="N980">
            <v>-257.75</v>
          </cell>
          <cell r="Q980" t="str">
            <v>2016_03</v>
          </cell>
        </row>
        <row r="981">
          <cell r="J981">
            <v>5</v>
          </cell>
          <cell r="K981">
            <v>5</v>
          </cell>
          <cell r="N981">
            <v>-197.36</v>
          </cell>
          <cell r="Q981" t="str">
            <v>2016_04</v>
          </cell>
        </row>
        <row r="982">
          <cell r="J982">
            <v>5</v>
          </cell>
          <cell r="K982">
            <v>5</v>
          </cell>
          <cell r="N982">
            <v>-154.09</v>
          </cell>
          <cell r="Q982" t="str">
            <v>2016_05</v>
          </cell>
        </row>
        <row r="983">
          <cell r="J983">
            <v>5</v>
          </cell>
          <cell r="K983">
            <v>5</v>
          </cell>
          <cell r="N983">
            <v>-207.05</v>
          </cell>
          <cell r="Q983" t="str">
            <v>2016_06</v>
          </cell>
        </row>
        <row r="984">
          <cell r="J984">
            <v>5</v>
          </cell>
          <cell r="K984">
            <v>5</v>
          </cell>
          <cell r="N984">
            <v>-388.19</v>
          </cell>
          <cell r="Q984" t="str">
            <v>2016_07</v>
          </cell>
        </row>
        <row r="985">
          <cell r="J985">
            <v>5</v>
          </cell>
          <cell r="K985">
            <v>5</v>
          </cell>
          <cell r="N985">
            <v>-323.69</v>
          </cell>
          <cell r="Q985" t="str">
            <v>2016_08</v>
          </cell>
        </row>
        <row r="986">
          <cell r="J986">
            <v>5</v>
          </cell>
          <cell r="K986">
            <v>5</v>
          </cell>
          <cell r="N986">
            <v>-478.71</v>
          </cell>
          <cell r="Q986" t="str">
            <v>2016_09</v>
          </cell>
        </row>
        <row r="987">
          <cell r="J987">
            <v>16</v>
          </cell>
          <cell r="K987">
            <v>16</v>
          </cell>
          <cell r="N987">
            <v>-8.6199999999999992</v>
          </cell>
          <cell r="Q987" t="str">
            <v>2015_10</v>
          </cell>
        </row>
        <row r="988">
          <cell r="J988">
            <v>16</v>
          </cell>
          <cell r="K988">
            <v>16</v>
          </cell>
          <cell r="N988">
            <v>-12.92</v>
          </cell>
          <cell r="Q988" t="str">
            <v>2015_11</v>
          </cell>
        </row>
        <row r="989">
          <cell r="J989">
            <v>16</v>
          </cell>
          <cell r="K989">
            <v>16</v>
          </cell>
          <cell r="N989">
            <v>-5.71</v>
          </cell>
          <cell r="Q989" t="str">
            <v>2015_12</v>
          </cell>
        </row>
        <row r="990">
          <cell r="J990">
            <v>16</v>
          </cell>
          <cell r="K990">
            <v>16</v>
          </cell>
          <cell r="N990">
            <v>-7.65</v>
          </cell>
          <cell r="Q990" t="str">
            <v>2016_01</v>
          </cell>
        </row>
        <row r="991">
          <cell r="J991">
            <v>16</v>
          </cell>
          <cell r="K991">
            <v>16</v>
          </cell>
          <cell r="N991">
            <v>-8.69</v>
          </cell>
          <cell r="Q991" t="str">
            <v>2016_02</v>
          </cell>
        </row>
        <row r="992">
          <cell r="J992">
            <v>16</v>
          </cell>
          <cell r="K992">
            <v>16</v>
          </cell>
          <cell r="N992">
            <v>-2.67</v>
          </cell>
          <cell r="Q992" t="str">
            <v>2016_03</v>
          </cell>
        </row>
        <row r="993">
          <cell r="J993">
            <v>16</v>
          </cell>
          <cell r="K993">
            <v>16</v>
          </cell>
          <cell r="N993">
            <v>-9.65</v>
          </cell>
          <cell r="Q993" t="str">
            <v>2016_04</v>
          </cell>
        </row>
        <row r="994">
          <cell r="J994">
            <v>16</v>
          </cell>
          <cell r="K994">
            <v>16</v>
          </cell>
          <cell r="N994">
            <v>-4.71</v>
          </cell>
          <cell r="Q994" t="str">
            <v>2016_05</v>
          </cell>
        </row>
        <row r="995">
          <cell r="J995">
            <v>16</v>
          </cell>
          <cell r="K995">
            <v>16</v>
          </cell>
          <cell r="N995">
            <v>-6.67</v>
          </cell>
          <cell r="Q995" t="str">
            <v>2016_06</v>
          </cell>
        </row>
        <row r="996">
          <cell r="J996">
            <v>16</v>
          </cell>
          <cell r="K996">
            <v>16</v>
          </cell>
          <cell r="N996">
            <v>-7.69</v>
          </cell>
          <cell r="Q996" t="str">
            <v>2016_07</v>
          </cell>
        </row>
        <row r="997">
          <cell r="J997">
            <v>16</v>
          </cell>
          <cell r="K997">
            <v>16</v>
          </cell>
          <cell r="N997">
            <v>-10.69</v>
          </cell>
          <cell r="Q997" t="str">
            <v>2016_08</v>
          </cell>
        </row>
        <row r="998">
          <cell r="J998">
            <v>16</v>
          </cell>
          <cell r="K998">
            <v>16</v>
          </cell>
          <cell r="N998">
            <v>-8.73</v>
          </cell>
          <cell r="Q998" t="str">
            <v>2016_09</v>
          </cell>
        </row>
        <row r="999">
          <cell r="J999">
            <v>5</v>
          </cell>
          <cell r="K999">
            <v>5</v>
          </cell>
          <cell r="N999">
            <v>-97.59</v>
          </cell>
          <cell r="Q999" t="str">
            <v>2015_10</v>
          </cell>
        </row>
        <row r="1000">
          <cell r="J1000">
            <v>5</v>
          </cell>
          <cell r="K1000">
            <v>5</v>
          </cell>
          <cell r="N1000">
            <v>-142.91999999999999</v>
          </cell>
          <cell r="Q1000" t="str">
            <v>2015_11</v>
          </cell>
        </row>
        <row r="1001">
          <cell r="J1001">
            <v>5</v>
          </cell>
          <cell r="K1001">
            <v>5</v>
          </cell>
          <cell r="N1001">
            <v>-142.02000000000001</v>
          </cell>
          <cell r="Q1001" t="str">
            <v>2015_12</v>
          </cell>
        </row>
        <row r="1002">
          <cell r="J1002">
            <v>5</v>
          </cell>
          <cell r="K1002">
            <v>5</v>
          </cell>
          <cell r="N1002">
            <v>-224.21</v>
          </cell>
          <cell r="Q1002" t="str">
            <v>2016_01</v>
          </cell>
        </row>
        <row r="1003">
          <cell r="J1003">
            <v>5</v>
          </cell>
          <cell r="K1003">
            <v>5</v>
          </cell>
          <cell r="N1003">
            <v>-65.95</v>
          </cell>
          <cell r="Q1003" t="str">
            <v>2016_02</v>
          </cell>
        </row>
        <row r="1004">
          <cell r="J1004">
            <v>5</v>
          </cell>
          <cell r="K1004">
            <v>5</v>
          </cell>
          <cell r="N1004">
            <v>-103.38</v>
          </cell>
          <cell r="Q1004" t="str">
            <v>2016_03</v>
          </cell>
        </row>
        <row r="1005">
          <cell r="J1005">
            <v>5</v>
          </cell>
          <cell r="K1005">
            <v>5</v>
          </cell>
          <cell r="N1005">
            <v>-108.12</v>
          </cell>
          <cell r="Q1005" t="str">
            <v>2016_04</v>
          </cell>
        </row>
        <row r="1006">
          <cell r="J1006">
            <v>5</v>
          </cell>
          <cell r="K1006">
            <v>5</v>
          </cell>
          <cell r="N1006">
            <v>-92.72</v>
          </cell>
          <cell r="Q1006" t="str">
            <v>2016_05</v>
          </cell>
        </row>
        <row r="1007">
          <cell r="J1007">
            <v>5</v>
          </cell>
          <cell r="K1007">
            <v>5</v>
          </cell>
          <cell r="N1007">
            <v>-126.27</v>
          </cell>
          <cell r="Q1007" t="str">
            <v>2016_06</v>
          </cell>
        </row>
        <row r="1008">
          <cell r="J1008">
            <v>5</v>
          </cell>
          <cell r="K1008">
            <v>5</v>
          </cell>
          <cell r="N1008">
            <v>-162.93</v>
          </cell>
          <cell r="Q1008" t="str">
            <v>2016_07</v>
          </cell>
        </row>
        <row r="1009">
          <cell r="J1009">
            <v>5</v>
          </cell>
          <cell r="K1009">
            <v>5</v>
          </cell>
          <cell r="N1009">
            <v>-138.22</v>
          </cell>
          <cell r="Q1009" t="str">
            <v>2016_08</v>
          </cell>
        </row>
        <row r="1010">
          <cell r="J1010">
            <v>5</v>
          </cell>
          <cell r="K1010">
            <v>5</v>
          </cell>
          <cell r="N1010">
            <v>-216.81</v>
          </cell>
          <cell r="Q1010" t="str">
            <v>2016_09</v>
          </cell>
        </row>
        <row r="1011">
          <cell r="J1011">
            <v>18</v>
          </cell>
          <cell r="K1011">
            <v>18</v>
          </cell>
          <cell r="N1011">
            <v>-749.67</v>
          </cell>
          <cell r="Q1011" t="str">
            <v>2015_10</v>
          </cell>
        </row>
        <row r="1012">
          <cell r="J1012">
            <v>18</v>
          </cell>
          <cell r="K1012">
            <v>18</v>
          </cell>
          <cell r="N1012">
            <v>-1</v>
          </cell>
          <cell r="Q1012" t="str">
            <v>2015_11</v>
          </cell>
        </row>
        <row r="1013">
          <cell r="J1013">
            <v>18</v>
          </cell>
          <cell r="K1013">
            <v>18</v>
          </cell>
          <cell r="N1013">
            <v>-3</v>
          </cell>
          <cell r="Q1013" t="str">
            <v>2015_12</v>
          </cell>
        </row>
        <row r="1014">
          <cell r="J1014">
            <v>18</v>
          </cell>
          <cell r="K1014">
            <v>18</v>
          </cell>
          <cell r="N1014">
            <v>-727.4</v>
          </cell>
          <cell r="Q1014" t="str">
            <v>2016_01</v>
          </cell>
        </row>
        <row r="1015">
          <cell r="J1015">
            <v>18</v>
          </cell>
          <cell r="K1015">
            <v>18</v>
          </cell>
          <cell r="N1015">
            <v>723.05</v>
          </cell>
          <cell r="Q1015" t="str">
            <v>2016_02</v>
          </cell>
        </row>
        <row r="1016">
          <cell r="J1016">
            <v>18</v>
          </cell>
          <cell r="K1016">
            <v>18</v>
          </cell>
          <cell r="N1016">
            <v>0</v>
          </cell>
          <cell r="Q1016" t="str">
            <v>2016_03</v>
          </cell>
        </row>
        <row r="1017">
          <cell r="J1017">
            <v>18</v>
          </cell>
          <cell r="K1017">
            <v>18</v>
          </cell>
          <cell r="N1017">
            <v>-32.19</v>
          </cell>
          <cell r="Q1017" t="str">
            <v>2016_04</v>
          </cell>
        </row>
        <row r="1018">
          <cell r="J1018">
            <v>18</v>
          </cell>
          <cell r="K1018">
            <v>18</v>
          </cell>
          <cell r="N1018">
            <v>0</v>
          </cell>
          <cell r="Q1018" t="str">
            <v>2016_05</v>
          </cell>
        </row>
        <row r="1019">
          <cell r="J1019">
            <v>18</v>
          </cell>
          <cell r="K1019">
            <v>18</v>
          </cell>
          <cell r="N1019">
            <v>-2</v>
          </cell>
          <cell r="Q1019" t="str">
            <v>2016_06</v>
          </cell>
        </row>
        <row r="1020">
          <cell r="J1020">
            <v>18</v>
          </cell>
          <cell r="K1020">
            <v>18</v>
          </cell>
          <cell r="N1020">
            <v>0</v>
          </cell>
          <cell r="Q1020" t="str">
            <v>2016_07</v>
          </cell>
        </row>
        <row r="1021">
          <cell r="J1021">
            <v>18</v>
          </cell>
          <cell r="K1021">
            <v>18</v>
          </cell>
          <cell r="N1021">
            <v>-2</v>
          </cell>
          <cell r="Q1021" t="str">
            <v>2016_08</v>
          </cell>
        </row>
        <row r="1022">
          <cell r="J1022">
            <v>18</v>
          </cell>
          <cell r="K1022">
            <v>18</v>
          </cell>
          <cell r="N1022">
            <v>-1.6</v>
          </cell>
          <cell r="Q1022" t="str">
            <v>2016_09</v>
          </cell>
        </row>
        <row r="1023">
          <cell r="J1023">
            <v>18</v>
          </cell>
          <cell r="K1023">
            <v>18</v>
          </cell>
          <cell r="N1023">
            <v>-1</v>
          </cell>
          <cell r="Q1023" t="str">
            <v>2015_10</v>
          </cell>
        </row>
        <row r="1024">
          <cell r="J1024">
            <v>18</v>
          </cell>
          <cell r="K1024">
            <v>18</v>
          </cell>
          <cell r="N1024">
            <v>0</v>
          </cell>
          <cell r="Q1024" t="str">
            <v>2015_11</v>
          </cell>
        </row>
        <row r="1025">
          <cell r="J1025">
            <v>18</v>
          </cell>
          <cell r="K1025">
            <v>18</v>
          </cell>
          <cell r="N1025">
            <v>0</v>
          </cell>
          <cell r="Q1025" t="str">
            <v>2015_12</v>
          </cell>
        </row>
        <row r="1026">
          <cell r="J1026">
            <v>18</v>
          </cell>
          <cell r="K1026">
            <v>18</v>
          </cell>
          <cell r="N1026">
            <v>-1</v>
          </cell>
          <cell r="Q1026" t="str">
            <v>2015_10</v>
          </cell>
        </row>
        <row r="1027">
          <cell r="J1027">
            <v>18</v>
          </cell>
          <cell r="K1027">
            <v>18</v>
          </cell>
          <cell r="N1027">
            <v>-1</v>
          </cell>
          <cell r="Q1027" t="str">
            <v>2015_11</v>
          </cell>
        </row>
        <row r="1028">
          <cell r="J1028">
            <v>18</v>
          </cell>
          <cell r="K1028">
            <v>18</v>
          </cell>
          <cell r="N1028">
            <v>-1</v>
          </cell>
          <cell r="Q1028" t="str">
            <v>2015_12</v>
          </cell>
        </row>
        <row r="1029">
          <cell r="J1029">
            <v>18</v>
          </cell>
          <cell r="K1029">
            <v>18</v>
          </cell>
          <cell r="N1029">
            <v>-1</v>
          </cell>
          <cell r="Q1029" t="str">
            <v>2016_03</v>
          </cell>
        </row>
        <row r="1030">
          <cell r="J1030">
            <v>18</v>
          </cell>
          <cell r="K1030">
            <v>18</v>
          </cell>
          <cell r="N1030">
            <v>0</v>
          </cell>
          <cell r="Q1030" t="str">
            <v>2016_04</v>
          </cell>
        </row>
        <row r="1031">
          <cell r="J1031">
            <v>18</v>
          </cell>
          <cell r="K1031">
            <v>18</v>
          </cell>
          <cell r="N1031">
            <v>-1</v>
          </cell>
          <cell r="Q1031" t="str">
            <v>2016_05</v>
          </cell>
        </row>
        <row r="1032">
          <cell r="J1032">
            <v>18</v>
          </cell>
          <cell r="K1032">
            <v>18</v>
          </cell>
          <cell r="N1032">
            <v>-1</v>
          </cell>
          <cell r="Q1032" t="str">
            <v>2016_06</v>
          </cell>
        </row>
        <row r="1033">
          <cell r="J1033">
            <v>18</v>
          </cell>
          <cell r="K1033">
            <v>18</v>
          </cell>
          <cell r="N1033">
            <v>-1</v>
          </cell>
          <cell r="Q1033" t="str">
            <v>2016_07</v>
          </cell>
        </row>
        <row r="1034">
          <cell r="J1034">
            <v>18</v>
          </cell>
          <cell r="K1034">
            <v>18</v>
          </cell>
          <cell r="N1034">
            <v>0</v>
          </cell>
          <cell r="Q1034" t="str">
            <v>2016_08</v>
          </cell>
        </row>
        <row r="1035">
          <cell r="J1035">
            <v>18</v>
          </cell>
          <cell r="K1035">
            <v>18</v>
          </cell>
          <cell r="N1035">
            <v>-3</v>
          </cell>
          <cell r="Q1035" t="str">
            <v>2016_09</v>
          </cell>
        </row>
        <row r="1036">
          <cell r="J1036">
            <v>9</v>
          </cell>
          <cell r="K1036">
            <v>9</v>
          </cell>
          <cell r="N1036">
            <v>0</v>
          </cell>
          <cell r="Q1036" t="str">
            <v>2015_10</v>
          </cell>
        </row>
        <row r="1037">
          <cell r="J1037">
            <v>9</v>
          </cell>
          <cell r="K1037">
            <v>9</v>
          </cell>
          <cell r="N1037">
            <v>0</v>
          </cell>
          <cell r="Q1037" t="str">
            <v>2015_11</v>
          </cell>
        </row>
        <row r="1038">
          <cell r="J1038">
            <v>9</v>
          </cell>
          <cell r="K1038">
            <v>9</v>
          </cell>
          <cell r="N1038">
            <v>0</v>
          </cell>
          <cell r="Q1038" t="str">
            <v>2015_12</v>
          </cell>
        </row>
        <row r="1039">
          <cell r="J1039">
            <v>20</v>
          </cell>
          <cell r="K1039">
            <v>20</v>
          </cell>
          <cell r="N1039">
            <v>-1558.41</v>
          </cell>
          <cell r="Q1039" t="str">
            <v>2015_10</v>
          </cell>
        </row>
        <row r="1040">
          <cell r="J1040">
            <v>20</v>
          </cell>
          <cell r="K1040">
            <v>20</v>
          </cell>
          <cell r="N1040">
            <v>-532.14</v>
          </cell>
          <cell r="Q1040" t="str">
            <v>2015_11</v>
          </cell>
        </row>
        <row r="1041">
          <cell r="J1041">
            <v>20</v>
          </cell>
          <cell r="K1041">
            <v>20</v>
          </cell>
          <cell r="N1041">
            <v>-912.24</v>
          </cell>
          <cell r="Q1041" t="str">
            <v>2015_12</v>
          </cell>
        </row>
        <row r="1042">
          <cell r="J1042">
            <v>20</v>
          </cell>
          <cell r="K1042">
            <v>20</v>
          </cell>
          <cell r="N1042">
            <v>-2280.6</v>
          </cell>
          <cell r="Q1042" t="str">
            <v>2016_01</v>
          </cell>
        </row>
        <row r="1043">
          <cell r="J1043">
            <v>20</v>
          </cell>
          <cell r="K1043">
            <v>20</v>
          </cell>
          <cell r="N1043">
            <v>-1178.31</v>
          </cell>
          <cell r="Q1043" t="str">
            <v>2016_02</v>
          </cell>
        </row>
        <row r="1044">
          <cell r="J1044">
            <v>20</v>
          </cell>
          <cell r="K1044">
            <v>20</v>
          </cell>
          <cell r="N1044">
            <v>-836.22</v>
          </cell>
          <cell r="Q1044" t="str">
            <v>2016_03</v>
          </cell>
        </row>
        <row r="1045">
          <cell r="J1045">
            <v>20</v>
          </cell>
          <cell r="K1045">
            <v>20</v>
          </cell>
          <cell r="N1045">
            <v>-1178.31</v>
          </cell>
          <cell r="Q1045" t="str">
            <v>2016_04</v>
          </cell>
        </row>
        <row r="1046">
          <cell r="J1046">
            <v>20</v>
          </cell>
          <cell r="K1046">
            <v>20</v>
          </cell>
          <cell r="N1046">
            <v>-1672.44</v>
          </cell>
          <cell r="Q1046" t="str">
            <v>2016_05</v>
          </cell>
        </row>
        <row r="1047">
          <cell r="J1047">
            <v>20</v>
          </cell>
          <cell r="K1047">
            <v>20</v>
          </cell>
          <cell r="N1047">
            <v>-950.25</v>
          </cell>
          <cell r="Q1047" t="str">
            <v>2016_06</v>
          </cell>
        </row>
        <row r="1048">
          <cell r="J1048">
            <v>20</v>
          </cell>
          <cell r="K1048">
            <v>20</v>
          </cell>
          <cell r="N1048">
            <v>-380.1</v>
          </cell>
          <cell r="Q1048" t="str">
            <v>2016_07</v>
          </cell>
        </row>
        <row r="1049">
          <cell r="J1049">
            <v>20</v>
          </cell>
          <cell r="K1049">
            <v>20</v>
          </cell>
          <cell r="N1049">
            <v>-646.16999999999996</v>
          </cell>
          <cell r="Q1049" t="str">
            <v>2016_08</v>
          </cell>
        </row>
        <row r="1050">
          <cell r="J1050">
            <v>20</v>
          </cell>
          <cell r="K1050">
            <v>20</v>
          </cell>
          <cell r="N1050">
            <v>-646.16999999999996</v>
          </cell>
          <cell r="Q1050" t="str">
            <v>2016_09</v>
          </cell>
        </row>
        <row r="1051">
          <cell r="J1051">
            <v>19</v>
          </cell>
          <cell r="K1051">
            <v>19</v>
          </cell>
          <cell r="N1051">
            <v>-41603.08</v>
          </cell>
          <cell r="Q1051" t="str">
            <v>2015_10</v>
          </cell>
        </row>
        <row r="1052">
          <cell r="J1052">
            <v>19</v>
          </cell>
          <cell r="K1052">
            <v>19</v>
          </cell>
          <cell r="N1052">
            <v>-37781.69</v>
          </cell>
          <cell r="Q1052" t="str">
            <v>2015_11</v>
          </cell>
        </row>
        <row r="1053">
          <cell r="J1053">
            <v>19</v>
          </cell>
          <cell r="K1053">
            <v>19</v>
          </cell>
          <cell r="N1053">
            <v>-35169.42</v>
          </cell>
          <cell r="Q1053" t="str">
            <v>2015_12</v>
          </cell>
        </row>
        <row r="1054">
          <cell r="J1054">
            <v>19</v>
          </cell>
          <cell r="K1054">
            <v>19</v>
          </cell>
          <cell r="N1054">
            <v>-26919.47</v>
          </cell>
          <cell r="Q1054" t="str">
            <v>2016_01</v>
          </cell>
        </row>
        <row r="1055">
          <cell r="J1055">
            <v>19</v>
          </cell>
          <cell r="K1055">
            <v>19</v>
          </cell>
          <cell r="N1055">
            <v>-26327.82</v>
          </cell>
          <cell r="Q1055" t="str">
            <v>2016_02</v>
          </cell>
        </row>
        <row r="1056">
          <cell r="J1056">
            <v>19</v>
          </cell>
          <cell r="K1056">
            <v>19</v>
          </cell>
          <cell r="N1056">
            <v>-31548.31</v>
          </cell>
          <cell r="Q1056" t="str">
            <v>2016_03</v>
          </cell>
        </row>
        <row r="1057">
          <cell r="J1057">
            <v>19</v>
          </cell>
          <cell r="K1057">
            <v>19</v>
          </cell>
          <cell r="N1057">
            <v>-33648.39</v>
          </cell>
          <cell r="Q1057" t="str">
            <v>2016_04</v>
          </cell>
        </row>
        <row r="1058">
          <cell r="J1058">
            <v>19</v>
          </cell>
          <cell r="K1058">
            <v>19</v>
          </cell>
          <cell r="N1058">
            <v>-36391.69</v>
          </cell>
          <cell r="Q1058" t="str">
            <v>2016_05</v>
          </cell>
        </row>
        <row r="1059">
          <cell r="J1059">
            <v>19</v>
          </cell>
          <cell r="K1059">
            <v>19</v>
          </cell>
          <cell r="N1059">
            <v>-43493.02</v>
          </cell>
          <cell r="Q1059" t="str">
            <v>2016_06</v>
          </cell>
        </row>
        <row r="1060">
          <cell r="J1060">
            <v>19</v>
          </cell>
          <cell r="K1060">
            <v>19</v>
          </cell>
          <cell r="N1060">
            <v>-37340.559999999998</v>
          </cell>
          <cell r="Q1060" t="str">
            <v>2016_07</v>
          </cell>
        </row>
        <row r="1061">
          <cell r="J1061">
            <v>19</v>
          </cell>
          <cell r="K1061">
            <v>19</v>
          </cell>
          <cell r="N1061">
            <v>-40959.57</v>
          </cell>
          <cell r="Q1061" t="str">
            <v>2016_08</v>
          </cell>
        </row>
        <row r="1062">
          <cell r="J1062">
            <v>19</v>
          </cell>
          <cell r="K1062">
            <v>19</v>
          </cell>
          <cell r="N1062">
            <v>-37538.9</v>
          </cell>
          <cell r="Q1062" t="str">
            <v>2016_09</v>
          </cell>
        </row>
        <row r="1063">
          <cell r="J1063">
            <v>19</v>
          </cell>
          <cell r="K1063">
            <v>19</v>
          </cell>
          <cell r="N1063">
            <v>-9713.8700000000008</v>
          </cell>
          <cell r="Q1063" t="str">
            <v>2015_10</v>
          </cell>
        </row>
        <row r="1064">
          <cell r="J1064">
            <v>19</v>
          </cell>
          <cell r="K1064">
            <v>19</v>
          </cell>
          <cell r="N1064">
            <v>-9654.4599999999991</v>
          </cell>
          <cell r="Q1064" t="str">
            <v>2015_11</v>
          </cell>
        </row>
        <row r="1065">
          <cell r="J1065">
            <v>19</v>
          </cell>
          <cell r="K1065">
            <v>19</v>
          </cell>
          <cell r="N1065">
            <v>-9356.89</v>
          </cell>
          <cell r="Q1065" t="str">
            <v>2015_12</v>
          </cell>
        </row>
        <row r="1066">
          <cell r="J1066">
            <v>19</v>
          </cell>
          <cell r="K1066">
            <v>19</v>
          </cell>
          <cell r="N1066">
            <v>-6610.59</v>
          </cell>
          <cell r="Q1066" t="str">
            <v>2016_01</v>
          </cell>
        </row>
        <row r="1067">
          <cell r="J1067">
            <v>19</v>
          </cell>
          <cell r="K1067">
            <v>19</v>
          </cell>
          <cell r="N1067">
            <v>-7480.62</v>
          </cell>
          <cell r="Q1067" t="str">
            <v>2016_02</v>
          </cell>
        </row>
        <row r="1068">
          <cell r="J1068">
            <v>19</v>
          </cell>
          <cell r="K1068">
            <v>19</v>
          </cell>
          <cell r="N1068">
            <v>-9756.2999999999993</v>
          </cell>
          <cell r="Q1068" t="str">
            <v>2016_03</v>
          </cell>
        </row>
        <row r="1069">
          <cell r="J1069">
            <v>19</v>
          </cell>
          <cell r="K1069">
            <v>19</v>
          </cell>
          <cell r="N1069">
            <v>-7939.85</v>
          </cell>
          <cell r="Q1069" t="str">
            <v>2016_04</v>
          </cell>
        </row>
        <row r="1070">
          <cell r="J1070">
            <v>19</v>
          </cell>
          <cell r="K1070">
            <v>19</v>
          </cell>
          <cell r="N1070">
            <v>-11782.63</v>
          </cell>
          <cell r="Q1070" t="str">
            <v>2016_05</v>
          </cell>
        </row>
        <row r="1071">
          <cell r="J1071">
            <v>19</v>
          </cell>
          <cell r="K1071">
            <v>19</v>
          </cell>
          <cell r="N1071">
            <v>-8555.92</v>
          </cell>
          <cell r="Q1071" t="str">
            <v>2016_06</v>
          </cell>
        </row>
        <row r="1072">
          <cell r="J1072">
            <v>19</v>
          </cell>
          <cell r="K1072">
            <v>19</v>
          </cell>
          <cell r="N1072">
            <v>-6834.5</v>
          </cell>
          <cell r="Q1072" t="str">
            <v>2016_07</v>
          </cell>
        </row>
        <row r="1073">
          <cell r="J1073">
            <v>19</v>
          </cell>
          <cell r="K1073">
            <v>19</v>
          </cell>
          <cell r="N1073">
            <v>-10251.85</v>
          </cell>
          <cell r="Q1073" t="str">
            <v>2016_08</v>
          </cell>
        </row>
        <row r="1074">
          <cell r="J1074">
            <v>19</v>
          </cell>
          <cell r="K1074">
            <v>19</v>
          </cell>
          <cell r="N1074">
            <v>-10723.34</v>
          </cell>
          <cell r="Q1074" t="str">
            <v>2016_09</v>
          </cell>
        </row>
        <row r="1075">
          <cell r="J1075">
            <v>19</v>
          </cell>
          <cell r="K1075">
            <v>19</v>
          </cell>
          <cell r="N1075">
            <v>-40517.21</v>
          </cell>
          <cell r="Q1075" t="str">
            <v>2015_10</v>
          </cell>
        </row>
        <row r="1076">
          <cell r="J1076">
            <v>19</v>
          </cell>
          <cell r="K1076">
            <v>19</v>
          </cell>
          <cell r="N1076">
            <v>-36030.379999999997</v>
          </cell>
          <cell r="Q1076" t="str">
            <v>2015_11</v>
          </cell>
        </row>
        <row r="1077">
          <cell r="J1077">
            <v>19</v>
          </cell>
          <cell r="K1077">
            <v>19</v>
          </cell>
          <cell r="N1077">
            <v>-31486.73</v>
          </cell>
          <cell r="Q1077" t="str">
            <v>2015_12</v>
          </cell>
        </row>
        <row r="1078">
          <cell r="J1078">
            <v>19</v>
          </cell>
          <cell r="K1078">
            <v>19</v>
          </cell>
          <cell r="N1078">
            <v>-24370.080000000002</v>
          </cell>
          <cell r="Q1078" t="str">
            <v>2016_01</v>
          </cell>
        </row>
        <row r="1079">
          <cell r="J1079">
            <v>19</v>
          </cell>
          <cell r="K1079">
            <v>19</v>
          </cell>
          <cell r="N1079">
            <v>-26508.86</v>
          </cell>
          <cell r="Q1079" t="str">
            <v>2016_02</v>
          </cell>
        </row>
        <row r="1080">
          <cell r="J1080">
            <v>19</v>
          </cell>
          <cell r="K1080">
            <v>19</v>
          </cell>
          <cell r="N1080">
            <v>-35078.879999999997</v>
          </cell>
          <cell r="Q1080" t="str">
            <v>2016_03</v>
          </cell>
        </row>
        <row r="1081">
          <cell r="J1081">
            <v>19</v>
          </cell>
          <cell r="K1081">
            <v>19</v>
          </cell>
          <cell r="N1081">
            <v>-35658.83</v>
          </cell>
          <cell r="Q1081" t="str">
            <v>2016_04</v>
          </cell>
        </row>
        <row r="1082">
          <cell r="J1082">
            <v>19</v>
          </cell>
          <cell r="K1082">
            <v>19</v>
          </cell>
          <cell r="N1082">
            <v>-42611.22</v>
          </cell>
          <cell r="Q1082" t="str">
            <v>2016_05</v>
          </cell>
        </row>
        <row r="1083">
          <cell r="J1083">
            <v>19</v>
          </cell>
          <cell r="K1083">
            <v>19</v>
          </cell>
          <cell r="N1083">
            <v>-46802.5</v>
          </cell>
          <cell r="Q1083" t="str">
            <v>2016_06</v>
          </cell>
        </row>
        <row r="1084">
          <cell r="J1084">
            <v>19</v>
          </cell>
          <cell r="K1084">
            <v>19</v>
          </cell>
          <cell r="N1084">
            <v>-42267.49</v>
          </cell>
          <cell r="Q1084" t="str">
            <v>2016_07</v>
          </cell>
        </row>
        <row r="1085">
          <cell r="J1085">
            <v>19</v>
          </cell>
          <cell r="K1085">
            <v>19</v>
          </cell>
          <cell r="N1085">
            <v>-42945.91</v>
          </cell>
          <cell r="Q1085" t="str">
            <v>2016_08</v>
          </cell>
        </row>
        <row r="1086">
          <cell r="J1086">
            <v>19</v>
          </cell>
          <cell r="K1086">
            <v>19</v>
          </cell>
          <cell r="N1086">
            <v>-40891.89</v>
          </cell>
          <cell r="Q1086" t="str">
            <v>2016_09</v>
          </cell>
        </row>
        <row r="1087">
          <cell r="J1087">
            <v>19</v>
          </cell>
          <cell r="K1087">
            <v>19</v>
          </cell>
          <cell r="N1087">
            <v>-3880.92</v>
          </cell>
          <cell r="Q1087" t="str">
            <v>2015_10</v>
          </cell>
        </row>
        <row r="1088">
          <cell r="J1088">
            <v>19</v>
          </cell>
          <cell r="K1088">
            <v>19</v>
          </cell>
          <cell r="N1088">
            <v>-3084.92</v>
          </cell>
          <cell r="Q1088" t="str">
            <v>2015_11</v>
          </cell>
        </row>
        <row r="1089">
          <cell r="J1089">
            <v>19</v>
          </cell>
          <cell r="K1089">
            <v>19</v>
          </cell>
          <cell r="N1089">
            <v>-2730.25</v>
          </cell>
          <cell r="Q1089" t="str">
            <v>2015_12</v>
          </cell>
        </row>
        <row r="1090">
          <cell r="J1090">
            <v>19</v>
          </cell>
          <cell r="K1090">
            <v>19</v>
          </cell>
          <cell r="N1090">
            <v>-1979.25</v>
          </cell>
          <cell r="Q1090" t="str">
            <v>2016_01</v>
          </cell>
        </row>
        <row r="1091">
          <cell r="J1091">
            <v>19</v>
          </cell>
          <cell r="K1091">
            <v>19</v>
          </cell>
          <cell r="N1091">
            <v>-2073.39</v>
          </cell>
          <cell r="Q1091" t="str">
            <v>2016_02</v>
          </cell>
        </row>
        <row r="1092">
          <cell r="J1092">
            <v>19</v>
          </cell>
          <cell r="K1092">
            <v>19</v>
          </cell>
          <cell r="N1092">
            <v>-2654.46</v>
          </cell>
          <cell r="Q1092" t="str">
            <v>2016_03</v>
          </cell>
        </row>
        <row r="1093">
          <cell r="J1093">
            <v>19</v>
          </cell>
          <cell r="K1093">
            <v>19</v>
          </cell>
          <cell r="N1093">
            <v>-3032.36</v>
          </cell>
          <cell r="Q1093" t="str">
            <v>2016_04</v>
          </cell>
        </row>
        <row r="1094">
          <cell r="J1094">
            <v>19</v>
          </cell>
          <cell r="K1094">
            <v>19</v>
          </cell>
          <cell r="N1094">
            <v>-3836.11</v>
          </cell>
          <cell r="Q1094" t="str">
            <v>2016_05</v>
          </cell>
        </row>
        <row r="1095">
          <cell r="J1095">
            <v>19</v>
          </cell>
          <cell r="K1095">
            <v>19</v>
          </cell>
          <cell r="N1095">
            <v>-5980.53</v>
          </cell>
          <cell r="Q1095" t="str">
            <v>2016_06</v>
          </cell>
        </row>
        <row r="1096">
          <cell r="J1096">
            <v>19</v>
          </cell>
          <cell r="K1096">
            <v>19</v>
          </cell>
          <cell r="N1096">
            <v>-4737.32</v>
          </cell>
          <cell r="Q1096" t="str">
            <v>2016_07</v>
          </cell>
        </row>
        <row r="1097">
          <cell r="J1097">
            <v>19</v>
          </cell>
          <cell r="K1097">
            <v>19</v>
          </cell>
          <cell r="N1097">
            <v>-5499.33</v>
          </cell>
          <cell r="Q1097" t="str">
            <v>2016_08</v>
          </cell>
        </row>
        <row r="1098">
          <cell r="J1098">
            <v>19</v>
          </cell>
          <cell r="K1098">
            <v>19</v>
          </cell>
          <cell r="N1098">
            <v>0</v>
          </cell>
          <cell r="Q1098" t="str">
            <v>2016_09</v>
          </cell>
        </row>
        <row r="1099">
          <cell r="J1099">
            <v>19</v>
          </cell>
          <cell r="K1099">
            <v>19</v>
          </cell>
          <cell r="N1099">
            <v>-1706.36</v>
          </cell>
          <cell r="Q1099" t="str">
            <v>2016_04</v>
          </cell>
        </row>
        <row r="1100">
          <cell r="J1100">
            <v>19</v>
          </cell>
          <cell r="K1100">
            <v>19</v>
          </cell>
          <cell r="N1100">
            <v>-2494.64</v>
          </cell>
          <cell r="Q1100" t="str">
            <v>2016_05</v>
          </cell>
        </row>
        <row r="1101">
          <cell r="J1101">
            <v>19</v>
          </cell>
          <cell r="K1101">
            <v>19</v>
          </cell>
          <cell r="N1101">
            <v>-1257.18</v>
          </cell>
          <cell r="Q1101" t="str">
            <v>2016_06</v>
          </cell>
        </row>
        <row r="1102">
          <cell r="J1102">
            <v>19</v>
          </cell>
          <cell r="K1102">
            <v>19</v>
          </cell>
          <cell r="N1102">
            <v>-1233.0999999999999</v>
          </cell>
          <cell r="Q1102" t="str">
            <v>2016_07</v>
          </cell>
        </row>
        <row r="1103">
          <cell r="J1103">
            <v>19</v>
          </cell>
          <cell r="K1103">
            <v>19</v>
          </cell>
          <cell r="N1103">
            <v>-1143.27</v>
          </cell>
          <cell r="Q1103" t="str">
            <v>2016_08</v>
          </cell>
        </row>
        <row r="1104">
          <cell r="J1104">
            <v>19</v>
          </cell>
          <cell r="K1104">
            <v>19</v>
          </cell>
          <cell r="N1104">
            <v>-5229.84</v>
          </cell>
          <cell r="Q1104" t="str">
            <v>2016_09</v>
          </cell>
        </row>
        <row r="1105">
          <cell r="J1105">
            <v>22</v>
          </cell>
          <cell r="K1105">
            <v>22</v>
          </cell>
          <cell r="N1105">
            <v>1332.16</v>
          </cell>
          <cell r="Q1105" t="str">
            <v>2016_01</v>
          </cell>
        </row>
        <row r="1106">
          <cell r="J1106">
            <v>22</v>
          </cell>
          <cell r="K1106">
            <v>22</v>
          </cell>
          <cell r="N1106">
            <v>0</v>
          </cell>
          <cell r="Q1106" t="str">
            <v>2016_02</v>
          </cell>
        </row>
        <row r="1107">
          <cell r="J1107">
            <v>22</v>
          </cell>
          <cell r="K1107">
            <v>22</v>
          </cell>
          <cell r="N1107">
            <v>0</v>
          </cell>
          <cell r="Q1107" t="str">
            <v>2016_03</v>
          </cell>
        </row>
        <row r="1108">
          <cell r="J1108">
            <v>22</v>
          </cell>
          <cell r="K1108">
            <v>22</v>
          </cell>
          <cell r="N1108">
            <v>6300</v>
          </cell>
          <cell r="Q1108" t="str">
            <v>2016_04</v>
          </cell>
        </row>
        <row r="1109">
          <cell r="J1109">
            <v>22</v>
          </cell>
          <cell r="K1109">
            <v>22</v>
          </cell>
          <cell r="N1109">
            <v>0</v>
          </cell>
          <cell r="Q1109" t="str">
            <v>2016_05</v>
          </cell>
        </row>
        <row r="1110">
          <cell r="J1110">
            <v>22</v>
          </cell>
          <cell r="K1110">
            <v>22</v>
          </cell>
          <cell r="N1110">
            <v>0</v>
          </cell>
          <cell r="Q1110" t="str">
            <v>2016_06</v>
          </cell>
        </row>
        <row r="1111">
          <cell r="J1111">
            <v>22</v>
          </cell>
          <cell r="K1111">
            <v>22</v>
          </cell>
          <cell r="N1111">
            <v>0</v>
          </cell>
          <cell r="Q1111" t="str">
            <v>2016_07</v>
          </cell>
        </row>
        <row r="1112">
          <cell r="J1112">
            <v>22</v>
          </cell>
          <cell r="K1112">
            <v>22</v>
          </cell>
          <cell r="N1112">
            <v>14160</v>
          </cell>
          <cell r="Q1112" t="str">
            <v>2016_08</v>
          </cell>
        </row>
        <row r="1113">
          <cell r="J1113">
            <v>22</v>
          </cell>
          <cell r="K1113">
            <v>22</v>
          </cell>
          <cell r="N1113">
            <v>0</v>
          </cell>
          <cell r="Q1113" t="str">
            <v>2016_09</v>
          </cell>
        </row>
        <row r="1114">
          <cell r="J1114">
            <v>22</v>
          </cell>
          <cell r="K1114">
            <v>22</v>
          </cell>
          <cell r="N1114">
            <v>215.43</v>
          </cell>
          <cell r="Q1114" t="str">
            <v>2015_10</v>
          </cell>
        </row>
        <row r="1115">
          <cell r="J1115">
            <v>22</v>
          </cell>
          <cell r="K1115">
            <v>22</v>
          </cell>
          <cell r="N1115">
            <v>192.12</v>
          </cell>
          <cell r="Q1115" t="str">
            <v>2015_11</v>
          </cell>
        </row>
        <row r="1116">
          <cell r="J1116">
            <v>22</v>
          </cell>
          <cell r="K1116">
            <v>22</v>
          </cell>
          <cell r="N1116">
            <v>0</v>
          </cell>
          <cell r="Q1116" t="str">
            <v>2015_12</v>
          </cell>
        </row>
        <row r="1117">
          <cell r="J1117">
            <v>22</v>
          </cell>
          <cell r="K1117">
            <v>22</v>
          </cell>
          <cell r="N1117">
            <v>3480.5</v>
          </cell>
          <cell r="Q1117" t="str">
            <v>2016_01</v>
          </cell>
        </row>
        <row r="1118">
          <cell r="J1118">
            <v>22</v>
          </cell>
          <cell r="K1118">
            <v>22</v>
          </cell>
          <cell r="N1118">
            <v>3340.55</v>
          </cell>
          <cell r="Q1118" t="str">
            <v>2016_02</v>
          </cell>
        </row>
        <row r="1119">
          <cell r="J1119">
            <v>22</v>
          </cell>
          <cell r="K1119">
            <v>22</v>
          </cell>
          <cell r="N1119">
            <v>2634.06</v>
          </cell>
          <cell r="Q1119" t="str">
            <v>2016_03</v>
          </cell>
        </row>
        <row r="1120">
          <cell r="J1120">
            <v>22</v>
          </cell>
          <cell r="K1120">
            <v>22</v>
          </cell>
          <cell r="N1120">
            <v>48.42</v>
          </cell>
          <cell r="Q1120" t="str">
            <v>2016_04</v>
          </cell>
        </row>
        <row r="1121">
          <cell r="J1121">
            <v>22</v>
          </cell>
          <cell r="K1121">
            <v>22</v>
          </cell>
          <cell r="N1121">
            <v>3200</v>
          </cell>
          <cell r="Q1121" t="str">
            <v>2016_05</v>
          </cell>
        </row>
        <row r="1122">
          <cell r="J1122">
            <v>22</v>
          </cell>
          <cell r="K1122">
            <v>22</v>
          </cell>
          <cell r="N1122">
            <v>143.13</v>
          </cell>
          <cell r="Q1122" t="str">
            <v>2016_06</v>
          </cell>
        </row>
        <row r="1123">
          <cell r="J1123">
            <v>22</v>
          </cell>
          <cell r="K1123">
            <v>22</v>
          </cell>
          <cell r="N1123">
            <v>1760.95</v>
          </cell>
          <cell r="Q1123" t="str">
            <v>2016_07</v>
          </cell>
        </row>
        <row r="1124">
          <cell r="J1124">
            <v>22</v>
          </cell>
          <cell r="K1124">
            <v>22</v>
          </cell>
          <cell r="N1124">
            <v>0</v>
          </cell>
          <cell r="Q1124" t="str">
            <v>2016_08</v>
          </cell>
        </row>
        <row r="1125">
          <cell r="J1125">
            <v>22</v>
          </cell>
          <cell r="K1125">
            <v>22</v>
          </cell>
          <cell r="N1125">
            <v>2519.8200000000002</v>
          </cell>
          <cell r="Q1125" t="str">
            <v>2016_09</v>
          </cell>
        </row>
        <row r="1126">
          <cell r="J1126">
            <v>15</v>
          </cell>
          <cell r="K1126">
            <v>15</v>
          </cell>
          <cell r="N1126">
            <v>0</v>
          </cell>
          <cell r="Q1126" t="str">
            <v>2015_10</v>
          </cell>
        </row>
        <row r="1127">
          <cell r="J1127">
            <v>15</v>
          </cell>
          <cell r="K1127">
            <v>15</v>
          </cell>
          <cell r="N1127">
            <v>0</v>
          </cell>
          <cell r="Q1127" t="str">
            <v>2015_11</v>
          </cell>
        </row>
        <row r="1128">
          <cell r="J1128">
            <v>15</v>
          </cell>
          <cell r="K1128">
            <v>15</v>
          </cell>
          <cell r="N1128">
            <v>0</v>
          </cell>
          <cell r="Q1128" t="str">
            <v>2015_12</v>
          </cell>
        </row>
        <row r="1129">
          <cell r="J1129">
            <v>15</v>
          </cell>
          <cell r="K1129">
            <v>15</v>
          </cell>
          <cell r="N1129">
            <v>-400</v>
          </cell>
          <cell r="Q1129" t="str">
            <v>2015_10</v>
          </cell>
        </row>
        <row r="1130">
          <cell r="J1130">
            <v>15</v>
          </cell>
          <cell r="K1130">
            <v>15</v>
          </cell>
          <cell r="N1130">
            <v>-400</v>
          </cell>
          <cell r="Q1130" t="str">
            <v>2015_11</v>
          </cell>
        </row>
        <row r="1131">
          <cell r="J1131">
            <v>15</v>
          </cell>
          <cell r="K1131">
            <v>15</v>
          </cell>
          <cell r="N1131">
            <v>-400</v>
          </cell>
          <cell r="Q1131" t="str">
            <v>2015_12</v>
          </cell>
        </row>
        <row r="1132">
          <cell r="J1132">
            <v>15</v>
          </cell>
          <cell r="K1132">
            <v>15</v>
          </cell>
          <cell r="N1132">
            <v>-400</v>
          </cell>
          <cell r="Q1132" t="str">
            <v>2016_01</v>
          </cell>
        </row>
        <row r="1133">
          <cell r="J1133">
            <v>15</v>
          </cell>
          <cell r="K1133">
            <v>15</v>
          </cell>
          <cell r="N1133">
            <v>-400</v>
          </cell>
          <cell r="Q1133" t="str">
            <v>2016_02</v>
          </cell>
        </row>
        <row r="1134">
          <cell r="J1134">
            <v>15</v>
          </cell>
          <cell r="K1134">
            <v>15</v>
          </cell>
          <cell r="N1134">
            <v>-400</v>
          </cell>
          <cell r="Q1134" t="str">
            <v>2016_03</v>
          </cell>
        </row>
        <row r="1135">
          <cell r="J1135">
            <v>15</v>
          </cell>
          <cell r="K1135">
            <v>15</v>
          </cell>
          <cell r="N1135">
            <v>-400</v>
          </cell>
          <cell r="Q1135" t="str">
            <v>2016_04</v>
          </cell>
        </row>
        <row r="1136">
          <cell r="J1136">
            <v>15</v>
          </cell>
          <cell r="K1136">
            <v>15</v>
          </cell>
          <cell r="N1136">
            <v>-400</v>
          </cell>
          <cell r="Q1136" t="str">
            <v>2016_05</v>
          </cell>
        </row>
        <row r="1137">
          <cell r="J1137">
            <v>15</v>
          </cell>
          <cell r="K1137">
            <v>15</v>
          </cell>
          <cell r="N1137">
            <v>-400</v>
          </cell>
          <cell r="Q1137" t="str">
            <v>2016_06</v>
          </cell>
        </row>
        <row r="1138">
          <cell r="J1138">
            <v>15</v>
          </cell>
          <cell r="K1138">
            <v>15</v>
          </cell>
          <cell r="N1138">
            <v>-400</v>
          </cell>
          <cell r="Q1138" t="str">
            <v>2016_07</v>
          </cell>
        </row>
        <row r="1139">
          <cell r="J1139">
            <v>15</v>
          </cell>
          <cell r="K1139">
            <v>15</v>
          </cell>
          <cell r="N1139">
            <v>-400</v>
          </cell>
          <cell r="Q1139" t="str">
            <v>2016_08</v>
          </cell>
        </row>
        <row r="1140">
          <cell r="J1140">
            <v>15</v>
          </cell>
          <cell r="K1140">
            <v>15</v>
          </cell>
          <cell r="N1140">
            <v>-400</v>
          </cell>
          <cell r="Q1140" t="str">
            <v>2016_09</v>
          </cell>
        </row>
        <row r="1141">
          <cell r="J1141">
            <v>14</v>
          </cell>
          <cell r="K1141">
            <v>14</v>
          </cell>
          <cell r="N1141">
            <v>0</v>
          </cell>
          <cell r="Q1141" t="str">
            <v>2015_10</v>
          </cell>
        </row>
        <row r="1142">
          <cell r="J1142">
            <v>14</v>
          </cell>
          <cell r="K1142">
            <v>14</v>
          </cell>
          <cell r="N1142">
            <v>0</v>
          </cell>
          <cell r="Q1142" t="str">
            <v>2015_11</v>
          </cell>
        </row>
        <row r="1143">
          <cell r="J1143">
            <v>14</v>
          </cell>
          <cell r="K1143">
            <v>14</v>
          </cell>
          <cell r="N1143">
            <v>0</v>
          </cell>
          <cell r="Q1143" t="str">
            <v>2015_12</v>
          </cell>
        </row>
        <row r="1144">
          <cell r="J1144">
            <v>14</v>
          </cell>
          <cell r="K1144">
            <v>14</v>
          </cell>
          <cell r="N1144">
            <v>-1219.3499999999999</v>
          </cell>
          <cell r="Q1144" t="str">
            <v>2015_10</v>
          </cell>
        </row>
        <row r="1145">
          <cell r="J1145">
            <v>14</v>
          </cell>
          <cell r="K1145">
            <v>14</v>
          </cell>
          <cell r="N1145">
            <v>-1219.3499999999999</v>
          </cell>
          <cell r="Q1145" t="str">
            <v>2015_11</v>
          </cell>
        </row>
        <row r="1146">
          <cell r="J1146">
            <v>14</v>
          </cell>
          <cell r="K1146">
            <v>14</v>
          </cell>
          <cell r="N1146">
            <v>-1219.3499999999999</v>
          </cell>
          <cell r="Q1146" t="str">
            <v>2015_12</v>
          </cell>
        </row>
        <row r="1147">
          <cell r="J1147">
            <v>14</v>
          </cell>
          <cell r="K1147">
            <v>14</v>
          </cell>
          <cell r="N1147">
            <v>-1219.3499999999999</v>
          </cell>
          <cell r="Q1147" t="str">
            <v>2016_01</v>
          </cell>
        </row>
        <row r="1148">
          <cell r="J1148">
            <v>14</v>
          </cell>
          <cell r="K1148">
            <v>14</v>
          </cell>
          <cell r="N1148">
            <v>-1304.3499999999999</v>
          </cell>
          <cell r="Q1148" t="str">
            <v>2016_02</v>
          </cell>
        </row>
        <row r="1149">
          <cell r="J1149">
            <v>14</v>
          </cell>
          <cell r="K1149">
            <v>14</v>
          </cell>
          <cell r="N1149">
            <v>-1219.3499999999999</v>
          </cell>
          <cell r="Q1149" t="str">
            <v>2016_03</v>
          </cell>
        </row>
        <row r="1150">
          <cell r="J1150">
            <v>14</v>
          </cell>
          <cell r="K1150">
            <v>14</v>
          </cell>
          <cell r="N1150">
            <v>-1219.3499999999999</v>
          </cell>
          <cell r="Q1150" t="str">
            <v>2016_04</v>
          </cell>
        </row>
        <row r="1151">
          <cell r="J1151">
            <v>14</v>
          </cell>
          <cell r="K1151">
            <v>14</v>
          </cell>
          <cell r="N1151">
            <v>-1219.3499999999999</v>
          </cell>
          <cell r="Q1151" t="str">
            <v>2016_05</v>
          </cell>
        </row>
        <row r="1152">
          <cell r="J1152">
            <v>14</v>
          </cell>
          <cell r="K1152">
            <v>14</v>
          </cell>
          <cell r="N1152">
            <v>-1240.72</v>
          </cell>
          <cell r="Q1152" t="str">
            <v>2016_06</v>
          </cell>
        </row>
        <row r="1153">
          <cell r="J1153">
            <v>14</v>
          </cell>
          <cell r="K1153">
            <v>14</v>
          </cell>
          <cell r="N1153">
            <v>-1240.72</v>
          </cell>
          <cell r="Q1153" t="str">
            <v>2016_07</v>
          </cell>
        </row>
        <row r="1154">
          <cell r="J1154">
            <v>14</v>
          </cell>
          <cell r="K1154">
            <v>14</v>
          </cell>
          <cell r="N1154">
            <v>-1240.72</v>
          </cell>
          <cell r="Q1154" t="str">
            <v>2016_08</v>
          </cell>
        </row>
        <row r="1155">
          <cell r="J1155">
            <v>14</v>
          </cell>
          <cell r="K1155">
            <v>14</v>
          </cell>
          <cell r="N1155">
            <v>-1240.72</v>
          </cell>
          <cell r="Q1155" t="str">
            <v>2016_09</v>
          </cell>
        </row>
        <row r="1156">
          <cell r="J1156">
            <v>14</v>
          </cell>
          <cell r="K1156">
            <v>14</v>
          </cell>
          <cell r="N1156">
            <v>0</v>
          </cell>
          <cell r="Q1156" t="str">
            <v>2015_10</v>
          </cell>
        </row>
        <row r="1157">
          <cell r="J1157">
            <v>14</v>
          </cell>
          <cell r="K1157">
            <v>14</v>
          </cell>
          <cell r="N1157">
            <v>0</v>
          </cell>
          <cell r="Q1157" t="str">
            <v>2015_11</v>
          </cell>
        </row>
        <row r="1158">
          <cell r="J1158">
            <v>14</v>
          </cell>
          <cell r="K1158">
            <v>14</v>
          </cell>
          <cell r="N1158">
            <v>0</v>
          </cell>
          <cell r="Q1158" t="str">
            <v>2015_12</v>
          </cell>
        </row>
        <row r="1159">
          <cell r="J1159">
            <v>14</v>
          </cell>
          <cell r="K1159">
            <v>14</v>
          </cell>
          <cell r="N1159">
            <v>-491.38</v>
          </cell>
          <cell r="Q1159" t="str">
            <v>2015_10</v>
          </cell>
        </row>
        <row r="1160">
          <cell r="J1160">
            <v>14</v>
          </cell>
          <cell r="K1160">
            <v>14</v>
          </cell>
          <cell r="N1160">
            <v>-491.38</v>
          </cell>
          <cell r="Q1160" t="str">
            <v>2015_11</v>
          </cell>
        </row>
        <row r="1161">
          <cell r="J1161">
            <v>14</v>
          </cell>
          <cell r="K1161">
            <v>14</v>
          </cell>
          <cell r="N1161">
            <v>-491.38</v>
          </cell>
          <cell r="Q1161" t="str">
            <v>2015_12</v>
          </cell>
        </row>
        <row r="1162">
          <cell r="J1162">
            <v>14</v>
          </cell>
          <cell r="K1162">
            <v>14</v>
          </cell>
          <cell r="N1162">
            <v>-491.38</v>
          </cell>
          <cell r="Q1162" t="str">
            <v>2016_01</v>
          </cell>
        </row>
        <row r="1163">
          <cell r="J1163">
            <v>14</v>
          </cell>
          <cell r="K1163">
            <v>14</v>
          </cell>
          <cell r="N1163">
            <v>-491.38</v>
          </cell>
          <cell r="Q1163" t="str">
            <v>2016_02</v>
          </cell>
        </row>
        <row r="1164">
          <cell r="J1164">
            <v>14</v>
          </cell>
          <cell r="K1164">
            <v>14</v>
          </cell>
          <cell r="N1164">
            <v>-528.61</v>
          </cell>
          <cell r="Q1164" t="str">
            <v>2016_03</v>
          </cell>
        </row>
        <row r="1165">
          <cell r="J1165">
            <v>14</v>
          </cell>
          <cell r="K1165">
            <v>14</v>
          </cell>
          <cell r="N1165">
            <v>-1004.65</v>
          </cell>
          <cell r="Q1165" t="str">
            <v>2016_04</v>
          </cell>
        </row>
        <row r="1166">
          <cell r="J1166">
            <v>14</v>
          </cell>
          <cell r="K1166">
            <v>14</v>
          </cell>
          <cell r="N1166">
            <v>-644.67999999999995</v>
          </cell>
          <cell r="Q1166" t="str">
            <v>2016_05</v>
          </cell>
        </row>
        <row r="1167">
          <cell r="J1167">
            <v>14</v>
          </cell>
          <cell r="K1167">
            <v>14</v>
          </cell>
          <cell r="N1167">
            <v>-1167.18</v>
          </cell>
          <cell r="Q1167" t="str">
            <v>2016_06</v>
          </cell>
        </row>
        <row r="1168">
          <cell r="J1168">
            <v>14</v>
          </cell>
          <cell r="K1168">
            <v>14</v>
          </cell>
          <cell r="N1168">
            <v>-506.79</v>
          </cell>
          <cell r="Q1168" t="str">
            <v>2016_07</v>
          </cell>
        </row>
        <row r="1169">
          <cell r="J1169">
            <v>14</v>
          </cell>
          <cell r="K1169">
            <v>14</v>
          </cell>
          <cell r="N1169">
            <v>-501.12</v>
          </cell>
          <cell r="Q1169" t="str">
            <v>2016_08</v>
          </cell>
        </row>
        <row r="1170">
          <cell r="J1170">
            <v>14</v>
          </cell>
          <cell r="K1170">
            <v>14</v>
          </cell>
          <cell r="N1170">
            <v>-501.12</v>
          </cell>
          <cell r="Q1170" t="str">
            <v>2016_09</v>
          </cell>
        </row>
        <row r="1171">
          <cell r="J1171">
            <v>14</v>
          </cell>
          <cell r="K1171">
            <v>14</v>
          </cell>
          <cell r="N1171">
            <v>0</v>
          </cell>
          <cell r="Q1171" t="str">
            <v>2015_10</v>
          </cell>
        </row>
        <row r="1172">
          <cell r="J1172">
            <v>14</v>
          </cell>
          <cell r="K1172">
            <v>14</v>
          </cell>
          <cell r="N1172">
            <v>0</v>
          </cell>
          <cell r="Q1172" t="str">
            <v>2015_11</v>
          </cell>
        </row>
        <row r="1173">
          <cell r="J1173">
            <v>14</v>
          </cell>
          <cell r="K1173">
            <v>14</v>
          </cell>
          <cell r="N1173">
            <v>0</v>
          </cell>
          <cell r="Q1173" t="str">
            <v>2015_12</v>
          </cell>
        </row>
        <row r="1174">
          <cell r="J1174">
            <v>14</v>
          </cell>
          <cell r="K1174">
            <v>14</v>
          </cell>
          <cell r="N1174">
            <v>0</v>
          </cell>
          <cell r="Q1174" t="str">
            <v>2015_10</v>
          </cell>
        </row>
        <row r="1175">
          <cell r="J1175">
            <v>14</v>
          </cell>
          <cell r="K1175">
            <v>14</v>
          </cell>
          <cell r="N1175">
            <v>0</v>
          </cell>
          <cell r="Q1175" t="str">
            <v>2015_11</v>
          </cell>
        </row>
        <row r="1176">
          <cell r="J1176">
            <v>14</v>
          </cell>
          <cell r="K1176">
            <v>14</v>
          </cell>
          <cell r="N1176">
            <v>0</v>
          </cell>
          <cell r="Q1176" t="str">
            <v>2015_12</v>
          </cell>
        </row>
        <row r="1177">
          <cell r="J1177">
            <v>13</v>
          </cell>
          <cell r="K1177">
            <v>13</v>
          </cell>
          <cell r="N1177">
            <v>0</v>
          </cell>
          <cell r="Q1177" t="str">
            <v>2015_10</v>
          </cell>
        </row>
        <row r="1178">
          <cell r="J1178">
            <v>13</v>
          </cell>
          <cell r="K1178">
            <v>13</v>
          </cell>
          <cell r="N1178">
            <v>0</v>
          </cell>
          <cell r="Q1178" t="str">
            <v>2015_11</v>
          </cell>
        </row>
        <row r="1179">
          <cell r="J1179">
            <v>13</v>
          </cell>
          <cell r="K1179">
            <v>13</v>
          </cell>
          <cell r="N1179">
            <v>0</v>
          </cell>
          <cell r="Q1179" t="str">
            <v>2015_12</v>
          </cell>
        </row>
        <row r="1180">
          <cell r="J1180">
            <v>13</v>
          </cell>
          <cell r="K1180">
            <v>13</v>
          </cell>
          <cell r="N1180">
            <v>-1816.16</v>
          </cell>
          <cell r="Q1180" t="str">
            <v>2015_10</v>
          </cell>
        </row>
        <row r="1181">
          <cell r="J1181">
            <v>13</v>
          </cell>
          <cell r="K1181">
            <v>13</v>
          </cell>
          <cell r="N1181">
            <v>-1816.16</v>
          </cell>
          <cell r="Q1181" t="str">
            <v>2015_11</v>
          </cell>
        </row>
        <row r="1182">
          <cell r="J1182">
            <v>13</v>
          </cell>
          <cell r="K1182">
            <v>13</v>
          </cell>
          <cell r="N1182">
            <v>-1816.16</v>
          </cell>
          <cell r="Q1182" t="str">
            <v>2015_12</v>
          </cell>
        </row>
        <row r="1183">
          <cell r="J1183">
            <v>13</v>
          </cell>
          <cell r="K1183">
            <v>13</v>
          </cell>
          <cell r="N1183">
            <v>-1816.16</v>
          </cell>
          <cell r="Q1183" t="str">
            <v>2016_01</v>
          </cell>
        </row>
        <row r="1184">
          <cell r="J1184">
            <v>13</v>
          </cell>
          <cell r="K1184">
            <v>13</v>
          </cell>
          <cell r="N1184">
            <v>-1816.16</v>
          </cell>
          <cell r="Q1184" t="str">
            <v>2016_02</v>
          </cell>
        </row>
        <row r="1185">
          <cell r="J1185">
            <v>13</v>
          </cell>
          <cell r="K1185">
            <v>13</v>
          </cell>
          <cell r="N1185">
            <v>-1816.16</v>
          </cell>
          <cell r="Q1185" t="str">
            <v>2016_03</v>
          </cell>
        </row>
        <row r="1186">
          <cell r="J1186">
            <v>13</v>
          </cell>
          <cell r="K1186">
            <v>13</v>
          </cell>
          <cell r="N1186">
            <v>-1816.16</v>
          </cell>
          <cell r="Q1186" t="str">
            <v>2016_04</v>
          </cell>
        </row>
        <row r="1187">
          <cell r="J1187">
            <v>13</v>
          </cell>
          <cell r="K1187">
            <v>13</v>
          </cell>
          <cell r="N1187">
            <v>-1816.16</v>
          </cell>
          <cell r="Q1187" t="str">
            <v>2016_05</v>
          </cell>
        </row>
        <row r="1188">
          <cell r="J1188">
            <v>13</v>
          </cell>
          <cell r="K1188">
            <v>13</v>
          </cell>
          <cell r="N1188">
            <v>-1816.16</v>
          </cell>
          <cell r="Q1188" t="str">
            <v>2016_06</v>
          </cell>
        </row>
        <row r="1189">
          <cell r="J1189">
            <v>13</v>
          </cell>
          <cell r="K1189">
            <v>13</v>
          </cell>
          <cell r="N1189">
            <v>-1823.76</v>
          </cell>
          <cell r="Q1189" t="str">
            <v>2016_07</v>
          </cell>
        </row>
        <row r="1190">
          <cell r="J1190">
            <v>13</v>
          </cell>
          <cell r="K1190">
            <v>13</v>
          </cell>
          <cell r="N1190">
            <v>-1823.76</v>
          </cell>
          <cell r="Q1190" t="str">
            <v>2016_08</v>
          </cell>
        </row>
        <row r="1191">
          <cell r="J1191">
            <v>13</v>
          </cell>
          <cell r="K1191">
            <v>13</v>
          </cell>
          <cell r="N1191">
            <v>-1823.76</v>
          </cell>
          <cell r="Q1191" t="str">
            <v>2016_09</v>
          </cell>
        </row>
        <row r="1192">
          <cell r="J1192">
            <v>13</v>
          </cell>
          <cell r="K1192">
            <v>13</v>
          </cell>
          <cell r="N1192">
            <v>0</v>
          </cell>
          <cell r="Q1192" t="str">
            <v>2015_10</v>
          </cell>
        </row>
        <row r="1193">
          <cell r="J1193">
            <v>13</v>
          </cell>
          <cell r="K1193">
            <v>13</v>
          </cell>
          <cell r="N1193">
            <v>0</v>
          </cell>
          <cell r="Q1193" t="str">
            <v>2015_11</v>
          </cell>
        </row>
        <row r="1194">
          <cell r="J1194">
            <v>13</v>
          </cell>
          <cell r="K1194">
            <v>13</v>
          </cell>
          <cell r="N1194">
            <v>0</v>
          </cell>
          <cell r="Q1194" t="str">
            <v>2015_12</v>
          </cell>
        </row>
        <row r="1195">
          <cell r="J1195">
            <v>13</v>
          </cell>
          <cell r="K1195">
            <v>13</v>
          </cell>
          <cell r="N1195">
            <v>-1076.55</v>
          </cell>
          <cell r="Q1195" t="str">
            <v>2015_10</v>
          </cell>
        </row>
        <row r="1196">
          <cell r="J1196">
            <v>13</v>
          </cell>
          <cell r="K1196">
            <v>13</v>
          </cell>
          <cell r="N1196">
            <v>-1076.55</v>
          </cell>
          <cell r="Q1196" t="str">
            <v>2015_11</v>
          </cell>
        </row>
        <row r="1197">
          <cell r="J1197">
            <v>13</v>
          </cell>
          <cell r="K1197">
            <v>13</v>
          </cell>
          <cell r="N1197">
            <v>-1076.55</v>
          </cell>
          <cell r="Q1197" t="str">
            <v>2015_12</v>
          </cell>
        </row>
        <row r="1198">
          <cell r="J1198">
            <v>13</v>
          </cell>
          <cell r="K1198">
            <v>13</v>
          </cell>
          <cell r="N1198">
            <v>-1076.55</v>
          </cell>
          <cell r="Q1198" t="str">
            <v>2016_01</v>
          </cell>
        </row>
        <row r="1199">
          <cell r="J1199">
            <v>13</v>
          </cell>
          <cell r="K1199">
            <v>13</v>
          </cell>
          <cell r="N1199">
            <v>-1076.55</v>
          </cell>
          <cell r="Q1199" t="str">
            <v>2016_02</v>
          </cell>
        </row>
        <row r="1200">
          <cell r="J1200">
            <v>13</v>
          </cell>
          <cell r="K1200">
            <v>13</v>
          </cell>
          <cell r="N1200">
            <v>-1123.31</v>
          </cell>
          <cell r="Q1200" t="str">
            <v>2016_03</v>
          </cell>
        </row>
        <row r="1201">
          <cell r="J1201">
            <v>13</v>
          </cell>
          <cell r="K1201">
            <v>13</v>
          </cell>
          <cell r="N1201">
            <v>-1076.55</v>
          </cell>
          <cell r="Q1201" t="str">
            <v>2016_04</v>
          </cell>
        </row>
        <row r="1202">
          <cell r="J1202">
            <v>13</v>
          </cell>
          <cell r="K1202">
            <v>13</v>
          </cell>
          <cell r="N1202">
            <v>-1076.55</v>
          </cell>
          <cell r="Q1202" t="str">
            <v>2016_05</v>
          </cell>
        </row>
        <row r="1203">
          <cell r="J1203">
            <v>13</v>
          </cell>
          <cell r="K1203">
            <v>13</v>
          </cell>
          <cell r="N1203">
            <v>-1076.55</v>
          </cell>
          <cell r="Q1203" t="str">
            <v>2016_06</v>
          </cell>
        </row>
        <row r="1204">
          <cell r="J1204">
            <v>13</v>
          </cell>
          <cell r="K1204">
            <v>13</v>
          </cell>
          <cell r="N1204">
            <v>-958.07</v>
          </cell>
          <cell r="Q1204" t="str">
            <v>2016_07</v>
          </cell>
        </row>
        <row r="1205">
          <cell r="J1205">
            <v>13</v>
          </cell>
          <cell r="K1205">
            <v>13</v>
          </cell>
          <cell r="N1205">
            <v>-1032.33</v>
          </cell>
          <cell r="Q1205" t="str">
            <v>2016_08</v>
          </cell>
        </row>
        <row r="1206">
          <cell r="J1206">
            <v>13</v>
          </cell>
          <cell r="K1206">
            <v>13</v>
          </cell>
          <cell r="N1206">
            <v>-1094.71</v>
          </cell>
          <cell r="Q1206" t="str">
            <v>2016_09</v>
          </cell>
        </row>
        <row r="1207">
          <cell r="J1207">
            <v>13</v>
          </cell>
          <cell r="K1207">
            <v>13</v>
          </cell>
          <cell r="N1207">
            <v>0</v>
          </cell>
          <cell r="Q1207" t="str">
            <v>2015_10</v>
          </cell>
        </row>
        <row r="1208">
          <cell r="J1208">
            <v>13</v>
          </cell>
          <cell r="K1208">
            <v>13</v>
          </cell>
          <cell r="N1208">
            <v>0</v>
          </cell>
          <cell r="Q1208" t="str">
            <v>2015_11</v>
          </cell>
        </row>
        <row r="1209">
          <cell r="J1209">
            <v>13</v>
          </cell>
          <cell r="K1209">
            <v>13</v>
          </cell>
          <cell r="N1209">
            <v>0</v>
          </cell>
          <cell r="Q1209" t="str">
            <v>2015_12</v>
          </cell>
        </row>
        <row r="1210">
          <cell r="J1210">
            <v>13</v>
          </cell>
          <cell r="K1210">
            <v>13</v>
          </cell>
          <cell r="N1210">
            <v>-733.71</v>
          </cell>
          <cell r="Q1210" t="str">
            <v>2015_10</v>
          </cell>
        </row>
        <row r="1211">
          <cell r="J1211">
            <v>13</v>
          </cell>
          <cell r="K1211">
            <v>13</v>
          </cell>
          <cell r="N1211">
            <v>-894.75</v>
          </cell>
          <cell r="Q1211" t="str">
            <v>2015_11</v>
          </cell>
        </row>
        <row r="1212">
          <cell r="J1212">
            <v>13</v>
          </cell>
          <cell r="K1212">
            <v>13</v>
          </cell>
          <cell r="N1212">
            <v>-196.86</v>
          </cell>
          <cell r="Q1212" t="str">
            <v>2015_12</v>
          </cell>
        </row>
        <row r="1213">
          <cell r="J1213">
            <v>13</v>
          </cell>
          <cell r="K1213">
            <v>13</v>
          </cell>
          <cell r="N1213">
            <v>-779.64</v>
          </cell>
          <cell r="Q1213" t="str">
            <v>2016_01</v>
          </cell>
        </row>
        <row r="1214">
          <cell r="J1214">
            <v>13</v>
          </cell>
          <cell r="K1214">
            <v>13</v>
          </cell>
          <cell r="N1214">
            <v>-536.85</v>
          </cell>
          <cell r="Q1214" t="str">
            <v>2016_02</v>
          </cell>
        </row>
        <row r="1215">
          <cell r="J1215">
            <v>13</v>
          </cell>
          <cell r="K1215">
            <v>13</v>
          </cell>
          <cell r="N1215">
            <v>-578.62</v>
          </cell>
          <cell r="Q1215" t="str">
            <v>2016_03</v>
          </cell>
        </row>
        <row r="1216">
          <cell r="J1216">
            <v>13</v>
          </cell>
          <cell r="K1216">
            <v>13</v>
          </cell>
          <cell r="N1216">
            <v>-580.23</v>
          </cell>
          <cell r="Q1216" t="str">
            <v>2016_04</v>
          </cell>
        </row>
        <row r="1217">
          <cell r="J1217">
            <v>13</v>
          </cell>
          <cell r="K1217">
            <v>13</v>
          </cell>
          <cell r="N1217">
            <v>-536.85</v>
          </cell>
          <cell r="Q1217" t="str">
            <v>2016_05</v>
          </cell>
        </row>
        <row r="1218">
          <cell r="J1218">
            <v>13</v>
          </cell>
          <cell r="K1218">
            <v>13</v>
          </cell>
          <cell r="N1218">
            <v>-536.85</v>
          </cell>
          <cell r="Q1218" t="str">
            <v>2016_06</v>
          </cell>
        </row>
        <row r="1219">
          <cell r="J1219">
            <v>13</v>
          </cell>
          <cell r="K1219">
            <v>13</v>
          </cell>
          <cell r="N1219">
            <v>-359.52</v>
          </cell>
          <cell r="Q1219" t="str">
            <v>2016_07</v>
          </cell>
        </row>
        <row r="1220">
          <cell r="J1220">
            <v>13</v>
          </cell>
          <cell r="K1220">
            <v>13</v>
          </cell>
          <cell r="N1220">
            <v>-539.28</v>
          </cell>
          <cell r="Q1220" t="str">
            <v>2016_08</v>
          </cell>
        </row>
        <row r="1221">
          <cell r="J1221">
            <v>13</v>
          </cell>
          <cell r="K1221">
            <v>13</v>
          </cell>
          <cell r="N1221">
            <v>-406.81</v>
          </cell>
          <cell r="Q1221" t="str">
            <v>2016_09</v>
          </cell>
        </row>
        <row r="1222">
          <cell r="J1222">
            <v>13</v>
          </cell>
          <cell r="K1222">
            <v>13</v>
          </cell>
          <cell r="N1222">
            <v>0</v>
          </cell>
          <cell r="Q1222" t="str">
            <v>2015_10</v>
          </cell>
        </row>
        <row r="1223">
          <cell r="J1223">
            <v>13</v>
          </cell>
          <cell r="K1223">
            <v>13</v>
          </cell>
          <cell r="N1223">
            <v>0</v>
          </cell>
          <cell r="Q1223" t="str">
            <v>2015_11</v>
          </cell>
        </row>
        <row r="1224">
          <cell r="J1224">
            <v>13</v>
          </cell>
          <cell r="K1224">
            <v>13</v>
          </cell>
          <cell r="N1224">
            <v>0</v>
          </cell>
          <cell r="Q1224" t="str">
            <v>2015_12</v>
          </cell>
        </row>
        <row r="1225">
          <cell r="J1225">
            <v>13</v>
          </cell>
          <cell r="K1225">
            <v>13</v>
          </cell>
          <cell r="N1225">
            <v>-487.51</v>
          </cell>
          <cell r="Q1225" t="str">
            <v>2015_10</v>
          </cell>
        </row>
        <row r="1226">
          <cell r="J1226">
            <v>13</v>
          </cell>
          <cell r="K1226">
            <v>13</v>
          </cell>
          <cell r="N1226">
            <v>-641.44000000000005</v>
          </cell>
          <cell r="Q1226" t="str">
            <v>2015_11</v>
          </cell>
        </row>
        <row r="1227">
          <cell r="J1227">
            <v>13</v>
          </cell>
          <cell r="K1227">
            <v>13</v>
          </cell>
          <cell r="N1227">
            <v>-168.8</v>
          </cell>
          <cell r="Q1227" t="str">
            <v>2015_12</v>
          </cell>
        </row>
        <row r="1228">
          <cell r="J1228">
            <v>13</v>
          </cell>
          <cell r="K1228">
            <v>13</v>
          </cell>
          <cell r="N1228">
            <v>-572.21</v>
          </cell>
          <cell r="Q1228" t="str">
            <v>2016_01</v>
          </cell>
        </row>
        <row r="1229">
          <cell r="J1229">
            <v>13</v>
          </cell>
          <cell r="K1229">
            <v>13</v>
          </cell>
          <cell r="N1229">
            <v>-276.37</v>
          </cell>
          <cell r="Q1229" t="str">
            <v>2016_02</v>
          </cell>
        </row>
        <row r="1230">
          <cell r="J1230">
            <v>13</v>
          </cell>
          <cell r="K1230">
            <v>13</v>
          </cell>
          <cell r="N1230">
            <v>-223.15</v>
          </cell>
          <cell r="Q1230" t="str">
            <v>2016_03</v>
          </cell>
        </row>
        <row r="1231">
          <cell r="J1231">
            <v>13</v>
          </cell>
          <cell r="K1231">
            <v>13</v>
          </cell>
          <cell r="N1231">
            <v>-813.67</v>
          </cell>
          <cell r="Q1231" t="str">
            <v>2016_04</v>
          </cell>
        </row>
        <row r="1232">
          <cell r="J1232">
            <v>13</v>
          </cell>
          <cell r="K1232">
            <v>13</v>
          </cell>
          <cell r="N1232">
            <v>-266.64</v>
          </cell>
          <cell r="Q1232" t="str">
            <v>2016_05</v>
          </cell>
        </row>
        <row r="1233">
          <cell r="J1233">
            <v>13</v>
          </cell>
          <cell r="K1233">
            <v>13</v>
          </cell>
          <cell r="N1233">
            <v>-272.94</v>
          </cell>
          <cell r="Q1233" t="str">
            <v>2016_06</v>
          </cell>
        </row>
        <row r="1234">
          <cell r="J1234">
            <v>13</v>
          </cell>
          <cell r="K1234">
            <v>13</v>
          </cell>
          <cell r="N1234">
            <v>-240.7</v>
          </cell>
          <cell r="Q1234" t="str">
            <v>2016_07</v>
          </cell>
        </row>
        <row r="1235">
          <cell r="J1235">
            <v>13</v>
          </cell>
          <cell r="K1235">
            <v>13</v>
          </cell>
          <cell r="N1235">
            <v>-227.57</v>
          </cell>
          <cell r="Q1235" t="str">
            <v>2016_08</v>
          </cell>
        </row>
        <row r="1236">
          <cell r="J1236">
            <v>13</v>
          </cell>
          <cell r="K1236">
            <v>13</v>
          </cell>
          <cell r="N1236">
            <v>-121.83</v>
          </cell>
          <cell r="Q1236" t="str">
            <v>2016_09</v>
          </cell>
        </row>
        <row r="1237">
          <cell r="J1237">
            <v>12</v>
          </cell>
          <cell r="K1237">
            <v>12</v>
          </cell>
          <cell r="N1237">
            <v>0</v>
          </cell>
          <cell r="Q1237" t="str">
            <v>2015_10</v>
          </cell>
        </row>
        <row r="1238">
          <cell r="J1238">
            <v>12</v>
          </cell>
          <cell r="K1238">
            <v>12</v>
          </cell>
          <cell r="N1238">
            <v>0</v>
          </cell>
          <cell r="Q1238" t="str">
            <v>2015_11</v>
          </cell>
        </row>
        <row r="1239">
          <cell r="J1239">
            <v>12</v>
          </cell>
          <cell r="K1239">
            <v>12</v>
          </cell>
          <cell r="N1239">
            <v>0</v>
          </cell>
          <cell r="Q1239" t="str">
            <v>2015_12</v>
          </cell>
        </row>
        <row r="1240">
          <cell r="J1240">
            <v>12</v>
          </cell>
          <cell r="K1240">
            <v>12</v>
          </cell>
          <cell r="N1240">
            <v>-1402.52</v>
          </cell>
          <cell r="Q1240" t="str">
            <v>2015_10</v>
          </cell>
        </row>
        <row r="1241">
          <cell r="J1241">
            <v>12</v>
          </cell>
          <cell r="K1241">
            <v>12</v>
          </cell>
          <cell r="N1241">
            <v>-785.05</v>
          </cell>
          <cell r="Q1241" t="str">
            <v>2015_11</v>
          </cell>
        </row>
        <row r="1242">
          <cell r="J1242">
            <v>12</v>
          </cell>
          <cell r="K1242">
            <v>12</v>
          </cell>
          <cell r="N1242">
            <v>-1460.43</v>
          </cell>
          <cell r="Q1242" t="str">
            <v>2015_12</v>
          </cell>
        </row>
        <row r="1243">
          <cell r="J1243">
            <v>12</v>
          </cell>
          <cell r="K1243">
            <v>12</v>
          </cell>
          <cell r="N1243">
            <v>-794.11</v>
          </cell>
          <cell r="Q1243" t="str">
            <v>2016_01</v>
          </cell>
        </row>
        <row r="1244">
          <cell r="J1244">
            <v>12</v>
          </cell>
          <cell r="K1244">
            <v>12</v>
          </cell>
          <cell r="N1244">
            <v>-1349.04</v>
          </cell>
          <cell r="Q1244" t="str">
            <v>2016_02</v>
          </cell>
        </row>
        <row r="1245">
          <cell r="J1245">
            <v>12</v>
          </cell>
          <cell r="K1245">
            <v>12</v>
          </cell>
          <cell r="N1245">
            <v>-784.14</v>
          </cell>
          <cell r="Q1245" t="str">
            <v>2016_03</v>
          </cell>
        </row>
        <row r="1246">
          <cell r="J1246">
            <v>12</v>
          </cell>
          <cell r="K1246">
            <v>12</v>
          </cell>
          <cell r="N1246">
            <v>-1368.85</v>
          </cell>
          <cell r="Q1246" t="str">
            <v>2016_04</v>
          </cell>
        </row>
        <row r="1247">
          <cell r="J1247">
            <v>12</v>
          </cell>
          <cell r="K1247">
            <v>12</v>
          </cell>
          <cell r="N1247">
            <v>-787.85</v>
          </cell>
          <cell r="Q1247" t="str">
            <v>2016_05</v>
          </cell>
        </row>
        <row r="1248">
          <cell r="J1248">
            <v>12</v>
          </cell>
          <cell r="K1248">
            <v>12</v>
          </cell>
          <cell r="N1248">
            <v>-1403.03</v>
          </cell>
          <cell r="Q1248" t="str">
            <v>2016_06</v>
          </cell>
        </row>
        <row r="1249">
          <cell r="J1249">
            <v>12</v>
          </cell>
          <cell r="K1249">
            <v>12</v>
          </cell>
          <cell r="N1249">
            <v>-763.45</v>
          </cell>
          <cell r="Q1249" t="str">
            <v>2016_07</v>
          </cell>
        </row>
        <row r="1250">
          <cell r="J1250">
            <v>12</v>
          </cell>
          <cell r="K1250">
            <v>12</v>
          </cell>
          <cell r="N1250">
            <v>-1300.74</v>
          </cell>
          <cell r="Q1250" t="str">
            <v>2016_08</v>
          </cell>
        </row>
        <row r="1251">
          <cell r="J1251">
            <v>12</v>
          </cell>
          <cell r="K1251">
            <v>12</v>
          </cell>
          <cell r="N1251">
            <v>-721.66</v>
          </cell>
          <cell r="Q1251" t="str">
            <v>2016_09</v>
          </cell>
        </row>
        <row r="1252">
          <cell r="J1252">
            <v>12</v>
          </cell>
          <cell r="K1252">
            <v>12</v>
          </cell>
          <cell r="N1252">
            <v>0</v>
          </cell>
          <cell r="Q1252" t="str">
            <v>2015_10</v>
          </cell>
        </row>
        <row r="1253">
          <cell r="J1253">
            <v>12</v>
          </cell>
          <cell r="K1253">
            <v>12</v>
          </cell>
          <cell r="N1253">
            <v>0</v>
          </cell>
          <cell r="Q1253" t="str">
            <v>2015_11</v>
          </cell>
        </row>
        <row r="1254">
          <cell r="J1254">
            <v>12</v>
          </cell>
          <cell r="K1254">
            <v>12</v>
          </cell>
          <cell r="N1254">
            <v>0</v>
          </cell>
          <cell r="Q1254" t="str">
            <v>2015_12</v>
          </cell>
        </row>
        <row r="1255">
          <cell r="J1255">
            <v>12</v>
          </cell>
          <cell r="K1255">
            <v>12</v>
          </cell>
          <cell r="N1255">
            <v>-414.23</v>
          </cell>
          <cell r="Q1255" t="str">
            <v>2015_10</v>
          </cell>
        </row>
        <row r="1256">
          <cell r="J1256">
            <v>12</v>
          </cell>
          <cell r="K1256">
            <v>12</v>
          </cell>
          <cell r="N1256">
            <v>-414.23</v>
          </cell>
          <cell r="Q1256" t="str">
            <v>2015_11</v>
          </cell>
        </row>
        <row r="1257">
          <cell r="J1257">
            <v>12</v>
          </cell>
          <cell r="K1257">
            <v>12</v>
          </cell>
          <cell r="N1257">
            <v>-414.23</v>
          </cell>
          <cell r="Q1257" t="str">
            <v>2015_12</v>
          </cell>
        </row>
        <row r="1258">
          <cell r="J1258">
            <v>12</v>
          </cell>
          <cell r="K1258">
            <v>12</v>
          </cell>
          <cell r="N1258">
            <v>-414.23</v>
          </cell>
          <cell r="Q1258" t="str">
            <v>2016_01</v>
          </cell>
        </row>
        <row r="1259">
          <cell r="J1259">
            <v>12</v>
          </cell>
          <cell r="K1259">
            <v>12</v>
          </cell>
          <cell r="N1259">
            <v>-414.23</v>
          </cell>
          <cell r="Q1259" t="str">
            <v>2016_02</v>
          </cell>
        </row>
        <row r="1260">
          <cell r="J1260">
            <v>12</v>
          </cell>
          <cell r="K1260">
            <v>12</v>
          </cell>
          <cell r="N1260">
            <v>-121.78</v>
          </cell>
          <cell r="Q1260" t="str">
            <v>2016_03</v>
          </cell>
        </row>
        <row r="1261">
          <cell r="J1261">
            <v>12</v>
          </cell>
          <cell r="K1261">
            <v>12</v>
          </cell>
          <cell r="N1261">
            <v>-354.62</v>
          </cell>
          <cell r="Q1261" t="str">
            <v>2016_04</v>
          </cell>
        </row>
        <row r="1262">
          <cell r="J1262">
            <v>12</v>
          </cell>
          <cell r="K1262">
            <v>12</v>
          </cell>
          <cell r="N1262">
            <v>-354.62</v>
          </cell>
          <cell r="Q1262" t="str">
            <v>2016_05</v>
          </cell>
        </row>
        <row r="1263">
          <cell r="J1263">
            <v>12</v>
          </cell>
          <cell r="K1263">
            <v>12</v>
          </cell>
          <cell r="N1263">
            <v>-354.62</v>
          </cell>
          <cell r="Q1263" t="str">
            <v>2016_06</v>
          </cell>
        </row>
        <row r="1264">
          <cell r="J1264">
            <v>12</v>
          </cell>
          <cell r="K1264">
            <v>12</v>
          </cell>
          <cell r="N1264">
            <v>-390.52</v>
          </cell>
          <cell r="Q1264" t="str">
            <v>2016_07</v>
          </cell>
        </row>
        <row r="1265">
          <cell r="J1265">
            <v>12</v>
          </cell>
          <cell r="K1265">
            <v>12</v>
          </cell>
          <cell r="N1265">
            <v>-354.62</v>
          </cell>
          <cell r="Q1265" t="str">
            <v>2016_08</v>
          </cell>
        </row>
        <row r="1266">
          <cell r="J1266">
            <v>12</v>
          </cell>
          <cell r="K1266">
            <v>12</v>
          </cell>
          <cell r="N1266">
            <v>-354.62</v>
          </cell>
          <cell r="Q1266" t="str">
            <v>2016_09</v>
          </cell>
        </row>
        <row r="1267">
          <cell r="J1267">
            <v>12</v>
          </cell>
          <cell r="K1267">
            <v>12</v>
          </cell>
          <cell r="N1267">
            <v>0</v>
          </cell>
          <cell r="Q1267" t="str">
            <v>2015_10</v>
          </cell>
        </row>
        <row r="1268">
          <cell r="J1268">
            <v>12</v>
          </cell>
          <cell r="K1268">
            <v>12</v>
          </cell>
          <cell r="N1268">
            <v>0</v>
          </cell>
          <cell r="Q1268" t="str">
            <v>2015_11</v>
          </cell>
        </row>
        <row r="1269">
          <cell r="J1269">
            <v>12</v>
          </cell>
          <cell r="K1269">
            <v>12</v>
          </cell>
          <cell r="N1269">
            <v>0</v>
          </cell>
          <cell r="Q1269" t="str">
            <v>2015_12</v>
          </cell>
        </row>
        <row r="1270">
          <cell r="J1270">
            <v>12</v>
          </cell>
          <cell r="K1270">
            <v>12</v>
          </cell>
          <cell r="N1270">
            <v>-895.74</v>
          </cell>
          <cell r="Q1270" t="str">
            <v>2015_10</v>
          </cell>
        </row>
        <row r="1271">
          <cell r="J1271">
            <v>12</v>
          </cell>
          <cell r="K1271">
            <v>12</v>
          </cell>
          <cell r="N1271">
            <v>-481</v>
          </cell>
          <cell r="Q1271" t="str">
            <v>2015_11</v>
          </cell>
        </row>
        <row r="1272">
          <cell r="J1272">
            <v>12</v>
          </cell>
          <cell r="K1272">
            <v>12</v>
          </cell>
          <cell r="N1272">
            <v>-561</v>
          </cell>
          <cell r="Q1272" t="str">
            <v>2015_12</v>
          </cell>
        </row>
        <row r="1273">
          <cell r="J1273">
            <v>12</v>
          </cell>
          <cell r="K1273">
            <v>12</v>
          </cell>
          <cell r="N1273">
            <v>-671.78</v>
          </cell>
          <cell r="Q1273" t="str">
            <v>2016_01</v>
          </cell>
        </row>
        <row r="1274">
          <cell r="J1274">
            <v>12</v>
          </cell>
          <cell r="K1274">
            <v>12</v>
          </cell>
          <cell r="N1274">
            <v>-656</v>
          </cell>
          <cell r="Q1274" t="str">
            <v>2016_02</v>
          </cell>
        </row>
        <row r="1275">
          <cell r="J1275">
            <v>12</v>
          </cell>
          <cell r="K1275">
            <v>12</v>
          </cell>
          <cell r="N1275">
            <v>-524</v>
          </cell>
          <cell r="Q1275" t="str">
            <v>2016_03</v>
          </cell>
        </row>
        <row r="1276">
          <cell r="J1276">
            <v>12</v>
          </cell>
          <cell r="K1276">
            <v>12</v>
          </cell>
          <cell r="N1276">
            <v>-386</v>
          </cell>
          <cell r="Q1276" t="str">
            <v>2016_04</v>
          </cell>
        </row>
        <row r="1277">
          <cell r="J1277">
            <v>12</v>
          </cell>
          <cell r="K1277">
            <v>12</v>
          </cell>
          <cell r="N1277">
            <v>-386</v>
          </cell>
          <cell r="Q1277" t="str">
            <v>2016_05</v>
          </cell>
        </row>
        <row r="1278">
          <cell r="J1278">
            <v>12</v>
          </cell>
          <cell r="K1278">
            <v>12</v>
          </cell>
          <cell r="N1278">
            <v>-432.1</v>
          </cell>
          <cell r="Q1278" t="str">
            <v>2016_06</v>
          </cell>
        </row>
        <row r="1279">
          <cell r="J1279">
            <v>12</v>
          </cell>
          <cell r="K1279">
            <v>12</v>
          </cell>
          <cell r="N1279">
            <v>-430.1</v>
          </cell>
          <cell r="Q1279" t="str">
            <v>2016_07</v>
          </cell>
        </row>
        <row r="1280">
          <cell r="J1280">
            <v>12</v>
          </cell>
          <cell r="K1280">
            <v>12</v>
          </cell>
          <cell r="N1280">
            <v>-467.49</v>
          </cell>
          <cell r="Q1280" t="str">
            <v>2016_08</v>
          </cell>
        </row>
        <row r="1281">
          <cell r="J1281">
            <v>12</v>
          </cell>
          <cell r="K1281">
            <v>12</v>
          </cell>
          <cell r="N1281">
            <v>-480.95</v>
          </cell>
          <cell r="Q1281" t="str">
            <v>2016_09</v>
          </cell>
        </row>
        <row r="1282">
          <cell r="J1282">
            <v>12</v>
          </cell>
          <cell r="K1282">
            <v>12</v>
          </cell>
          <cell r="N1282">
            <v>0</v>
          </cell>
          <cell r="Q1282" t="str">
            <v>2015_10</v>
          </cell>
        </row>
        <row r="1283">
          <cell r="J1283">
            <v>12</v>
          </cell>
          <cell r="K1283">
            <v>12</v>
          </cell>
          <cell r="N1283">
            <v>0</v>
          </cell>
          <cell r="Q1283" t="str">
            <v>2015_11</v>
          </cell>
        </row>
        <row r="1284">
          <cell r="J1284">
            <v>12</v>
          </cell>
          <cell r="K1284">
            <v>12</v>
          </cell>
          <cell r="N1284">
            <v>0</v>
          </cell>
          <cell r="Q1284" t="str">
            <v>2015_12</v>
          </cell>
        </row>
        <row r="1285">
          <cell r="J1285">
            <v>12</v>
          </cell>
          <cell r="K1285">
            <v>12</v>
          </cell>
          <cell r="N1285">
            <v>-77.55</v>
          </cell>
          <cell r="Q1285" t="str">
            <v>2015_10</v>
          </cell>
        </row>
        <row r="1286">
          <cell r="J1286">
            <v>12</v>
          </cell>
          <cell r="K1286">
            <v>12</v>
          </cell>
          <cell r="N1286">
            <v>-78.959999999999994</v>
          </cell>
          <cell r="Q1286" t="str">
            <v>2015_11</v>
          </cell>
        </row>
        <row r="1287">
          <cell r="J1287">
            <v>12</v>
          </cell>
          <cell r="K1287">
            <v>12</v>
          </cell>
          <cell r="N1287">
            <v>-84.6</v>
          </cell>
          <cell r="Q1287" t="str">
            <v>2015_12</v>
          </cell>
        </row>
        <row r="1288">
          <cell r="J1288">
            <v>12</v>
          </cell>
          <cell r="K1288">
            <v>12</v>
          </cell>
          <cell r="N1288">
            <v>-160.27000000000001</v>
          </cell>
          <cell r="Q1288" t="str">
            <v>2016_01</v>
          </cell>
        </row>
        <row r="1289">
          <cell r="J1289">
            <v>12</v>
          </cell>
          <cell r="K1289">
            <v>12</v>
          </cell>
          <cell r="N1289">
            <v>0</v>
          </cell>
          <cell r="Q1289" t="str">
            <v>2016_02</v>
          </cell>
        </row>
        <row r="1290">
          <cell r="J1290">
            <v>12</v>
          </cell>
          <cell r="K1290">
            <v>12</v>
          </cell>
          <cell r="N1290">
            <v>-167.32</v>
          </cell>
          <cell r="Q1290" t="str">
            <v>2016_03</v>
          </cell>
        </row>
        <row r="1291">
          <cell r="J1291">
            <v>12</v>
          </cell>
          <cell r="K1291">
            <v>12</v>
          </cell>
          <cell r="N1291">
            <v>-79.900000000000006</v>
          </cell>
          <cell r="Q1291" t="str">
            <v>2016_04</v>
          </cell>
        </row>
        <row r="1292">
          <cell r="J1292">
            <v>12</v>
          </cell>
          <cell r="K1292">
            <v>12</v>
          </cell>
          <cell r="N1292">
            <v>-119.38</v>
          </cell>
          <cell r="Q1292" t="str">
            <v>2016_05</v>
          </cell>
        </row>
        <row r="1293">
          <cell r="J1293">
            <v>12</v>
          </cell>
          <cell r="K1293">
            <v>12</v>
          </cell>
          <cell r="N1293">
            <v>-175.78</v>
          </cell>
          <cell r="Q1293" t="str">
            <v>2016_06</v>
          </cell>
        </row>
        <row r="1294">
          <cell r="J1294">
            <v>12</v>
          </cell>
          <cell r="K1294">
            <v>12</v>
          </cell>
          <cell r="N1294">
            <v>-67.209999999999994</v>
          </cell>
          <cell r="Q1294" t="str">
            <v>2016_07</v>
          </cell>
        </row>
        <row r="1295">
          <cell r="J1295">
            <v>12</v>
          </cell>
          <cell r="K1295">
            <v>12</v>
          </cell>
          <cell r="N1295">
            <v>-140.53</v>
          </cell>
          <cell r="Q1295" t="str">
            <v>2016_08</v>
          </cell>
        </row>
        <row r="1296">
          <cell r="J1296">
            <v>12</v>
          </cell>
          <cell r="K1296">
            <v>12</v>
          </cell>
          <cell r="N1296">
            <v>-75.67</v>
          </cell>
          <cell r="Q1296" t="str">
            <v>2016_09</v>
          </cell>
        </row>
        <row r="1297">
          <cell r="J1297">
            <v>12</v>
          </cell>
          <cell r="K1297">
            <v>12</v>
          </cell>
          <cell r="N1297">
            <v>-13.55</v>
          </cell>
          <cell r="Q1297" t="str">
            <v>2015_10</v>
          </cell>
        </row>
        <row r="1298">
          <cell r="J1298">
            <v>12</v>
          </cell>
          <cell r="K1298">
            <v>12</v>
          </cell>
          <cell r="N1298">
            <v>-5.0999999999999996</v>
          </cell>
          <cell r="Q1298" t="str">
            <v>2015_11</v>
          </cell>
        </row>
        <row r="1299">
          <cell r="J1299">
            <v>12</v>
          </cell>
          <cell r="K1299">
            <v>12</v>
          </cell>
          <cell r="N1299">
            <v>-3.56</v>
          </cell>
          <cell r="Q1299" t="str">
            <v>2015_12</v>
          </cell>
        </row>
        <row r="1300">
          <cell r="J1300">
            <v>12</v>
          </cell>
          <cell r="K1300">
            <v>12</v>
          </cell>
          <cell r="N1300">
            <v>-3.11</v>
          </cell>
          <cell r="Q1300" t="str">
            <v>2016_01</v>
          </cell>
        </row>
        <row r="1301">
          <cell r="J1301">
            <v>12</v>
          </cell>
          <cell r="K1301">
            <v>12</v>
          </cell>
          <cell r="N1301">
            <v>-8.57</v>
          </cell>
          <cell r="Q1301" t="str">
            <v>2016_02</v>
          </cell>
        </row>
        <row r="1302">
          <cell r="J1302">
            <v>12</v>
          </cell>
          <cell r="K1302">
            <v>12</v>
          </cell>
          <cell r="N1302">
            <v>-5</v>
          </cell>
          <cell r="Q1302" t="str">
            <v>2016_03</v>
          </cell>
        </row>
        <row r="1303">
          <cell r="J1303">
            <v>12</v>
          </cell>
          <cell r="K1303">
            <v>12</v>
          </cell>
          <cell r="N1303">
            <v>-11.36</v>
          </cell>
          <cell r="Q1303" t="str">
            <v>2016_04</v>
          </cell>
        </row>
        <row r="1304">
          <cell r="J1304">
            <v>12</v>
          </cell>
          <cell r="K1304">
            <v>12</v>
          </cell>
          <cell r="N1304">
            <v>-2</v>
          </cell>
          <cell r="Q1304" t="str">
            <v>2016_05</v>
          </cell>
        </row>
        <row r="1305">
          <cell r="J1305">
            <v>12</v>
          </cell>
          <cell r="K1305">
            <v>12</v>
          </cell>
          <cell r="N1305">
            <v>-5.87</v>
          </cell>
          <cell r="Q1305" t="str">
            <v>2016_06</v>
          </cell>
        </row>
        <row r="1306">
          <cell r="J1306">
            <v>12</v>
          </cell>
          <cell r="K1306">
            <v>12</v>
          </cell>
          <cell r="N1306">
            <v>-2</v>
          </cell>
          <cell r="Q1306" t="str">
            <v>2016_07</v>
          </cell>
        </row>
        <row r="1307">
          <cell r="J1307">
            <v>12</v>
          </cell>
          <cell r="K1307">
            <v>12</v>
          </cell>
          <cell r="N1307">
            <v>-5</v>
          </cell>
          <cell r="Q1307" t="str">
            <v>2016_08</v>
          </cell>
        </row>
        <row r="1308">
          <cell r="J1308">
            <v>12</v>
          </cell>
          <cell r="K1308">
            <v>12</v>
          </cell>
          <cell r="N1308">
            <v>-8.6999999999999993</v>
          </cell>
          <cell r="Q1308" t="str">
            <v>2016_09</v>
          </cell>
        </row>
        <row r="1309">
          <cell r="J1309">
            <v>16</v>
          </cell>
          <cell r="K1309">
            <v>16</v>
          </cell>
          <cell r="N1309">
            <v>0</v>
          </cell>
          <cell r="Q1309" t="str">
            <v>2015_10</v>
          </cell>
        </row>
        <row r="1310">
          <cell r="J1310">
            <v>16</v>
          </cell>
          <cell r="K1310">
            <v>16</v>
          </cell>
          <cell r="N1310">
            <v>0</v>
          </cell>
          <cell r="Q1310" t="str">
            <v>2015_11</v>
          </cell>
        </row>
        <row r="1311">
          <cell r="J1311">
            <v>16</v>
          </cell>
          <cell r="K1311">
            <v>16</v>
          </cell>
          <cell r="N1311">
            <v>0</v>
          </cell>
          <cell r="Q1311" t="str">
            <v>2015_12</v>
          </cell>
        </row>
        <row r="1312">
          <cell r="J1312">
            <v>16</v>
          </cell>
          <cell r="K1312">
            <v>16</v>
          </cell>
          <cell r="N1312">
            <v>-1</v>
          </cell>
          <cell r="Q1312" t="str">
            <v>2015_10</v>
          </cell>
        </row>
        <row r="1313">
          <cell r="J1313">
            <v>16</v>
          </cell>
          <cell r="K1313">
            <v>16</v>
          </cell>
          <cell r="N1313">
            <v>-2</v>
          </cell>
          <cell r="Q1313" t="str">
            <v>2015_11</v>
          </cell>
        </row>
        <row r="1314">
          <cell r="J1314">
            <v>16</v>
          </cell>
          <cell r="K1314">
            <v>16</v>
          </cell>
          <cell r="N1314">
            <v>-1</v>
          </cell>
          <cell r="Q1314" t="str">
            <v>2015_12</v>
          </cell>
        </row>
        <row r="1315">
          <cell r="J1315">
            <v>16</v>
          </cell>
          <cell r="K1315">
            <v>16</v>
          </cell>
          <cell r="N1315">
            <v>-2</v>
          </cell>
          <cell r="Q1315" t="str">
            <v>2016_01</v>
          </cell>
        </row>
        <row r="1316">
          <cell r="J1316">
            <v>16</v>
          </cell>
          <cell r="K1316">
            <v>16</v>
          </cell>
          <cell r="N1316">
            <v>-1</v>
          </cell>
          <cell r="Q1316" t="str">
            <v>2016_02</v>
          </cell>
        </row>
        <row r="1317">
          <cell r="J1317">
            <v>16</v>
          </cell>
          <cell r="K1317">
            <v>16</v>
          </cell>
          <cell r="N1317">
            <v>-4</v>
          </cell>
          <cell r="Q1317" t="str">
            <v>2016_03</v>
          </cell>
        </row>
        <row r="1318">
          <cell r="J1318">
            <v>16</v>
          </cell>
          <cell r="K1318">
            <v>16</v>
          </cell>
          <cell r="N1318">
            <v>-3</v>
          </cell>
          <cell r="Q1318" t="str">
            <v>2016_04</v>
          </cell>
        </row>
        <row r="1319">
          <cell r="J1319">
            <v>16</v>
          </cell>
          <cell r="K1319">
            <v>16</v>
          </cell>
          <cell r="N1319">
            <v>-1</v>
          </cell>
          <cell r="Q1319" t="str">
            <v>2016_05</v>
          </cell>
        </row>
        <row r="1320">
          <cell r="J1320">
            <v>16</v>
          </cell>
          <cell r="K1320">
            <v>16</v>
          </cell>
          <cell r="N1320">
            <v>1</v>
          </cell>
          <cell r="Q1320" t="str">
            <v>2016_06</v>
          </cell>
        </row>
        <row r="1321">
          <cell r="J1321">
            <v>16</v>
          </cell>
          <cell r="K1321">
            <v>16</v>
          </cell>
          <cell r="N1321">
            <v>0</v>
          </cell>
          <cell r="Q1321" t="str">
            <v>2016_07</v>
          </cell>
        </row>
        <row r="1322">
          <cell r="J1322">
            <v>16</v>
          </cell>
          <cell r="K1322">
            <v>16</v>
          </cell>
          <cell r="N1322">
            <v>0</v>
          </cell>
          <cell r="Q1322" t="str">
            <v>2016_08</v>
          </cell>
        </row>
        <row r="1323">
          <cell r="J1323">
            <v>16</v>
          </cell>
          <cell r="K1323">
            <v>16</v>
          </cell>
          <cell r="N1323">
            <v>-2</v>
          </cell>
          <cell r="Q1323" t="str">
            <v>2016_09</v>
          </cell>
        </row>
        <row r="1324">
          <cell r="J1324">
            <v>11</v>
          </cell>
          <cell r="K1324">
            <v>11</v>
          </cell>
          <cell r="N1324">
            <v>0</v>
          </cell>
          <cell r="Q1324" t="str">
            <v>2015_10</v>
          </cell>
        </row>
        <row r="1325">
          <cell r="J1325">
            <v>11</v>
          </cell>
          <cell r="K1325">
            <v>11</v>
          </cell>
          <cell r="N1325">
            <v>0</v>
          </cell>
          <cell r="Q1325" t="str">
            <v>2015_11</v>
          </cell>
        </row>
        <row r="1326">
          <cell r="J1326">
            <v>11</v>
          </cell>
          <cell r="K1326">
            <v>11</v>
          </cell>
          <cell r="N1326">
            <v>0</v>
          </cell>
          <cell r="Q1326" t="str">
            <v>2015_12</v>
          </cell>
        </row>
        <row r="1327">
          <cell r="J1327">
            <v>11</v>
          </cell>
          <cell r="K1327">
            <v>11</v>
          </cell>
          <cell r="N1327">
            <v>-9747.43</v>
          </cell>
          <cell r="Q1327" t="str">
            <v>2015_10</v>
          </cell>
        </row>
        <row r="1328">
          <cell r="J1328">
            <v>11</v>
          </cell>
          <cell r="K1328">
            <v>11</v>
          </cell>
          <cell r="N1328">
            <v>-9682.1200000000008</v>
          </cell>
          <cell r="Q1328" t="str">
            <v>2015_11</v>
          </cell>
        </row>
        <row r="1329">
          <cell r="J1329">
            <v>11</v>
          </cell>
          <cell r="K1329">
            <v>11</v>
          </cell>
          <cell r="N1329">
            <v>-9615.84</v>
          </cell>
          <cell r="Q1329" t="str">
            <v>2015_12</v>
          </cell>
        </row>
        <row r="1330">
          <cell r="J1330">
            <v>11</v>
          </cell>
          <cell r="K1330">
            <v>11</v>
          </cell>
          <cell r="N1330">
            <v>-9694.0400000000009</v>
          </cell>
          <cell r="Q1330" t="str">
            <v>2016_01</v>
          </cell>
        </row>
        <row r="1331">
          <cell r="J1331">
            <v>11</v>
          </cell>
          <cell r="K1331">
            <v>11</v>
          </cell>
          <cell r="N1331">
            <v>-9636.89</v>
          </cell>
          <cell r="Q1331" t="str">
            <v>2016_02</v>
          </cell>
        </row>
        <row r="1332">
          <cell r="J1332">
            <v>11</v>
          </cell>
          <cell r="K1332">
            <v>11</v>
          </cell>
          <cell r="N1332">
            <v>-9593.2199999999993</v>
          </cell>
          <cell r="Q1332" t="str">
            <v>2016_03</v>
          </cell>
        </row>
        <row r="1333">
          <cell r="J1333">
            <v>11</v>
          </cell>
          <cell r="K1333">
            <v>11</v>
          </cell>
          <cell r="N1333">
            <v>-12344.39</v>
          </cell>
          <cell r="Q1333" t="str">
            <v>2016_04</v>
          </cell>
        </row>
        <row r="1334">
          <cell r="J1334">
            <v>11</v>
          </cell>
          <cell r="K1334">
            <v>11</v>
          </cell>
          <cell r="N1334">
            <v>-9704.27</v>
          </cell>
          <cell r="Q1334" t="str">
            <v>2016_05</v>
          </cell>
        </row>
        <row r="1335">
          <cell r="J1335">
            <v>11</v>
          </cell>
          <cell r="K1335">
            <v>11</v>
          </cell>
          <cell r="N1335">
            <v>-9694.42</v>
          </cell>
          <cell r="Q1335" t="str">
            <v>2016_06</v>
          </cell>
        </row>
        <row r="1336">
          <cell r="J1336">
            <v>11</v>
          </cell>
          <cell r="K1336">
            <v>11</v>
          </cell>
          <cell r="N1336">
            <v>-9769.34</v>
          </cell>
          <cell r="Q1336" t="str">
            <v>2016_07</v>
          </cell>
        </row>
        <row r="1337">
          <cell r="J1337">
            <v>11</v>
          </cell>
          <cell r="K1337">
            <v>11</v>
          </cell>
          <cell r="N1337">
            <v>-9711.48</v>
          </cell>
          <cell r="Q1337" t="str">
            <v>2016_08</v>
          </cell>
        </row>
        <row r="1338">
          <cell r="J1338">
            <v>11</v>
          </cell>
          <cell r="K1338">
            <v>11</v>
          </cell>
          <cell r="N1338">
            <v>-9796.7099999999991</v>
          </cell>
          <cell r="Q1338" t="str">
            <v>2016_09</v>
          </cell>
        </row>
        <row r="1339">
          <cell r="J1339">
            <v>11</v>
          </cell>
          <cell r="K1339">
            <v>11</v>
          </cell>
          <cell r="N1339">
            <v>0</v>
          </cell>
          <cell r="Q1339" t="str">
            <v>2015_10</v>
          </cell>
        </row>
        <row r="1340">
          <cell r="J1340">
            <v>11</v>
          </cell>
          <cell r="K1340">
            <v>11</v>
          </cell>
          <cell r="N1340">
            <v>0</v>
          </cell>
          <cell r="Q1340" t="str">
            <v>2015_11</v>
          </cell>
        </row>
        <row r="1341">
          <cell r="J1341">
            <v>11</v>
          </cell>
          <cell r="K1341">
            <v>11</v>
          </cell>
          <cell r="N1341">
            <v>0</v>
          </cell>
          <cell r="Q1341" t="str">
            <v>2015_12</v>
          </cell>
        </row>
        <row r="1342">
          <cell r="J1342">
            <v>11</v>
          </cell>
          <cell r="K1342">
            <v>11</v>
          </cell>
          <cell r="N1342">
            <v>-1926.37</v>
          </cell>
          <cell r="Q1342" t="str">
            <v>2015_10</v>
          </cell>
        </row>
        <row r="1343">
          <cell r="J1343">
            <v>11</v>
          </cell>
          <cell r="K1343">
            <v>11</v>
          </cell>
          <cell r="N1343">
            <v>-1518.17</v>
          </cell>
          <cell r="Q1343" t="str">
            <v>2015_11</v>
          </cell>
        </row>
        <row r="1344">
          <cell r="J1344">
            <v>11</v>
          </cell>
          <cell r="K1344">
            <v>11</v>
          </cell>
          <cell r="N1344">
            <v>-1518.17</v>
          </cell>
          <cell r="Q1344" t="str">
            <v>2015_12</v>
          </cell>
        </row>
        <row r="1345">
          <cell r="J1345">
            <v>11</v>
          </cell>
          <cell r="K1345">
            <v>11</v>
          </cell>
          <cell r="N1345">
            <v>-1518.17</v>
          </cell>
          <cell r="Q1345" t="str">
            <v>2016_01</v>
          </cell>
        </row>
        <row r="1346">
          <cell r="J1346">
            <v>11</v>
          </cell>
          <cell r="K1346">
            <v>11</v>
          </cell>
          <cell r="N1346">
            <v>-1590.16</v>
          </cell>
          <cell r="Q1346" t="str">
            <v>2016_02</v>
          </cell>
        </row>
        <row r="1347">
          <cell r="J1347">
            <v>11</v>
          </cell>
          <cell r="K1347">
            <v>11</v>
          </cell>
          <cell r="N1347">
            <v>-1481.36</v>
          </cell>
          <cell r="Q1347" t="str">
            <v>2016_03</v>
          </cell>
        </row>
        <row r="1348">
          <cell r="J1348">
            <v>11</v>
          </cell>
          <cell r="K1348">
            <v>11</v>
          </cell>
          <cell r="N1348">
            <v>-1481.36</v>
          </cell>
          <cell r="Q1348" t="str">
            <v>2016_04</v>
          </cell>
        </row>
        <row r="1349">
          <cell r="J1349">
            <v>11</v>
          </cell>
          <cell r="K1349">
            <v>11</v>
          </cell>
          <cell r="N1349">
            <v>-1580.97</v>
          </cell>
          <cell r="Q1349" t="str">
            <v>2016_05</v>
          </cell>
        </row>
        <row r="1350">
          <cell r="J1350">
            <v>11</v>
          </cell>
          <cell r="K1350">
            <v>11</v>
          </cell>
          <cell r="N1350">
            <v>-1538.11</v>
          </cell>
          <cell r="Q1350" t="str">
            <v>2016_06</v>
          </cell>
        </row>
        <row r="1351">
          <cell r="J1351">
            <v>11</v>
          </cell>
          <cell r="K1351">
            <v>11</v>
          </cell>
          <cell r="N1351">
            <v>-1518.17</v>
          </cell>
          <cell r="Q1351" t="str">
            <v>2016_07</v>
          </cell>
        </row>
        <row r="1352">
          <cell r="J1352">
            <v>11</v>
          </cell>
          <cell r="K1352">
            <v>11</v>
          </cell>
          <cell r="N1352">
            <v>-1905.69</v>
          </cell>
          <cell r="Q1352" t="str">
            <v>2016_08</v>
          </cell>
        </row>
        <row r="1353">
          <cell r="J1353">
            <v>11</v>
          </cell>
          <cell r="K1353">
            <v>11</v>
          </cell>
          <cell r="N1353">
            <v>-1616.41</v>
          </cell>
          <cell r="Q1353" t="str">
            <v>2016_09</v>
          </cell>
        </row>
        <row r="1354">
          <cell r="J1354">
            <v>11</v>
          </cell>
          <cell r="K1354">
            <v>11</v>
          </cell>
          <cell r="N1354">
            <v>0</v>
          </cell>
          <cell r="Q1354" t="str">
            <v>2015_10</v>
          </cell>
        </row>
        <row r="1355">
          <cell r="J1355">
            <v>11</v>
          </cell>
          <cell r="K1355">
            <v>11</v>
          </cell>
          <cell r="N1355">
            <v>0</v>
          </cell>
          <cell r="Q1355" t="str">
            <v>2015_11</v>
          </cell>
        </row>
        <row r="1356">
          <cell r="J1356">
            <v>11</v>
          </cell>
          <cell r="K1356">
            <v>11</v>
          </cell>
          <cell r="N1356">
            <v>0</v>
          </cell>
          <cell r="Q1356" t="str">
            <v>2015_12</v>
          </cell>
        </row>
        <row r="1357">
          <cell r="J1357">
            <v>11</v>
          </cell>
          <cell r="K1357">
            <v>11</v>
          </cell>
          <cell r="N1357">
            <v>-9.26</v>
          </cell>
          <cell r="Q1357" t="str">
            <v>2016_01</v>
          </cell>
        </row>
        <row r="1358">
          <cell r="J1358">
            <v>11</v>
          </cell>
          <cell r="K1358">
            <v>11</v>
          </cell>
          <cell r="N1358">
            <v>0</v>
          </cell>
          <cell r="Q1358" t="str">
            <v>2016_02</v>
          </cell>
        </row>
        <row r="1359">
          <cell r="J1359">
            <v>11</v>
          </cell>
          <cell r="K1359">
            <v>11</v>
          </cell>
          <cell r="N1359">
            <v>0</v>
          </cell>
          <cell r="Q1359" t="str">
            <v>2016_03</v>
          </cell>
        </row>
        <row r="1360">
          <cell r="J1360">
            <v>11</v>
          </cell>
          <cell r="K1360">
            <v>11</v>
          </cell>
          <cell r="N1360">
            <v>-66.47</v>
          </cell>
          <cell r="Q1360" t="str">
            <v>2016_04</v>
          </cell>
        </row>
        <row r="1361">
          <cell r="J1361">
            <v>11</v>
          </cell>
          <cell r="K1361">
            <v>11</v>
          </cell>
          <cell r="N1361">
            <v>0</v>
          </cell>
          <cell r="Q1361" t="str">
            <v>2016_05</v>
          </cell>
        </row>
        <row r="1362">
          <cell r="J1362">
            <v>11</v>
          </cell>
          <cell r="K1362">
            <v>11</v>
          </cell>
          <cell r="N1362">
            <v>0</v>
          </cell>
          <cell r="Q1362" t="str">
            <v>2016_06</v>
          </cell>
        </row>
        <row r="1363">
          <cell r="J1363">
            <v>11</v>
          </cell>
          <cell r="K1363">
            <v>11</v>
          </cell>
          <cell r="N1363">
            <v>0</v>
          </cell>
          <cell r="Q1363" t="str">
            <v>2016_07</v>
          </cell>
        </row>
        <row r="1364">
          <cell r="J1364">
            <v>11</v>
          </cell>
          <cell r="K1364">
            <v>11</v>
          </cell>
          <cell r="N1364">
            <v>0</v>
          </cell>
          <cell r="Q1364" t="str">
            <v>2016_08</v>
          </cell>
        </row>
        <row r="1365">
          <cell r="J1365">
            <v>11</v>
          </cell>
          <cell r="K1365">
            <v>11</v>
          </cell>
          <cell r="N1365">
            <v>0</v>
          </cell>
          <cell r="Q1365" t="str">
            <v>2016_09</v>
          </cell>
        </row>
        <row r="1366">
          <cell r="J1366">
            <v>11</v>
          </cell>
          <cell r="K1366">
            <v>11</v>
          </cell>
          <cell r="N1366">
            <v>0</v>
          </cell>
          <cell r="Q1366" t="str">
            <v>2015_10</v>
          </cell>
        </row>
        <row r="1367">
          <cell r="J1367">
            <v>11</v>
          </cell>
          <cell r="K1367">
            <v>11</v>
          </cell>
          <cell r="N1367">
            <v>0</v>
          </cell>
          <cell r="Q1367" t="str">
            <v>2015_11</v>
          </cell>
        </row>
        <row r="1368">
          <cell r="J1368">
            <v>11</v>
          </cell>
          <cell r="K1368">
            <v>11</v>
          </cell>
          <cell r="N1368">
            <v>0</v>
          </cell>
          <cell r="Q1368" t="str">
            <v>2015_12</v>
          </cell>
        </row>
        <row r="1369">
          <cell r="J1369">
            <v>11</v>
          </cell>
          <cell r="K1369">
            <v>11</v>
          </cell>
          <cell r="N1369">
            <v>-3.38</v>
          </cell>
          <cell r="Q1369" t="str">
            <v>2015_12</v>
          </cell>
        </row>
        <row r="1370">
          <cell r="J1370">
            <v>11</v>
          </cell>
          <cell r="K1370">
            <v>11</v>
          </cell>
          <cell r="N1370">
            <v>3.38</v>
          </cell>
          <cell r="Q1370" t="str">
            <v>2016_01</v>
          </cell>
        </row>
        <row r="1371">
          <cell r="J1371">
            <v>11</v>
          </cell>
          <cell r="K1371">
            <v>11</v>
          </cell>
          <cell r="N1371">
            <v>0</v>
          </cell>
          <cell r="Q1371" t="str">
            <v>2016_02</v>
          </cell>
        </row>
        <row r="1372">
          <cell r="J1372">
            <v>11</v>
          </cell>
          <cell r="K1372">
            <v>11</v>
          </cell>
          <cell r="N1372">
            <v>0</v>
          </cell>
          <cell r="Q1372" t="str">
            <v>2016_03</v>
          </cell>
        </row>
        <row r="1373">
          <cell r="J1373">
            <v>11</v>
          </cell>
          <cell r="K1373">
            <v>11</v>
          </cell>
          <cell r="N1373">
            <v>0</v>
          </cell>
          <cell r="Q1373" t="str">
            <v>2016_04</v>
          </cell>
        </row>
        <row r="1374">
          <cell r="J1374">
            <v>11</v>
          </cell>
          <cell r="K1374">
            <v>11</v>
          </cell>
          <cell r="N1374">
            <v>0</v>
          </cell>
          <cell r="Q1374" t="str">
            <v>2016_05</v>
          </cell>
        </row>
        <row r="1375">
          <cell r="J1375">
            <v>11</v>
          </cell>
          <cell r="K1375">
            <v>11</v>
          </cell>
          <cell r="N1375">
            <v>0</v>
          </cell>
          <cell r="Q1375" t="str">
            <v>2016_06</v>
          </cell>
        </row>
        <row r="1376">
          <cell r="J1376">
            <v>11</v>
          </cell>
          <cell r="K1376">
            <v>11</v>
          </cell>
          <cell r="N1376">
            <v>0</v>
          </cell>
          <cell r="Q1376" t="str">
            <v>2016_07</v>
          </cell>
        </row>
        <row r="1377">
          <cell r="J1377">
            <v>11</v>
          </cell>
          <cell r="K1377">
            <v>11</v>
          </cell>
          <cell r="N1377">
            <v>0</v>
          </cell>
          <cell r="Q1377" t="str">
            <v>2016_08</v>
          </cell>
        </row>
        <row r="1378">
          <cell r="J1378">
            <v>11</v>
          </cell>
          <cell r="K1378">
            <v>11</v>
          </cell>
          <cell r="N1378">
            <v>0</v>
          </cell>
          <cell r="Q1378" t="str">
            <v>2016_09</v>
          </cell>
        </row>
        <row r="1379">
          <cell r="J1379">
            <v>11</v>
          </cell>
          <cell r="K1379">
            <v>11</v>
          </cell>
          <cell r="N1379">
            <v>-927.72</v>
          </cell>
          <cell r="Q1379" t="str">
            <v>2015_10</v>
          </cell>
        </row>
        <row r="1380">
          <cell r="J1380">
            <v>11</v>
          </cell>
          <cell r="K1380">
            <v>11</v>
          </cell>
          <cell r="N1380">
            <v>-1260.5999999999999</v>
          </cell>
          <cell r="Q1380" t="str">
            <v>2015_11</v>
          </cell>
        </row>
        <row r="1381">
          <cell r="J1381">
            <v>11</v>
          </cell>
          <cell r="K1381">
            <v>11</v>
          </cell>
          <cell r="N1381">
            <v>-497.12</v>
          </cell>
          <cell r="Q1381" t="str">
            <v>2015_12</v>
          </cell>
        </row>
        <row r="1382">
          <cell r="J1382">
            <v>11</v>
          </cell>
          <cell r="K1382">
            <v>11</v>
          </cell>
          <cell r="N1382">
            <v>-662.87</v>
          </cell>
          <cell r="Q1382" t="str">
            <v>2016_01</v>
          </cell>
        </row>
        <row r="1383">
          <cell r="J1383">
            <v>11</v>
          </cell>
          <cell r="K1383">
            <v>11</v>
          </cell>
          <cell r="N1383">
            <v>-504.24</v>
          </cell>
          <cell r="Q1383" t="str">
            <v>2016_02</v>
          </cell>
        </row>
        <row r="1384">
          <cell r="J1384">
            <v>11</v>
          </cell>
          <cell r="K1384">
            <v>11</v>
          </cell>
          <cell r="N1384">
            <v>-1253.48</v>
          </cell>
          <cell r="Q1384" t="str">
            <v>2016_03</v>
          </cell>
        </row>
        <row r="1385">
          <cell r="J1385">
            <v>11</v>
          </cell>
          <cell r="K1385">
            <v>11</v>
          </cell>
          <cell r="N1385">
            <v>-252.12</v>
          </cell>
          <cell r="Q1385" t="str">
            <v>2016_04</v>
          </cell>
        </row>
        <row r="1386">
          <cell r="J1386">
            <v>11</v>
          </cell>
          <cell r="K1386">
            <v>11</v>
          </cell>
          <cell r="N1386">
            <v>-1702.28</v>
          </cell>
          <cell r="Q1386" t="str">
            <v>2016_05</v>
          </cell>
        </row>
        <row r="1387">
          <cell r="J1387">
            <v>11</v>
          </cell>
          <cell r="K1387">
            <v>11</v>
          </cell>
          <cell r="N1387">
            <v>-749.24</v>
          </cell>
          <cell r="Q1387" t="str">
            <v>2016_06</v>
          </cell>
        </row>
        <row r="1388">
          <cell r="J1388">
            <v>11</v>
          </cell>
          <cell r="K1388">
            <v>11</v>
          </cell>
          <cell r="N1388">
            <v>-749.24</v>
          </cell>
          <cell r="Q1388" t="str">
            <v>2016_07</v>
          </cell>
        </row>
        <row r="1389">
          <cell r="J1389">
            <v>11</v>
          </cell>
          <cell r="K1389">
            <v>11</v>
          </cell>
          <cell r="N1389">
            <v>-1196.72</v>
          </cell>
          <cell r="Q1389" t="str">
            <v>2016_08</v>
          </cell>
        </row>
        <row r="1390">
          <cell r="J1390">
            <v>11</v>
          </cell>
          <cell r="K1390">
            <v>11</v>
          </cell>
          <cell r="N1390">
            <v>-1172.72</v>
          </cell>
          <cell r="Q1390" t="str">
            <v>2016_09</v>
          </cell>
        </row>
        <row r="1391">
          <cell r="J1391">
            <v>11</v>
          </cell>
          <cell r="K1391">
            <v>11</v>
          </cell>
          <cell r="N1391">
            <v>-125.33</v>
          </cell>
          <cell r="Q1391" t="str">
            <v>2015_10</v>
          </cell>
        </row>
        <row r="1392">
          <cell r="J1392">
            <v>11</v>
          </cell>
          <cell r="K1392">
            <v>11</v>
          </cell>
          <cell r="N1392">
            <v>-311.62</v>
          </cell>
          <cell r="Q1392" t="str">
            <v>2015_11</v>
          </cell>
        </row>
        <row r="1393">
          <cell r="J1393">
            <v>11</v>
          </cell>
          <cell r="K1393">
            <v>11</v>
          </cell>
          <cell r="N1393">
            <v>26.86</v>
          </cell>
          <cell r="Q1393" t="str">
            <v>2015_12</v>
          </cell>
        </row>
        <row r="1394">
          <cell r="J1394">
            <v>11</v>
          </cell>
          <cell r="K1394">
            <v>11</v>
          </cell>
          <cell r="N1394">
            <v>-112.12</v>
          </cell>
          <cell r="Q1394" t="str">
            <v>2016_01</v>
          </cell>
        </row>
        <row r="1395">
          <cell r="J1395">
            <v>11</v>
          </cell>
          <cell r="K1395">
            <v>11</v>
          </cell>
          <cell r="N1395">
            <v>-69.06</v>
          </cell>
          <cell r="Q1395" t="str">
            <v>2016_02</v>
          </cell>
        </row>
        <row r="1396">
          <cell r="J1396">
            <v>11</v>
          </cell>
          <cell r="K1396">
            <v>11</v>
          </cell>
          <cell r="N1396">
            <v>-163.28</v>
          </cell>
          <cell r="Q1396" t="str">
            <v>2016_03</v>
          </cell>
        </row>
        <row r="1397">
          <cell r="J1397">
            <v>11</v>
          </cell>
          <cell r="K1397">
            <v>11</v>
          </cell>
          <cell r="N1397">
            <v>-62.67</v>
          </cell>
          <cell r="Q1397" t="str">
            <v>2016_04</v>
          </cell>
        </row>
        <row r="1398">
          <cell r="J1398">
            <v>11</v>
          </cell>
          <cell r="K1398">
            <v>11</v>
          </cell>
          <cell r="N1398">
            <v>-262.17</v>
          </cell>
          <cell r="Q1398" t="str">
            <v>2016_05</v>
          </cell>
        </row>
        <row r="1399">
          <cell r="J1399">
            <v>11</v>
          </cell>
          <cell r="K1399">
            <v>11</v>
          </cell>
          <cell r="N1399">
            <v>-195.24</v>
          </cell>
          <cell r="Q1399" t="str">
            <v>2016_06</v>
          </cell>
        </row>
        <row r="1400">
          <cell r="J1400">
            <v>11</v>
          </cell>
          <cell r="K1400">
            <v>11</v>
          </cell>
          <cell r="N1400">
            <v>-96.35</v>
          </cell>
          <cell r="Q1400" t="str">
            <v>2016_07</v>
          </cell>
        </row>
        <row r="1401">
          <cell r="J1401">
            <v>11</v>
          </cell>
          <cell r="K1401">
            <v>11</v>
          </cell>
          <cell r="N1401">
            <v>-184.16</v>
          </cell>
          <cell r="Q1401" t="str">
            <v>2016_08</v>
          </cell>
        </row>
        <row r="1402">
          <cell r="J1402">
            <v>11</v>
          </cell>
          <cell r="K1402">
            <v>11</v>
          </cell>
          <cell r="N1402">
            <v>-188.92</v>
          </cell>
          <cell r="Q1402" t="str">
            <v>2016_09</v>
          </cell>
        </row>
        <row r="1403">
          <cell r="J1403">
            <v>10</v>
          </cell>
          <cell r="K1403">
            <v>10</v>
          </cell>
          <cell r="N1403">
            <v>0</v>
          </cell>
          <cell r="Q1403" t="str">
            <v>2015_10</v>
          </cell>
        </row>
        <row r="1404">
          <cell r="J1404">
            <v>10</v>
          </cell>
          <cell r="K1404">
            <v>10</v>
          </cell>
          <cell r="N1404">
            <v>0</v>
          </cell>
          <cell r="Q1404" t="str">
            <v>2015_11</v>
          </cell>
        </row>
        <row r="1405">
          <cell r="J1405">
            <v>10</v>
          </cell>
          <cell r="K1405">
            <v>10</v>
          </cell>
          <cell r="N1405">
            <v>0</v>
          </cell>
          <cell r="Q1405" t="str">
            <v>2015_12</v>
          </cell>
        </row>
        <row r="1406">
          <cell r="J1406">
            <v>10</v>
          </cell>
          <cell r="K1406">
            <v>10</v>
          </cell>
          <cell r="N1406">
            <v>0</v>
          </cell>
          <cell r="Q1406" t="str">
            <v>2015_10</v>
          </cell>
        </row>
        <row r="1407">
          <cell r="J1407">
            <v>10</v>
          </cell>
          <cell r="K1407">
            <v>10</v>
          </cell>
          <cell r="N1407">
            <v>0</v>
          </cell>
          <cell r="Q1407" t="str">
            <v>2015_11</v>
          </cell>
        </row>
        <row r="1408">
          <cell r="J1408">
            <v>10</v>
          </cell>
          <cell r="K1408">
            <v>10</v>
          </cell>
          <cell r="N1408">
            <v>0</v>
          </cell>
          <cell r="Q1408" t="str">
            <v>2015_12</v>
          </cell>
        </row>
        <row r="1409">
          <cell r="J1409">
            <v>10</v>
          </cell>
          <cell r="K1409">
            <v>10</v>
          </cell>
          <cell r="N1409">
            <v>0</v>
          </cell>
          <cell r="Q1409" t="str">
            <v>2015_10</v>
          </cell>
        </row>
        <row r="1410">
          <cell r="J1410">
            <v>10</v>
          </cell>
          <cell r="K1410">
            <v>10</v>
          </cell>
          <cell r="N1410">
            <v>0</v>
          </cell>
          <cell r="Q1410" t="str">
            <v>2015_11</v>
          </cell>
        </row>
        <row r="1411">
          <cell r="J1411">
            <v>10</v>
          </cell>
          <cell r="K1411">
            <v>10</v>
          </cell>
          <cell r="N1411">
            <v>0</v>
          </cell>
          <cell r="Q1411" t="str">
            <v>2015_12</v>
          </cell>
        </row>
        <row r="1412">
          <cell r="J1412">
            <v>10</v>
          </cell>
          <cell r="K1412">
            <v>10</v>
          </cell>
          <cell r="N1412">
            <v>0</v>
          </cell>
          <cell r="Q1412" t="str">
            <v>2015_10</v>
          </cell>
        </row>
        <row r="1413">
          <cell r="J1413">
            <v>10</v>
          </cell>
          <cell r="K1413">
            <v>10</v>
          </cell>
          <cell r="N1413">
            <v>0</v>
          </cell>
          <cell r="Q1413" t="str">
            <v>2015_11</v>
          </cell>
        </row>
        <row r="1414">
          <cell r="J1414">
            <v>10</v>
          </cell>
          <cell r="K1414">
            <v>10</v>
          </cell>
          <cell r="N1414">
            <v>0</v>
          </cell>
          <cell r="Q1414" t="str">
            <v>2015_12</v>
          </cell>
        </row>
        <row r="1415">
          <cell r="J1415">
            <v>10</v>
          </cell>
          <cell r="K1415">
            <v>10</v>
          </cell>
          <cell r="N1415">
            <v>-14367.65</v>
          </cell>
          <cell r="Q1415" t="str">
            <v>2015_10</v>
          </cell>
        </row>
        <row r="1416">
          <cell r="J1416">
            <v>10</v>
          </cell>
          <cell r="K1416">
            <v>10</v>
          </cell>
          <cell r="N1416">
            <v>-13505.88</v>
          </cell>
          <cell r="Q1416" t="str">
            <v>2015_11</v>
          </cell>
        </row>
        <row r="1417">
          <cell r="J1417">
            <v>10</v>
          </cell>
          <cell r="K1417">
            <v>10</v>
          </cell>
          <cell r="N1417">
            <v>-13681.12</v>
          </cell>
          <cell r="Q1417" t="str">
            <v>2015_12</v>
          </cell>
        </row>
        <row r="1418">
          <cell r="J1418">
            <v>10</v>
          </cell>
          <cell r="K1418">
            <v>10</v>
          </cell>
          <cell r="N1418">
            <v>-13563.85</v>
          </cell>
          <cell r="Q1418" t="str">
            <v>2016_01</v>
          </cell>
        </row>
        <row r="1419">
          <cell r="J1419">
            <v>10</v>
          </cell>
          <cell r="K1419">
            <v>10</v>
          </cell>
          <cell r="N1419">
            <v>-13999.3</v>
          </cell>
          <cell r="Q1419" t="str">
            <v>2016_02</v>
          </cell>
        </row>
        <row r="1420">
          <cell r="J1420">
            <v>10</v>
          </cell>
          <cell r="K1420">
            <v>10</v>
          </cell>
          <cell r="N1420">
            <v>-13397.73</v>
          </cell>
          <cell r="Q1420" t="str">
            <v>2016_03</v>
          </cell>
        </row>
        <row r="1421">
          <cell r="J1421">
            <v>10</v>
          </cell>
          <cell r="K1421">
            <v>10</v>
          </cell>
          <cell r="N1421">
            <v>-14060.88</v>
          </cell>
          <cell r="Q1421" t="str">
            <v>2016_04</v>
          </cell>
        </row>
        <row r="1422">
          <cell r="J1422">
            <v>10</v>
          </cell>
          <cell r="K1422">
            <v>10</v>
          </cell>
          <cell r="N1422">
            <v>-13571.15</v>
          </cell>
          <cell r="Q1422" t="str">
            <v>2016_05</v>
          </cell>
        </row>
        <row r="1423">
          <cell r="J1423">
            <v>10</v>
          </cell>
          <cell r="K1423">
            <v>10</v>
          </cell>
          <cell r="N1423">
            <v>-13958.46</v>
          </cell>
          <cell r="Q1423" t="str">
            <v>2016_06</v>
          </cell>
        </row>
        <row r="1424">
          <cell r="J1424">
            <v>10</v>
          </cell>
          <cell r="K1424">
            <v>10</v>
          </cell>
          <cell r="N1424">
            <v>-13818.74</v>
          </cell>
          <cell r="Q1424" t="str">
            <v>2016_07</v>
          </cell>
        </row>
        <row r="1425">
          <cell r="J1425">
            <v>10</v>
          </cell>
          <cell r="K1425">
            <v>10</v>
          </cell>
          <cell r="N1425">
            <v>-14029.03</v>
          </cell>
          <cell r="Q1425" t="str">
            <v>2016_08</v>
          </cell>
        </row>
        <row r="1426">
          <cell r="J1426">
            <v>10</v>
          </cell>
          <cell r="K1426">
            <v>10</v>
          </cell>
          <cell r="N1426">
            <v>-13573.74</v>
          </cell>
          <cell r="Q1426" t="str">
            <v>2016_09</v>
          </cell>
        </row>
        <row r="1427">
          <cell r="J1427">
            <v>10</v>
          </cell>
          <cell r="K1427">
            <v>10</v>
          </cell>
          <cell r="N1427">
            <v>-7685.78</v>
          </cell>
          <cell r="Q1427" t="str">
            <v>2015_10</v>
          </cell>
        </row>
        <row r="1428">
          <cell r="J1428">
            <v>10</v>
          </cell>
          <cell r="K1428">
            <v>10</v>
          </cell>
          <cell r="N1428">
            <v>-7581.13</v>
          </cell>
          <cell r="Q1428" t="str">
            <v>2015_11</v>
          </cell>
        </row>
        <row r="1429">
          <cell r="J1429">
            <v>10</v>
          </cell>
          <cell r="K1429">
            <v>10</v>
          </cell>
          <cell r="N1429">
            <v>-7560.32</v>
          </cell>
          <cell r="Q1429" t="str">
            <v>2015_12</v>
          </cell>
        </row>
        <row r="1430">
          <cell r="J1430">
            <v>10</v>
          </cell>
          <cell r="K1430">
            <v>10</v>
          </cell>
          <cell r="N1430">
            <v>-7503.5</v>
          </cell>
          <cell r="Q1430" t="str">
            <v>2016_01</v>
          </cell>
        </row>
        <row r="1431">
          <cell r="J1431">
            <v>10</v>
          </cell>
          <cell r="K1431">
            <v>10</v>
          </cell>
          <cell r="N1431">
            <v>-7195.58</v>
          </cell>
          <cell r="Q1431" t="str">
            <v>2016_02</v>
          </cell>
        </row>
        <row r="1432">
          <cell r="J1432">
            <v>10</v>
          </cell>
          <cell r="K1432">
            <v>10</v>
          </cell>
          <cell r="N1432">
            <v>-7734.5</v>
          </cell>
          <cell r="Q1432" t="str">
            <v>2016_03</v>
          </cell>
        </row>
        <row r="1433">
          <cell r="J1433">
            <v>10</v>
          </cell>
          <cell r="K1433">
            <v>10</v>
          </cell>
          <cell r="N1433">
            <v>-7204.85</v>
          </cell>
          <cell r="Q1433" t="str">
            <v>2016_04</v>
          </cell>
        </row>
        <row r="1434">
          <cell r="J1434">
            <v>10</v>
          </cell>
          <cell r="K1434">
            <v>10</v>
          </cell>
          <cell r="N1434">
            <v>-7596.13</v>
          </cell>
          <cell r="Q1434" t="str">
            <v>2016_05</v>
          </cell>
        </row>
        <row r="1435">
          <cell r="J1435">
            <v>10</v>
          </cell>
          <cell r="K1435">
            <v>10</v>
          </cell>
          <cell r="N1435">
            <v>-7651.89</v>
          </cell>
          <cell r="Q1435" t="str">
            <v>2016_06</v>
          </cell>
        </row>
        <row r="1436">
          <cell r="J1436">
            <v>10</v>
          </cell>
          <cell r="K1436">
            <v>10</v>
          </cell>
          <cell r="N1436">
            <v>-8004.77</v>
          </cell>
          <cell r="Q1436" t="str">
            <v>2016_07</v>
          </cell>
        </row>
        <row r="1437">
          <cell r="J1437">
            <v>10</v>
          </cell>
          <cell r="K1437">
            <v>10</v>
          </cell>
          <cell r="N1437">
            <v>-7700.89</v>
          </cell>
          <cell r="Q1437" t="str">
            <v>2016_08</v>
          </cell>
        </row>
        <row r="1438">
          <cell r="J1438">
            <v>10</v>
          </cell>
          <cell r="K1438">
            <v>10</v>
          </cell>
          <cell r="N1438">
            <v>-7746.4</v>
          </cell>
          <cell r="Q1438" t="str">
            <v>2016_09</v>
          </cell>
        </row>
        <row r="1439">
          <cell r="J1439">
            <v>10</v>
          </cell>
          <cell r="K1439">
            <v>10</v>
          </cell>
          <cell r="N1439">
            <v>-1890.15</v>
          </cell>
          <cell r="Q1439" t="str">
            <v>2015_10</v>
          </cell>
        </row>
        <row r="1440">
          <cell r="J1440">
            <v>10</v>
          </cell>
          <cell r="K1440">
            <v>10</v>
          </cell>
          <cell r="N1440">
            <v>-1853.12</v>
          </cell>
          <cell r="Q1440" t="str">
            <v>2015_11</v>
          </cell>
        </row>
        <row r="1441">
          <cell r="J1441">
            <v>10</v>
          </cell>
          <cell r="K1441">
            <v>10</v>
          </cell>
          <cell r="N1441">
            <v>-1818.07</v>
          </cell>
          <cell r="Q1441" t="str">
            <v>2015_12</v>
          </cell>
        </row>
        <row r="1442">
          <cell r="J1442">
            <v>10</v>
          </cell>
          <cell r="K1442">
            <v>10</v>
          </cell>
          <cell r="N1442">
            <v>-1646.09</v>
          </cell>
          <cell r="Q1442" t="str">
            <v>2016_01</v>
          </cell>
        </row>
        <row r="1443">
          <cell r="J1443">
            <v>10</v>
          </cell>
          <cell r="K1443">
            <v>10</v>
          </cell>
          <cell r="N1443">
            <v>-1456.79</v>
          </cell>
          <cell r="Q1443" t="str">
            <v>2016_02</v>
          </cell>
        </row>
        <row r="1444">
          <cell r="J1444">
            <v>10</v>
          </cell>
          <cell r="K1444">
            <v>10</v>
          </cell>
          <cell r="N1444">
            <v>-2450.46</v>
          </cell>
          <cell r="Q1444" t="str">
            <v>2016_03</v>
          </cell>
        </row>
        <row r="1445">
          <cell r="J1445">
            <v>10</v>
          </cell>
          <cell r="K1445">
            <v>10</v>
          </cell>
          <cell r="N1445">
            <v>-2061.37</v>
          </cell>
          <cell r="Q1445" t="str">
            <v>2016_04</v>
          </cell>
        </row>
        <row r="1446">
          <cell r="J1446">
            <v>10</v>
          </cell>
          <cell r="K1446">
            <v>10</v>
          </cell>
          <cell r="N1446">
            <v>-2384.86</v>
          </cell>
          <cell r="Q1446" t="str">
            <v>2016_05</v>
          </cell>
        </row>
        <row r="1447">
          <cell r="J1447">
            <v>10</v>
          </cell>
          <cell r="K1447">
            <v>10</v>
          </cell>
          <cell r="N1447">
            <v>-1706.08</v>
          </cell>
          <cell r="Q1447" t="str">
            <v>2016_06</v>
          </cell>
        </row>
        <row r="1448">
          <cell r="J1448">
            <v>10</v>
          </cell>
          <cell r="K1448">
            <v>10</v>
          </cell>
          <cell r="N1448">
            <v>-3001.34</v>
          </cell>
          <cell r="Q1448" t="str">
            <v>2016_07</v>
          </cell>
        </row>
        <row r="1449">
          <cell r="J1449">
            <v>10</v>
          </cell>
          <cell r="K1449">
            <v>10</v>
          </cell>
          <cell r="N1449">
            <v>-4124.83</v>
          </cell>
          <cell r="Q1449" t="str">
            <v>2016_08</v>
          </cell>
        </row>
        <row r="1450">
          <cell r="J1450">
            <v>10</v>
          </cell>
          <cell r="K1450">
            <v>10</v>
          </cell>
          <cell r="N1450">
            <v>-2648.62</v>
          </cell>
          <cell r="Q1450" t="str">
            <v>2016_09</v>
          </cell>
        </row>
        <row r="1451">
          <cell r="J1451">
            <v>10</v>
          </cell>
          <cell r="K1451">
            <v>10</v>
          </cell>
          <cell r="N1451">
            <v>-450.11</v>
          </cell>
          <cell r="Q1451" t="str">
            <v>2015_10</v>
          </cell>
        </row>
        <row r="1452">
          <cell r="J1452">
            <v>10</v>
          </cell>
          <cell r="K1452">
            <v>10</v>
          </cell>
          <cell r="N1452">
            <v>-374.87</v>
          </cell>
          <cell r="Q1452" t="str">
            <v>2015_11</v>
          </cell>
        </row>
        <row r="1453">
          <cell r="J1453">
            <v>10</v>
          </cell>
          <cell r="K1453">
            <v>10</v>
          </cell>
          <cell r="N1453">
            <v>-307.81</v>
          </cell>
          <cell r="Q1453" t="str">
            <v>2015_12</v>
          </cell>
        </row>
        <row r="1454">
          <cell r="J1454">
            <v>10</v>
          </cell>
          <cell r="K1454">
            <v>10</v>
          </cell>
          <cell r="N1454">
            <v>-272.12</v>
          </cell>
          <cell r="Q1454" t="str">
            <v>2016_01</v>
          </cell>
        </row>
        <row r="1455">
          <cell r="J1455">
            <v>10</v>
          </cell>
          <cell r="K1455">
            <v>10</v>
          </cell>
          <cell r="N1455">
            <v>-361.1</v>
          </cell>
          <cell r="Q1455" t="str">
            <v>2016_02</v>
          </cell>
        </row>
        <row r="1456">
          <cell r="J1456">
            <v>10</v>
          </cell>
          <cell r="K1456">
            <v>10</v>
          </cell>
          <cell r="N1456">
            <v>-494.39</v>
          </cell>
          <cell r="Q1456" t="str">
            <v>2016_03</v>
          </cell>
        </row>
        <row r="1457">
          <cell r="J1457">
            <v>10</v>
          </cell>
          <cell r="K1457">
            <v>10</v>
          </cell>
          <cell r="N1457">
            <v>-271.7</v>
          </cell>
          <cell r="Q1457" t="str">
            <v>2016_04</v>
          </cell>
        </row>
        <row r="1458">
          <cell r="J1458">
            <v>10</v>
          </cell>
          <cell r="K1458">
            <v>10</v>
          </cell>
          <cell r="N1458">
            <v>-429.9</v>
          </cell>
          <cell r="Q1458" t="str">
            <v>2016_05</v>
          </cell>
        </row>
        <row r="1459">
          <cell r="J1459">
            <v>10</v>
          </cell>
          <cell r="K1459">
            <v>10</v>
          </cell>
          <cell r="N1459">
            <v>-283.74</v>
          </cell>
          <cell r="Q1459" t="str">
            <v>2016_06</v>
          </cell>
        </row>
        <row r="1460">
          <cell r="J1460">
            <v>10</v>
          </cell>
          <cell r="K1460">
            <v>10</v>
          </cell>
          <cell r="N1460">
            <v>-1106.1400000000001</v>
          </cell>
          <cell r="Q1460" t="str">
            <v>2016_07</v>
          </cell>
        </row>
        <row r="1461">
          <cell r="J1461">
            <v>10</v>
          </cell>
          <cell r="K1461">
            <v>10</v>
          </cell>
          <cell r="N1461">
            <v>-1243.28</v>
          </cell>
          <cell r="Q1461" t="str">
            <v>2016_08</v>
          </cell>
        </row>
        <row r="1462">
          <cell r="J1462">
            <v>10</v>
          </cell>
          <cell r="K1462">
            <v>10</v>
          </cell>
          <cell r="N1462">
            <v>-760.07</v>
          </cell>
          <cell r="Q1462" t="str">
            <v>2016_09</v>
          </cell>
        </row>
        <row r="1463">
          <cell r="J1463">
            <v>10</v>
          </cell>
          <cell r="K1463">
            <v>10</v>
          </cell>
          <cell r="N1463">
            <v>-73.63</v>
          </cell>
          <cell r="Q1463" t="str">
            <v>2015_10</v>
          </cell>
        </row>
        <row r="1464">
          <cell r="J1464">
            <v>10</v>
          </cell>
          <cell r="K1464">
            <v>10</v>
          </cell>
          <cell r="N1464">
            <v>-98.98</v>
          </cell>
          <cell r="Q1464" t="str">
            <v>2015_11</v>
          </cell>
        </row>
        <row r="1465">
          <cell r="J1465">
            <v>10</v>
          </cell>
          <cell r="K1465">
            <v>10</v>
          </cell>
          <cell r="N1465">
            <v>-60.42</v>
          </cell>
          <cell r="Q1465" t="str">
            <v>2015_12</v>
          </cell>
        </row>
        <row r="1466">
          <cell r="J1466">
            <v>10</v>
          </cell>
          <cell r="K1466">
            <v>10</v>
          </cell>
          <cell r="N1466">
            <v>-129.41999999999999</v>
          </cell>
          <cell r="Q1466" t="str">
            <v>2016_01</v>
          </cell>
        </row>
        <row r="1467">
          <cell r="J1467">
            <v>10</v>
          </cell>
          <cell r="K1467">
            <v>10</v>
          </cell>
          <cell r="N1467">
            <v>-48.93</v>
          </cell>
          <cell r="Q1467" t="str">
            <v>2016_02</v>
          </cell>
        </row>
        <row r="1468">
          <cell r="J1468">
            <v>10</v>
          </cell>
          <cell r="K1468">
            <v>10</v>
          </cell>
          <cell r="N1468">
            <v>-83.12</v>
          </cell>
          <cell r="Q1468" t="str">
            <v>2016_03</v>
          </cell>
        </row>
        <row r="1469">
          <cell r="J1469">
            <v>10</v>
          </cell>
          <cell r="K1469">
            <v>10</v>
          </cell>
          <cell r="N1469">
            <v>-51.6</v>
          </cell>
          <cell r="Q1469" t="str">
            <v>2016_04</v>
          </cell>
        </row>
        <row r="1470">
          <cell r="J1470">
            <v>10</v>
          </cell>
          <cell r="K1470">
            <v>10</v>
          </cell>
          <cell r="N1470">
            <v>-108.25</v>
          </cell>
          <cell r="Q1470" t="str">
            <v>2016_05</v>
          </cell>
        </row>
        <row r="1471">
          <cell r="J1471">
            <v>10</v>
          </cell>
          <cell r="K1471">
            <v>10</v>
          </cell>
          <cell r="N1471">
            <v>-80.099999999999994</v>
          </cell>
          <cell r="Q1471" t="str">
            <v>2016_06</v>
          </cell>
        </row>
        <row r="1472">
          <cell r="J1472">
            <v>10</v>
          </cell>
          <cell r="K1472">
            <v>10</v>
          </cell>
          <cell r="N1472">
            <v>-85.21</v>
          </cell>
          <cell r="Q1472" t="str">
            <v>2016_07</v>
          </cell>
        </row>
        <row r="1473">
          <cell r="J1473">
            <v>10</v>
          </cell>
          <cell r="K1473">
            <v>10</v>
          </cell>
          <cell r="N1473">
            <v>-71.260000000000005</v>
          </cell>
          <cell r="Q1473" t="str">
            <v>2016_08</v>
          </cell>
        </row>
        <row r="1474">
          <cell r="J1474">
            <v>10</v>
          </cell>
          <cell r="K1474">
            <v>10</v>
          </cell>
          <cell r="N1474">
            <v>-105.74</v>
          </cell>
          <cell r="Q1474" t="str">
            <v>2016_09</v>
          </cell>
        </row>
        <row r="1475">
          <cell r="J1475">
            <v>9</v>
          </cell>
          <cell r="K1475">
            <v>9</v>
          </cell>
          <cell r="N1475">
            <v>0</v>
          </cell>
          <cell r="Q1475" t="str">
            <v>2015_10</v>
          </cell>
        </row>
        <row r="1476">
          <cell r="J1476">
            <v>9</v>
          </cell>
          <cell r="K1476">
            <v>9</v>
          </cell>
          <cell r="N1476">
            <v>0</v>
          </cell>
          <cell r="Q1476" t="str">
            <v>2015_11</v>
          </cell>
        </row>
        <row r="1477">
          <cell r="J1477">
            <v>9</v>
          </cell>
          <cell r="K1477">
            <v>9</v>
          </cell>
          <cell r="N1477">
            <v>0</v>
          </cell>
          <cell r="Q1477" t="str">
            <v>2015_12</v>
          </cell>
        </row>
        <row r="1478">
          <cell r="J1478">
            <v>9</v>
          </cell>
          <cell r="K1478">
            <v>9</v>
          </cell>
          <cell r="N1478">
            <v>-11598.61</v>
          </cell>
          <cell r="Q1478" t="str">
            <v>2015_10</v>
          </cell>
        </row>
        <row r="1479">
          <cell r="J1479">
            <v>9</v>
          </cell>
          <cell r="K1479">
            <v>9</v>
          </cell>
          <cell r="N1479">
            <v>-11645.56</v>
          </cell>
          <cell r="Q1479" t="str">
            <v>2015_11</v>
          </cell>
        </row>
        <row r="1480">
          <cell r="J1480">
            <v>9</v>
          </cell>
          <cell r="K1480">
            <v>9</v>
          </cell>
          <cell r="N1480">
            <v>-11648.81</v>
          </cell>
          <cell r="Q1480" t="str">
            <v>2015_12</v>
          </cell>
        </row>
        <row r="1481">
          <cell r="J1481">
            <v>9</v>
          </cell>
          <cell r="K1481">
            <v>9</v>
          </cell>
          <cell r="N1481">
            <v>-4477.2299999999996</v>
          </cell>
          <cell r="Q1481" t="str">
            <v>2016_01</v>
          </cell>
        </row>
        <row r="1482">
          <cell r="J1482">
            <v>9</v>
          </cell>
          <cell r="K1482">
            <v>9</v>
          </cell>
          <cell r="N1482">
            <v>0</v>
          </cell>
          <cell r="Q1482" t="str">
            <v>2016_02</v>
          </cell>
        </row>
        <row r="1483">
          <cell r="J1483">
            <v>9</v>
          </cell>
          <cell r="K1483">
            <v>9</v>
          </cell>
          <cell r="N1483">
            <v>0</v>
          </cell>
          <cell r="Q1483" t="str">
            <v>2016_03</v>
          </cell>
        </row>
        <row r="1484">
          <cell r="J1484">
            <v>9</v>
          </cell>
          <cell r="K1484">
            <v>9</v>
          </cell>
          <cell r="N1484">
            <v>0</v>
          </cell>
          <cell r="Q1484" t="str">
            <v>2016_04</v>
          </cell>
        </row>
        <row r="1485">
          <cell r="J1485">
            <v>9</v>
          </cell>
          <cell r="K1485">
            <v>9</v>
          </cell>
          <cell r="N1485">
            <v>0</v>
          </cell>
          <cell r="Q1485" t="str">
            <v>2016_05</v>
          </cell>
        </row>
        <row r="1486">
          <cell r="J1486">
            <v>9</v>
          </cell>
          <cell r="K1486">
            <v>9</v>
          </cell>
          <cell r="N1486">
            <v>0</v>
          </cell>
          <cell r="Q1486" t="str">
            <v>2016_06</v>
          </cell>
        </row>
        <row r="1487">
          <cell r="J1487">
            <v>9</v>
          </cell>
          <cell r="K1487">
            <v>9</v>
          </cell>
          <cell r="N1487">
            <v>0</v>
          </cell>
          <cell r="Q1487" t="str">
            <v>2016_07</v>
          </cell>
        </row>
        <row r="1488">
          <cell r="J1488">
            <v>9</v>
          </cell>
          <cell r="K1488">
            <v>9</v>
          </cell>
          <cell r="N1488">
            <v>0</v>
          </cell>
          <cell r="Q1488" t="str">
            <v>2016_08</v>
          </cell>
        </row>
        <row r="1489">
          <cell r="J1489">
            <v>9</v>
          </cell>
          <cell r="K1489">
            <v>9</v>
          </cell>
          <cell r="N1489">
            <v>0</v>
          </cell>
          <cell r="Q1489" t="str">
            <v>2016_09</v>
          </cell>
        </row>
        <row r="1490">
          <cell r="J1490">
            <v>9</v>
          </cell>
          <cell r="K1490">
            <v>9</v>
          </cell>
          <cell r="N1490">
            <v>0</v>
          </cell>
          <cell r="Q1490" t="str">
            <v>2015_10</v>
          </cell>
        </row>
        <row r="1491">
          <cell r="J1491">
            <v>9</v>
          </cell>
          <cell r="K1491">
            <v>9</v>
          </cell>
          <cell r="N1491">
            <v>0</v>
          </cell>
          <cell r="Q1491" t="str">
            <v>2015_11</v>
          </cell>
        </row>
        <row r="1492">
          <cell r="J1492">
            <v>9</v>
          </cell>
          <cell r="K1492">
            <v>9</v>
          </cell>
          <cell r="N1492">
            <v>0</v>
          </cell>
          <cell r="Q1492" t="str">
            <v>2015_12</v>
          </cell>
        </row>
        <row r="1493">
          <cell r="J1493">
            <v>9</v>
          </cell>
          <cell r="K1493">
            <v>9</v>
          </cell>
          <cell r="N1493">
            <v>-7148.47</v>
          </cell>
          <cell r="Q1493" t="str">
            <v>2015_10</v>
          </cell>
        </row>
        <row r="1494">
          <cell r="J1494">
            <v>9</v>
          </cell>
          <cell r="K1494">
            <v>9</v>
          </cell>
          <cell r="N1494">
            <v>-7300.81</v>
          </cell>
          <cell r="Q1494" t="str">
            <v>2015_11</v>
          </cell>
        </row>
        <row r="1495">
          <cell r="J1495">
            <v>9</v>
          </cell>
          <cell r="K1495">
            <v>9</v>
          </cell>
          <cell r="N1495">
            <v>-7258.09</v>
          </cell>
          <cell r="Q1495" t="str">
            <v>2015_12</v>
          </cell>
        </row>
        <row r="1496">
          <cell r="J1496">
            <v>9</v>
          </cell>
          <cell r="K1496">
            <v>9</v>
          </cell>
          <cell r="N1496">
            <v>-2552.31</v>
          </cell>
          <cell r="Q1496" t="str">
            <v>2016_01</v>
          </cell>
        </row>
        <row r="1497">
          <cell r="J1497">
            <v>9</v>
          </cell>
          <cell r="K1497">
            <v>9</v>
          </cell>
          <cell r="N1497">
            <v>0</v>
          </cell>
          <cell r="Q1497" t="str">
            <v>2016_02</v>
          </cell>
        </row>
        <row r="1498">
          <cell r="J1498">
            <v>9</v>
          </cell>
          <cell r="K1498">
            <v>9</v>
          </cell>
          <cell r="N1498">
            <v>0</v>
          </cell>
          <cell r="Q1498" t="str">
            <v>2016_03</v>
          </cell>
        </row>
        <row r="1499">
          <cell r="J1499">
            <v>9</v>
          </cell>
          <cell r="K1499">
            <v>9</v>
          </cell>
          <cell r="N1499">
            <v>0</v>
          </cell>
          <cell r="Q1499" t="str">
            <v>2016_04</v>
          </cell>
        </row>
        <row r="1500">
          <cell r="J1500">
            <v>9</v>
          </cell>
          <cell r="K1500">
            <v>9</v>
          </cell>
          <cell r="N1500">
            <v>0</v>
          </cell>
          <cell r="Q1500" t="str">
            <v>2016_05</v>
          </cell>
        </row>
        <row r="1501">
          <cell r="J1501">
            <v>9</v>
          </cell>
          <cell r="K1501">
            <v>9</v>
          </cell>
          <cell r="N1501">
            <v>0</v>
          </cell>
          <cell r="Q1501" t="str">
            <v>2016_06</v>
          </cell>
        </row>
        <row r="1502">
          <cell r="J1502">
            <v>9</v>
          </cell>
          <cell r="K1502">
            <v>9</v>
          </cell>
          <cell r="N1502">
            <v>0</v>
          </cell>
          <cell r="Q1502" t="str">
            <v>2016_07</v>
          </cell>
        </row>
        <row r="1503">
          <cell r="J1503">
            <v>9</v>
          </cell>
          <cell r="K1503">
            <v>9</v>
          </cell>
          <cell r="N1503">
            <v>0</v>
          </cell>
          <cell r="Q1503" t="str">
            <v>2016_08</v>
          </cell>
        </row>
        <row r="1504">
          <cell r="J1504">
            <v>9</v>
          </cell>
          <cell r="K1504">
            <v>9</v>
          </cell>
          <cell r="N1504">
            <v>0</v>
          </cell>
          <cell r="Q1504" t="str">
            <v>2016_09</v>
          </cell>
        </row>
        <row r="1505">
          <cell r="J1505">
            <v>9</v>
          </cell>
          <cell r="K1505">
            <v>9</v>
          </cell>
          <cell r="N1505">
            <v>0</v>
          </cell>
          <cell r="Q1505" t="str">
            <v>2015_10</v>
          </cell>
        </row>
        <row r="1506">
          <cell r="J1506">
            <v>9</v>
          </cell>
          <cell r="K1506">
            <v>9</v>
          </cell>
          <cell r="N1506">
            <v>0</v>
          </cell>
          <cell r="Q1506" t="str">
            <v>2015_11</v>
          </cell>
        </row>
        <row r="1507">
          <cell r="J1507">
            <v>9</v>
          </cell>
          <cell r="K1507">
            <v>9</v>
          </cell>
          <cell r="N1507">
            <v>0</v>
          </cell>
          <cell r="Q1507" t="str">
            <v>2015_12</v>
          </cell>
        </row>
        <row r="1508">
          <cell r="J1508">
            <v>9</v>
          </cell>
          <cell r="K1508">
            <v>9</v>
          </cell>
          <cell r="N1508">
            <v>-13.23</v>
          </cell>
          <cell r="Q1508" t="str">
            <v>2015_10</v>
          </cell>
        </row>
        <row r="1509">
          <cell r="J1509">
            <v>9</v>
          </cell>
          <cell r="K1509">
            <v>9</v>
          </cell>
          <cell r="N1509">
            <v>-55.06</v>
          </cell>
          <cell r="Q1509" t="str">
            <v>2015_11</v>
          </cell>
        </row>
        <row r="1510">
          <cell r="J1510">
            <v>9</v>
          </cell>
          <cell r="K1510">
            <v>9</v>
          </cell>
          <cell r="N1510">
            <v>-91.7</v>
          </cell>
          <cell r="Q1510" t="str">
            <v>2015_12</v>
          </cell>
        </row>
        <row r="1511">
          <cell r="J1511">
            <v>9</v>
          </cell>
          <cell r="K1511">
            <v>9</v>
          </cell>
          <cell r="N1511">
            <v>0</v>
          </cell>
          <cell r="Q1511" t="str">
            <v>2015_10</v>
          </cell>
        </row>
        <row r="1512">
          <cell r="J1512">
            <v>9</v>
          </cell>
          <cell r="K1512">
            <v>9</v>
          </cell>
          <cell r="N1512">
            <v>0</v>
          </cell>
          <cell r="Q1512" t="str">
            <v>2015_11</v>
          </cell>
        </row>
        <row r="1513">
          <cell r="J1513">
            <v>9</v>
          </cell>
          <cell r="K1513">
            <v>9</v>
          </cell>
          <cell r="N1513">
            <v>0</v>
          </cell>
          <cell r="Q1513" t="str">
            <v>2015_12</v>
          </cell>
        </row>
        <row r="1514">
          <cell r="J1514">
            <v>9</v>
          </cell>
          <cell r="K1514">
            <v>9</v>
          </cell>
          <cell r="N1514">
            <v>-12938.92</v>
          </cell>
          <cell r="Q1514" t="str">
            <v>2016_01</v>
          </cell>
        </row>
        <row r="1515">
          <cell r="J1515">
            <v>9</v>
          </cell>
          <cell r="K1515">
            <v>9</v>
          </cell>
          <cell r="N1515">
            <v>-18703.490000000002</v>
          </cell>
          <cell r="Q1515" t="str">
            <v>2016_02</v>
          </cell>
        </row>
        <row r="1516">
          <cell r="J1516">
            <v>9</v>
          </cell>
          <cell r="K1516">
            <v>9</v>
          </cell>
          <cell r="N1516">
            <v>-13192.76</v>
          </cell>
          <cell r="Q1516" t="str">
            <v>2016_03</v>
          </cell>
        </row>
        <row r="1517">
          <cell r="J1517">
            <v>9</v>
          </cell>
          <cell r="K1517">
            <v>9</v>
          </cell>
          <cell r="N1517">
            <v>-13091.96</v>
          </cell>
          <cell r="Q1517" t="str">
            <v>2016_04</v>
          </cell>
        </row>
        <row r="1518">
          <cell r="J1518">
            <v>9</v>
          </cell>
          <cell r="K1518">
            <v>9</v>
          </cell>
          <cell r="N1518">
            <v>-12903.8</v>
          </cell>
          <cell r="Q1518" t="str">
            <v>2016_05</v>
          </cell>
        </row>
        <row r="1519">
          <cell r="J1519">
            <v>9</v>
          </cell>
          <cell r="K1519">
            <v>9</v>
          </cell>
          <cell r="N1519">
            <v>-12653.89</v>
          </cell>
          <cell r="Q1519" t="str">
            <v>2016_06</v>
          </cell>
        </row>
        <row r="1520">
          <cell r="J1520">
            <v>9</v>
          </cell>
          <cell r="K1520">
            <v>9</v>
          </cell>
          <cell r="N1520">
            <v>-12882.33</v>
          </cell>
          <cell r="Q1520" t="str">
            <v>2016_07</v>
          </cell>
        </row>
        <row r="1521">
          <cell r="J1521">
            <v>9</v>
          </cell>
          <cell r="K1521">
            <v>9</v>
          </cell>
          <cell r="N1521">
            <v>-13060.91</v>
          </cell>
          <cell r="Q1521" t="str">
            <v>2016_08</v>
          </cell>
        </row>
        <row r="1522">
          <cell r="J1522">
            <v>9</v>
          </cell>
          <cell r="K1522">
            <v>9</v>
          </cell>
          <cell r="N1522">
            <v>-12750.64</v>
          </cell>
          <cell r="Q1522" t="str">
            <v>2016_09</v>
          </cell>
        </row>
        <row r="1523">
          <cell r="J1523">
            <v>9</v>
          </cell>
          <cell r="K1523">
            <v>9</v>
          </cell>
          <cell r="N1523">
            <v>-7373.41</v>
          </cell>
          <cell r="Q1523" t="str">
            <v>2016_01</v>
          </cell>
        </row>
        <row r="1524">
          <cell r="J1524">
            <v>9</v>
          </cell>
          <cell r="K1524">
            <v>9</v>
          </cell>
          <cell r="N1524">
            <v>-7408.49</v>
          </cell>
          <cell r="Q1524" t="str">
            <v>2016_02</v>
          </cell>
        </row>
        <row r="1525">
          <cell r="J1525">
            <v>9</v>
          </cell>
          <cell r="K1525">
            <v>9</v>
          </cell>
          <cell r="N1525">
            <v>-7832.39</v>
          </cell>
          <cell r="Q1525" t="str">
            <v>2016_03</v>
          </cell>
        </row>
        <row r="1526">
          <cell r="J1526">
            <v>9</v>
          </cell>
          <cell r="K1526">
            <v>9</v>
          </cell>
          <cell r="N1526">
            <v>-7248.87</v>
          </cell>
          <cell r="Q1526" t="str">
            <v>2016_04</v>
          </cell>
        </row>
        <row r="1527">
          <cell r="J1527">
            <v>9</v>
          </cell>
          <cell r="K1527">
            <v>9</v>
          </cell>
          <cell r="N1527">
            <v>-7699.61</v>
          </cell>
          <cell r="Q1527" t="str">
            <v>2016_05</v>
          </cell>
        </row>
        <row r="1528">
          <cell r="J1528">
            <v>9</v>
          </cell>
          <cell r="K1528">
            <v>9</v>
          </cell>
          <cell r="N1528">
            <v>-8173.87</v>
          </cell>
          <cell r="Q1528" t="str">
            <v>2016_06</v>
          </cell>
        </row>
        <row r="1529">
          <cell r="J1529">
            <v>9</v>
          </cell>
          <cell r="K1529">
            <v>9</v>
          </cell>
          <cell r="N1529">
            <v>-8842.82</v>
          </cell>
          <cell r="Q1529" t="str">
            <v>2016_07</v>
          </cell>
        </row>
        <row r="1530">
          <cell r="J1530">
            <v>9</v>
          </cell>
          <cell r="K1530">
            <v>9</v>
          </cell>
          <cell r="N1530">
            <v>-7980.83</v>
          </cell>
          <cell r="Q1530" t="str">
            <v>2016_08</v>
          </cell>
        </row>
        <row r="1531">
          <cell r="J1531">
            <v>9</v>
          </cell>
          <cell r="K1531">
            <v>9</v>
          </cell>
          <cell r="N1531">
            <v>-8503.52</v>
          </cell>
          <cell r="Q1531" t="str">
            <v>2016_09</v>
          </cell>
        </row>
        <row r="1532">
          <cell r="J1532">
            <v>9</v>
          </cell>
          <cell r="K1532">
            <v>9</v>
          </cell>
          <cell r="N1532">
            <v>-5366.59</v>
          </cell>
          <cell r="Q1532" t="str">
            <v>2015_10</v>
          </cell>
        </row>
        <row r="1533">
          <cell r="J1533">
            <v>9</v>
          </cell>
          <cell r="K1533">
            <v>9</v>
          </cell>
          <cell r="N1533">
            <v>-4955.5200000000004</v>
          </cell>
          <cell r="Q1533" t="str">
            <v>2015_11</v>
          </cell>
        </row>
        <row r="1534">
          <cell r="J1534">
            <v>9</v>
          </cell>
          <cell r="K1534">
            <v>9</v>
          </cell>
          <cell r="N1534">
            <v>-4862.6099999999997</v>
          </cell>
          <cell r="Q1534" t="str">
            <v>2015_12</v>
          </cell>
        </row>
        <row r="1535">
          <cell r="J1535">
            <v>9</v>
          </cell>
          <cell r="K1535">
            <v>9</v>
          </cell>
          <cell r="N1535">
            <v>-4511.51</v>
          </cell>
          <cell r="Q1535" t="str">
            <v>2016_01</v>
          </cell>
        </row>
        <row r="1536">
          <cell r="J1536">
            <v>9</v>
          </cell>
          <cell r="K1536">
            <v>9</v>
          </cell>
          <cell r="N1536">
            <v>-4747.07</v>
          </cell>
          <cell r="Q1536" t="str">
            <v>2016_02</v>
          </cell>
        </row>
        <row r="1537">
          <cell r="J1537">
            <v>9</v>
          </cell>
          <cell r="K1537">
            <v>9</v>
          </cell>
          <cell r="N1537">
            <v>-5720.26</v>
          </cell>
          <cell r="Q1537" t="str">
            <v>2016_03</v>
          </cell>
        </row>
        <row r="1538">
          <cell r="J1538">
            <v>9</v>
          </cell>
          <cell r="K1538">
            <v>9</v>
          </cell>
          <cell r="N1538">
            <v>-5135.3</v>
          </cell>
          <cell r="Q1538" t="str">
            <v>2016_04</v>
          </cell>
        </row>
        <row r="1539">
          <cell r="J1539">
            <v>9</v>
          </cell>
          <cell r="K1539">
            <v>9</v>
          </cell>
          <cell r="N1539">
            <v>-5339.2</v>
          </cell>
          <cell r="Q1539" t="str">
            <v>2016_05</v>
          </cell>
        </row>
        <row r="1540">
          <cell r="J1540">
            <v>9</v>
          </cell>
          <cell r="K1540">
            <v>9</v>
          </cell>
          <cell r="N1540">
            <v>-5494.4</v>
          </cell>
          <cell r="Q1540" t="str">
            <v>2016_06</v>
          </cell>
        </row>
        <row r="1541">
          <cell r="J1541">
            <v>9</v>
          </cell>
          <cell r="K1541">
            <v>9</v>
          </cell>
          <cell r="N1541">
            <v>-5661.05</v>
          </cell>
          <cell r="Q1541" t="str">
            <v>2016_07</v>
          </cell>
        </row>
        <row r="1542">
          <cell r="J1542">
            <v>9</v>
          </cell>
          <cell r="K1542">
            <v>9</v>
          </cell>
          <cell r="N1542">
            <v>-6806.33</v>
          </cell>
          <cell r="Q1542" t="str">
            <v>2016_08</v>
          </cell>
        </row>
        <row r="1543">
          <cell r="J1543">
            <v>9</v>
          </cell>
          <cell r="K1543">
            <v>9</v>
          </cell>
          <cell r="N1543">
            <v>-6195.61</v>
          </cell>
          <cell r="Q1543" t="str">
            <v>2016_09</v>
          </cell>
        </row>
        <row r="1544">
          <cell r="J1544">
            <v>9</v>
          </cell>
          <cell r="K1544">
            <v>9</v>
          </cell>
          <cell r="N1544">
            <v>-5769.49</v>
          </cell>
          <cell r="Q1544" t="str">
            <v>2015_10</v>
          </cell>
        </row>
        <row r="1545">
          <cell r="J1545">
            <v>9</v>
          </cell>
          <cell r="K1545">
            <v>9</v>
          </cell>
          <cell r="N1545">
            <v>-5831.86</v>
          </cell>
          <cell r="Q1545" t="str">
            <v>2015_11</v>
          </cell>
        </row>
        <row r="1546">
          <cell r="J1546">
            <v>9</v>
          </cell>
          <cell r="K1546">
            <v>9</v>
          </cell>
          <cell r="N1546">
            <v>-6539.41</v>
          </cell>
          <cell r="Q1546" t="str">
            <v>2015_12</v>
          </cell>
        </row>
        <row r="1547">
          <cell r="J1547">
            <v>9</v>
          </cell>
          <cell r="K1547">
            <v>9</v>
          </cell>
          <cell r="N1547">
            <v>-4701.7</v>
          </cell>
          <cell r="Q1547" t="str">
            <v>2016_01</v>
          </cell>
        </row>
        <row r="1548">
          <cell r="J1548">
            <v>9</v>
          </cell>
          <cell r="K1548">
            <v>9</v>
          </cell>
          <cell r="N1548">
            <v>-5450.28</v>
          </cell>
          <cell r="Q1548" t="str">
            <v>2016_02</v>
          </cell>
        </row>
        <row r="1549">
          <cell r="J1549">
            <v>9</v>
          </cell>
          <cell r="K1549">
            <v>9</v>
          </cell>
          <cell r="N1549">
            <v>-5741.39</v>
          </cell>
          <cell r="Q1549" t="str">
            <v>2016_03</v>
          </cell>
        </row>
        <row r="1550">
          <cell r="J1550">
            <v>9</v>
          </cell>
          <cell r="K1550">
            <v>9</v>
          </cell>
          <cell r="N1550">
            <v>-5681.26</v>
          </cell>
          <cell r="Q1550" t="str">
            <v>2016_04</v>
          </cell>
        </row>
        <row r="1551">
          <cell r="J1551">
            <v>9</v>
          </cell>
          <cell r="K1551">
            <v>9</v>
          </cell>
          <cell r="N1551">
            <v>-5879.65</v>
          </cell>
          <cell r="Q1551" t="str">
            <v>2016_05</v>
          </cell>
        </row>
        <row r="1552">
          <cell r="J1552">
            <v>9</v>
          </cell>
          <cell r="K1552">
            <v>9</v>
          </cell>
          <cell r="N1552">
            <v>-6864.26</v>
          </cell>
          <cell r="Q1552" t="str">
            <v>2016_06</v>
          </cell>
        </row>
        <row r="1553">
          <cell r="J1553">
            <v>9</v>
          </cell>
          <cell r="K1553">
            <v>9</v>
          </cell>
          <cell r="N1553">
            <v>-6010.79</v>
          </cell>
          <cell r="Q1553" t="str">
            <v>2016_07</v>
          </cell>
        </row>
        <row r="1554">
          <cell r="J1554">
            <v>9</v>
          </cell>
          <cell r="K1554">
            <v>9</v>
          </cell>
          <cell r="N1554">
            <v>-6065.11</v>
          </cell>
          <cell r="Q1554" t="str">
            <v>2016_08</v>
          </cell>
        </row>
        <row r="1555">
          <cell r="J1555">
            <v>9</v>
          </cell>
          <cell r="K1555">
            <v>9</v>
          </cell>
          <cell r="N1555">
            <v>-5983.61</v>
          </cell>
          <cell r="Q1555" t="str">
            <v>2016_09</v>
          </cell>
        </row>
        <row r="1556">
          <cell r="J1556">
            <v>9</v>
          </cell>
          <cell r="K1556">
            <v>9</v>
          </cell>
          <cell r="N1556">
            <v>-1.4</v>
          </cell>
          <cell r="Q1556" t="str">
            <v>2015_10</v>
          </cell>
        </row>
        <row r="1557">
          <cell r="J1557">
            <v>9</v>
          </cell>
          <cell r="K1557">
            <v>9</v>
          </cell>
          <cell r="N1557">
            <v>-47.63</v>
          </cell>
          <cell r="Q1557" t="str">
            <v>2015_11</v>
          </cell>
        </row>
        <row r="1558">
          <cell r="J1558">
            <v>9</v>
          </cell>
          <cell r="K1558">
            <v>9</v>
          </cell>
          <cell r="N1558">
            <v>5.0999999999999996</v>
          </cell>
          <cell r="Q1558" t="str">
            <v>2015_12</v>
          </cell>
        </row>
        <row r="1559">
          <cell r="J1559">
            <v>9</v>
          </cell>
          <cell r="K1559">
            <v>9</v>
          </cell>
          <cell r="N1559">
            <v>-40.92</v>
          </cell>
          <cell r="Q1559" t="str">
            <v>2016_01</v>
          </cell>
        </row>
        <row r="1560">
          <cell r="J1560">
            <v>9</v>
          </cell>
          <cell r="K1560">
            <v>9</v>
          </cell>
          <cell r="N1560">
            <v>-32.409999999999997</v>
          </cell>
          <cell r="Q1560" t="str">
            <v>2016_02</v>
          </cell>
        </row>
        <row r="1561">
          <cell r="J1561">
            <v>9</v>
          </cell>
          <cell r="K1561">
            <v>9</v>
          </cell>
          <cell r="N1561">
            <v>-151.49</v>
          </cell>
          <cell r="Q1561" t="str">
            <v>2016_03</v>
          </cell>
        </row>
        <row r="1562">
          <cell r="J1562">
            <v>9</v>
          </cell>
          <cell r="K1562">
            <v>9</v>
          </cell>
          <cell r="N1562">
            <v>-119.13</v>
          </cell>
          <cell r="Q1562" t="str">
            <v>2016_04</v>
          </cell>
        </row>
        <row r="1563">
          <cell r="J1563">
            <v>9</v>
          </cell>
          <cell r="K1563">
            <v>9</v>
          </cell>
          <cell r="N1563">
            <v>-58.18</v>
          </cell>
          <cell r="Q1563" t="str">
            <v>2016_05</v>
          </cell>
        </row>
        <row r="1564">
          <cell r="J1564">
            <v>9</v>
          </cell>
          <cell r="K1564">
            <v>9</v>
          </cell>
          <cell r="N1564">
            <v>-88.92</v>
          </cell>
          <cell r="Q1564" t="str">
            <v>2016_06</v>
          </cell>
        </row>
        <row r="1565">
          <cell r="J1565">
            <v>9</v>
          </cell>
          <cell r="K1565">
            <v>9</v>
          </cell>
          <cell r="N1565">
            <v>-145.94</v>
          </cell>
          <cell r="Q1565" t="str">
            <v>2016_07</v>
          </cell>
        </row>
        <row r="1566">
          <cell r="J1566">
            <v>9</v>
          </cell>
          <cell r="K1566">
            <v>9</v>
          </cell>
          <cell r="N1566">
            <v>-142.5</v>
          </cell>
          <cell r="Q1566" t="str">
            <v>2016_08</v>
          </cell>
        </row>
        <row r="1567">
          <cell r="J1567">
            <v>9</v>
          </cell>
          <cell r="K1567">
            <v>9</v>
          </cell>
          <cell r="N1567">
            <v>-104.92</v>
          </cell>
          <cell r="Q1567" t="str">
            <v>2016_09</v>
          </cell>
        </row>
        <row r="1568">
          <cell r="J1568">
            <v>8</v>
          </cell>
          <cell r="K1568">
            <v>8</v>
          </cell>
          <cell r="N1568">
            <v>0</v>
          </cell>
          <cell r="Q1568" t="str">
            <v>2015_10</v>
          </cell>
        </row>
        <row r="1569">
          <cell r="J1569">
            <v>8</v>
          </cell>
          <cell r="K1569">
            <v>8</v>
          </cell>
          <cell r="N1569">
            <v>0</v>
          </cell>
          <cell r="Q1569" t="str">
            <v>2015_11</v>
          </cell>
        </row>
        <row r="1570">
          <cell r="J1570">
            <v>8</v>
          </cell>
          <cell r="K1570">
            <v>8</v>
          </cell>
          <cell r="N1570">
            <v>0</v>
          </cell>
          <cell r="Q1570" t="str">
            <v>2015_12</v>
          </cell>
        </row>
        <row r="1571">
          <cell r="J1571">
            <v>7</v>
          </cell>
          <cell r="K1571">
            <v>7</v>
          </cell>
          <cell r="N1571">
            <v>0</v>
          </cell>
          <cell r="Q1571" t="str">
            <v>2015_10</v>
          </cell>
        </row>
        <row r="1572">
          <cell r="J1572">
            <v>7</v>
          </cell>
          <cell r="K1572">
            <v>7</v>
          </cell>
          <cell r="N1572">
            <v>0</v>
          </cell>
          <cell r="Q1572" t="str">
            <v>2015_11</v>
          </cell>
        </row>
        <row r="1573">
          <cell r="J1573">
            <v>7</v>
          </cell>
          <cell r="K1573">
            <v>7</v>
          </cell>
          <cell r="N1573">
            <v>0</v>
          </cell>
          <cell r="Q1573" t="str">
            <v>2015_12</v>
          </cell>
        </row>
        <row r="1574">
          <cell r="J1574">
            <v>7</v>
          </cell>
          <cell r="K1574">
            <v>7</v>
          </cell>
          <cell r="N1574">
            <v>-20332.240000000002</v>
          </cell>
          <cell r="Q1574" t="str">
            <v>2015_10</v>
          </cell>
        </row>
        <row r="1575">
          <cell r="J1575">
            <v>7</v>
          </cell>
          <cell r="K1575">
            <v>7</v>
          </cell>
          <cell r="N1575">
            <v>-20433.59</v>
          </cell>
          <cell r="Q1575" t="str">
            <v>2015_11</v>
          </cell>
        </row>
        <row r="1576">
          <cell r="J1576">
            <v>7</v>
          </cell>
          <cell r="K1576">
            <v>7</v>
          </cell>
          <cell r="N1576">
            <v>-20400.16</v>
          </cell>
          <cell r="Q1576" t="str">
            <v>2015_12</v>
          </cell>
        </row>
        <row r="1577">
          <cell r="J1577">
            <v>7</v>
          </cell>
          <cell r="K1577">
            <v>7</v>
          </cell>
          <cell r="N1577">
            <v>-20375.810000000001</v>
          </cell>
          <cell r="Q1577" t="str">
            <v>2016_01</v>
          </cell>
        </row>
        <row r="1578">
          <cell r="J1578">
            <v>7</v>
          </cell>
          <cell r="K1578">
            <v>7</v>
          </cell>
          <cell r="N1578">
            <v>-20327.310000000001</v>
          </cell>
          <cell r="Q1578" t="str">
            <v>2016_02</v>
          </cell>
        </row>
        <row r="1579">
          <cell r="J1579">
            <v>7</v>
          </cell>
          <cell r="K1579">
            <v>7</v>
          </cell>
          <cell r="N1579">
            <v>-20323.2</v>
          </cell>
          <cell r="Q1579" t="str">
            <v>2016_03</v>
          </cell>
        </row>
        <row r="1580">
          <cell r="J1580">
            <v>7</v>
          </cell>
          <cell r="K1580">
            <v>7</v>
          </cell>
          <cell r="N1580">
            <v>-20403.23</v>
          </cell>
          <cell r="Q1580" t="str">
            <v>2016_04</v>
          </cell>
        </row>
        <row r="1581">
          <cell r="J1581">
            <v>7</v>
          </cell>
          <cell r="K1581">
            <v>7</v>
          </cell>
          <cell r="N1581">
            <v>-20461.48</v>
          </cell>
          <cell r="Q1581" t="str">
            <v>2016_05</v>
          </cell>
        </row>
        <row r="1582">
          <cell r="J1582">
            <v>7</v>
          </cell>
          <cell r="K1582">
            <v>7</v>
          </cell>
          <cell r="N1582">
            <v>-20515.599999999999</v>
          </cell>
          <cell r="Q1582" t="str">
            <v>2016_06</v>
          </cell>
        </row>
        <row r="1583">
          <cell r="J1583">
            <v>7</v>
          </cell>
          <cell r="K1583">
            <v>7</v>
          </cell>
          <cell r="N1583">
            <v>-20614.330000000002</v>
          </cell>
          <cell r="Q1583" t="str">
            <v>2016_07</v>
          </cell>
        </row>
        <row r="1584">
          <cell r="J1584">
            <v>7</v>
          </cell>
          <cell r="K1584">
            <v>7</v>
          </cell>
          <cell r="N1584">
            <v>-20608.189999999999</v>
          </cell>
          <cell r="Q1584" t="str">
            <v>2016_08</v>
          </cell>
        </row>
        <row r="1585">
          <cell r="J1585">
            <v>7</v>
          </cell>
          <cell r="K1585">
            <v>7</v>
          </cell>
          <cell r="N1585">
            <v>-20573.400000000001</v>
          </cell>
          <cell r="Q1585" t="str">
            <v>2016_09</v>
          </cell>
        </row>
        <row r="1586">
          <cell r="J1586">
            <v>7</v>
          </cell>
          <cell r="K1586">
            <v>7</v>
          </cell>
          <cell r="N1586">
            <v>0</v>
          </cell>
          <cell r="Q1586" t="str">
            <v>2015_10</v>
          </cell>
        </row>
        <row r="1587">
          <cell r="J1587">
            <v>7</v>
          </cell>
          <cell r="K1587">
            <v>7</v>
          </cell>
          <cell r="N1587">
            <v>0</v>
          </cell>
          <cell r="Q1587" t="str">
            <v>2015_11</v>
          </cell>
        </row>
        <row r="1588">
          <cell r="J1588">
            <v>7</v>
          </cell>
          <cell r="K1588">
            <v>7</v>
          </cell>
          <cell r="N1588">
            <v>0</v>
          </cell>
          <cell r="Q1588" t="str">
            <v>2015_12</v>
          </cell>
        </row>
        <row r="1589">
          <cell r="J1589">
            <v>7</v>
          </cell>
          <cell r="K1589">
            <v>7</v>
          </cell>
          <cell r="N1589">
            <v>-25309.3</v>
          </cell>
          <cell r="Q1589" t="str">
            <v>2015_10</v>
          </cell>
        </row>
        <row r="1590">
          <cell r="J1590">
            <v>7</v>
          </cell>
          <cell r="K1590">
            <v>7</v>
          </cell>
          <cell r="N1590">
            <v>-24075.73</v>
          </cell>
          <cell r="Q1590" t="str">
            <v>2015_11</v>
          </cell>
        </row>
        <row r="1591">
          <cell r="J1591">
            <v>7</v>
          </cell>
          <cell r="K1591">
            <v>7</v>
          </cell>
          <cell r="N1591">
            <v>-25241.57</v>
          </cell>
          <cell r="Q1591" t="str">
            <v>2015_12</v>
          </cell>
        </row>
        <row r="1592">
          <cell r="J1592">
            <v>7</v>
          </cell>
          <cell r="K1592">
            <v>7</v>
          </cell>
          <cell r="N1592">
            <v>-24782.38</v>
          </cell>
          <cell r="Q1592" t="str">
            <v>2016_01</v>
          </cell>
        </row>
        <row r="1593">
          <cell r="J1593">
            <v>7</v>
          </cell>
          <cell r="K1593">
            <v>7</v>
          </cell>
          <cell r="N1593">
            <v>-24884.44</v>
          </cell>
          <cell r="Q1593" t="str">
            <v>2016_02</v>
          </cell>
        </row>
        <row r="1594">
          <cell r="J1594">
            <v>7</v>
          </cell>
          <cell r="K1594">
            <v>7</v>
          </cell>
          <cell r="N1594">
            <v>-24912.92</v>
          </cell>
          <cell r="Q1594" t="str">
            <v>2016_03</v>
          </cell>
        </row>
        <row r="1595">
          <cell r="J1595">
            <v>7</v>
          </cell>
          <cell r="K1595">
            <v>7</v>
          </cell>
          <cell r="N1595">
            <v>-25254.5</v>
          </cell>
          <cell r="Q1595" t="str">
            <v>2016_04</v>
          </cell>
        </row>
        <row r="1596">
          <cell r="J1596">
            <v>7</v>
          </cell>
          <cell r="K1596">
            <v>7</v>
          </cell>
          <cell r="N1596">
            <v>-25800.98</v>
          </cell>
          <cell r="Q1596" t="str">
            <v>2016_05</v>
          </cell>
        </row>
        <row r="1597">
          <cell r="J1597">
            <v>7</v>
          </cell>
          <cell r="K1597">
            <v>7</v>
          </cell>
          <cell r="N1597">
            <v>-26363.360000000001</v>
          </cell>
          <cell r="Q1597" t="str">
            <v>2016_06</v>
          </cell>
        </row>
        <row r="1598">
          <cell r="J1598">
            <v>7</v>
          </cell>
          <cell r="K1598">
            <v>7</v>
          </cell>
          <cell r="N1598">
            <v>-26669.57</v>
          </cell>
          <cell r="Q1598" t="str">
            <v>2016_07</v>
          </cell>
        </row>
        <row r="1599">
          <cell r="J1599">
            <v>7</v>
          </cell>
          <cell r="K1599">
            <v>7</v>
          </cell>
          <cell r="N1599">
            <v>-26560.99</v>
          </cell>
          <cell r="Q1599" t="str">
            <v>2016_08</v>
          </cell>
        </row>
        <row r="1600">
          <cell r="J1600">
            <v>7</v>
          </cell>
          <cell r="K1600">
            <v>7</v>
          </cell>
          <cell r="N1600">
            <v>-26372.82</v>
          </cell>
          <cell r="Q1600" t="str">
            <v>2016_09</v>
          </cell>
        </row>
        <row r="1601">
          <cell r="J1601">
            <v>7</v>
          </cell>
          <cell r="K1601">
            <v>7</v>
          </cell>
          <cell r="N1601">
            <v>0</v>
          </cell>
          <cell r="Q1601" t="str">
            <v>2015_10</v>
          </cell>
        </row>
        <row r="1602">
          <cell r="J1602">
            <v>7</v>
          </cell>
          <cell r="K1602">
            <v>7</v>
          </cell>
          <cell r="N1602">
            <v>0</v>
          </cell>
          <cell r="Q1602" t="str">
            <v>2015_11</v>
          </cell>
        </row>
        <row r="1603">
          <cell r="J1603">
            <v>7</v>
          </cell>
          <cell r="K1603">
            <v>7</v>
          </cell>
          <cell r="N1603">
            <v>0</v>
          </cell>
          <cell r="Q1603" t="str">
            <v>2015_12</v>
          </cell>
        </row>
        <row r="1604">
          <cell r="J1604">
            <v>7</v>
          </cell>
          <cell r="K1604">
            <v>7</v>
          </cell>
          <cell r="N1604">
            <v>-14394.96</v>
          </cell>
          <cell r="Q1604" t="str">
            <v>2015_10</v>
          </cell>
        </row>
        <row r="1605">
          <cell r="J1605">
            <v>7</v>
          </cell>
          <cell r="K1605">
            <v>7</v>
          </cell>
          <cell r="N1605">
            <v>-15364.39</v>
          </cell>
          <cell r="Q1605" t="str">
            <v>2015_11</v>
          </cell>
        </row>
        <row r="1606">
          <cell r="J1606">
            <v>7</v>
          </cell>
          <cell r="K1606">
            <v>7</v>
          </cell>
          <cell r="N1606">
            <v>-11331.66</v>
          </cell>
          <cell r="Q1606" t="str">
            <v>2015_12</v>
          </cell>
        </row>
        <row r="1607">
          <cell r="J1607">
            <v>7</v>
          </cell>
          <cell r="K1607">
            <v>7</v>
          </cell>
          <cell r="N1607">
            <v>-11676.44</v>
          </cell>
          <cell r="Q1607" t="str">
            <v>2016_01</v>
          </cell>
        </row>
        <row r="1608">
          <cell r="J1608">
            <v>7</v>
          </cell>
          <cell r="K1608">
            <v>7</v>
          </cell>
          <cell r="N1608">
            <v>-12630.76</v>
          </cell>
          <cell r="Q1608" t="str">
            <v>2016_02</v>
          </cell>
        </row>
        <row r="1609">
          <cell r="J1609">
            <v>7</v>
          </cell>
          <cell r="K1609">
            <v>7</v>
          </cell>
          <cell r="N1609">
            <v>-12464.11</v>
          </cell>
          <cell r="Q1609" t="str">
            <v>2016_03</v>
          </cell>
        </row>
        <row r="1610">
          <cell r="J1610">
            <v>7</v>
          </cell>
          <cell r="K1610">
            <v>7</v>
          </cell>
          <cell r="N1610">
            <v>-12755.15</v>
          </cell>
          <cell r="Q1610" t="str">
            <v>2016_04</v>
          </cell>
        </row>
        <row r="1611">
          <cell r="J1611">
            <v>7</v>
          </cell>
          <cell r="K1611">
            <v>7</v>
          </cell>
          <cell r="N1611">
            <v>-13181.81</v>
          </cell>
          <cell r="Q1611" t="str">
            <v>2016_05</v>
          </cell>
        </row>
        <row r="1612">
          <cell r="J1612">
            <v>7</v>
          </cell>
          <cell r="K1612">
            <v>7</v>
          </cell>
          <cell r="N1612">
            <v>-12096.08</v>
          </cell>
          <cell r="Q1612" t="str">
            <v>2016_06</v>
          </cell>
        </row>
        <row r="1613">
          <cell r="J1613">
            <v>7</v>
          </cell>
          <cell r="K1613">
            <v>7</v>
          </cell>
          <cell r="N1613">
            <v>-11469.3</v>
          </cell>
          <cell r="Q1613" t="str">
            <v>2016_07</v>
          </cell>
        </row>
        <row r="1614">
          <cell r="J1614">
            <v>7</v>
          </cell>
          <cell r="K1614">
            <v>7</v>
          </cell>
          <cell r="N1614">
            <v>-15844.57</v>
          </cell>
          <cell r="Q1614" t="str">
            <v>2016_08</v>
          </cell>
        </row>
        <row r="1615">
          <cell r="J1615">
            <v>7</v>
          </cell>
          <cell r="K1615">
            <v>7</v>
          </cell>
          <cell r="N1615">
            <v>-16612.3</v>
          </cell>
          <cell r="Q1615" t="str">
            <v>2016_09</v>
          </cell>
        </row>
        <row r="1616">
          <cell r="J1616">
            <v>7</v>
          </cell>
          <cell r="K1616">
            <v>7</v>
          </cell>
          <cell r="N1616">
            <v>0</v>
          </cell>
          <cell r="Q1616" t="str">
            <v>2015_10</v>
          </cell>
        </row>
        <row r="1617">
          <cell r="J1617">
            <v>7</v>
          </cell>
          <cell r="K1617">
            <v>7</v>
          </cell>
          <cell r="N1617">
            <v>0</v>
          </cell>
          <cell r="Q1617" t="str">
            <v>2015_11</v>
          </cell>
        </row>
        <row r="1618">
          <cell r="J1618">
            <v>7</v>
          </cell>
          <cell r="K1618">
            <v>7</v>
          </cell>
          <cell r="N1618">
            <v>0</v>
          </cell>
          <cell r="Q1618" t="str">
            <v>2015_12</v>
          </cell>
        </row>
        <row r="1619">
          <cell r="J1619">
            <v>7</v>
          </cell>
          <cell r="K1619">
            <v>7</v>
          </cell>
          <cell r="N1619">
            <v>-11221.15</v>
          </cell>
          <cell r="Q1619" t="str">
            <v>2015_10</v>
          </cell>
        </row>
        <row r="1620">
          <cell r="J1620">
            <v>7</v>
          </cell>
          <cell r="K1620">
            <v>7</v>
          </cell>
          <cell r="N1620">
            <v>-12092.88</v>
          </cell>
          <cell r="Q1620" t="str">
            <v>2015_11</v>
          </cell>
        </row>
        <row r="1621">
          <cell r="J1621">
            <v>7</v>
          </cell>
          <cell r="K1621">
            <v>7</v>
          </cell>
          <cell r="N1621">
            <v>-9958.19</v>
          </cell>
          <cell r="Q1621" t="str">
            <v>2015_12</v>
          </cell>
        </row>
        <row r="1622">
          <cell r="J1622">
            <v>7</v>
          </cell>
          <cell r="K1622">
            <v>7</v>
          </cell>
          <cell r="N1622">
            <v>-9694.8700000000008</v>
          </cell>
          <cell r="Q1622" t="str">
            <v>2016_01</v>
          </cell>
        </row>
        <row r="1623">
          <cell r="J1623">
            <v>7</v>
          </cell>
          <cell r="K1623">
            <v>7</v>
          </cell>
          <cell r="N1623">
            <v>-9278.98</v>
          </cell>
          <cell r="Q1623" t="str">
            <v>2016_02</v>
          </cell>
        </row>
        <row r="1624">
          <cell r="J1624">
            <v>7</v>
          </cell>
          <cell r="K1624">
            <v>7</v>
          </cell>
          <cell r="N1624">
            <v>-8272.41</v>
          </cell>
          <cell r="Q1624" t="str">
            <v>2016_03</v>
          </cell>
        </row>
        <row r="1625">
          <cell r="J1625">
            <v>7</v>
          </cell>
          <cell r="K1625">
            <v>7</v>
          </cell>
          <cell r="N1625">
            <v>-10214.61</v>
          </cell>
          <cell r="Q1625" t="str">
            <v>2016_04</v>
          </cell>
        </row>
        <row r="1626">
          <cell r="J1626">
            <v>7</v>
          </cell>
          <cell r="K1626">
            <v>7</v>
          </cell>
          <cell r="N1626">
            <v>-8487.39</v>
          </cell>
          <cell r="Q1626" t="str">
            <v>2016_05</v>
          </cell>
        </row>
        <row r="1627">
          <cell r="J1627">
            <v>7</v>
          </cell>
          <cell r="K1627">
            <v>7</v>
          </cell>
          <cell r="N1627">
            <v>-6200.65</v>
          </cell>
          <cell r="Q1627" t="str">
            <v>2016_06</v>
          </cell>
        </row>
        <row r="1628">
          <cell r="J1628">
            <v>7</v>
          </cell>
          <cell r="K1628">
            <v>7</v>
          </cell>
          <cell r="N1628">
            <v>-7528.42</v>
          </cell>
          <cell r="Q1628" t="str">
            <v>2016_07</v>
          </cell>
        </row>
        <row r="1629">
          <cell r="J1629">
            <v>7</v>
          </cell>
          <cell r="K1629">
            <v>7</v>
          </cell>
          <cell r="N1629">
            <v>-10067.200000000001</v>
          </cell>
          <cell r="Q1629" t="str">
            <v>2016_08</v>
          </cell>
        </row>
        <row r="1630">
          <cell r="J1630">
            <v>7</v>
          </cell>
          <cell r="K1630">
            <v>7</v>
          </cell>
          <cell r="N1630">
            <v>-10779.03</v>
          </cell>
          <cell r="Q1630" t="str">
            <v>2016_09</v>
          </cell>
        </row>
        <row r="1631">
          <cell r="J1631">
            <v>8</v>
          </cell>
          <cell r="K1631">
            <v>8</v>
          </cell>
          <cell r="N1631">
            <v>-2142</v>
          </cell>
          <cell r="Q1631" t="str">
            <v>2015_10</v>
          </cell>
        </row>
        <row r="1632">
          <cell r="J1632">
            <v>8</v>
          </cell>
          <cell r="K1632">
            <v>8</v>
          </cell>
          <cell r="N1632">
            <v>-1097</v>
          </cell>
          <cell r="Q1632" t="str">
            <v>2015_11</v>
          </cell>
        </row>
        <row r="1633">
          <cell r="J1633">
            <v>8</v>
          </cell>
          <cell r="K1633">
            <v>8</v>
          </cell>
          <cell r="N1633">
            <v>-1115</v>
          </cell>
          <cell r="Q1633" t="str">
            <v>2015_12</v>
          </cell>
        </row>
        <row r="1634">
          <cell r="J1634">
            <v>8</v>
          </cell>
          <cell r="K1634">
            <v>8</v>
          </cell>
          <cell r="N1634">
            <v>-935</v>
          </cell>
          <cell r="Q1634" t="str">
            <v>2016_02</v>
          </cell>
        </row>
        <row r="1635">
          <cell r="J1635">
            <v>8</v>
          </cell>
          <cell r="K1635">
            <v>8</v>
          </cell>
          <cell r="N1635">
            <v>-1672</v>
          </cell>
          <cell r="Q1635" t="str">
            <v>2016_03</v>
          </cell>
        </row>
        <row r="1636">
          <cell r="J1636">
            <v>8</v>
          </cell>
          <cell r="K1636">
            <v>8</v>
          </cell>
          <cell r="N1636">
            <v>-2610.96</v>
          </cell>
          <cell r="Q1636" t="str">
            <v>2016_04</v>
          </cell>
        </row>
        <row r="1637">
          <cell r="J1637">
            <v>8</v>
          </cell>
          <cell r="K1637">
            <v>8</v>
          </cell>
          <cell r="N1637">
            <v>-1767.05</v>
          </cell>
          <cell r="Q1637" t="str">
            <v>2016_05</v>
          </cell>
        </row>
        <row r="1638">
          <cell r="J1638">
            <v>8</v>
          </cell>
          <cell r="K1638">
            <v>8</v>
          </cell>
          <cell r="N1638">
            <v>-2701.71</v>
          </cell>
          <cell r="Q1638" t="str">
            <v>2016_06</v>
          </cell>
        </row>
        <row r="1639">
          <cell r="J1639">
            <v>8</v>
          </cell>
          <cell r="K1639">
            <v>8</v>
          </cell>
          <cell r="N1639">
            <v>-1485</v>
          </cell>
          <cell r="Q1639" t="str">
            <v>2016_07</v>
          </cell>
        </row>
        <row r="1640">
          <cell r="J1640">
            <v>8</v>
          </cell>
          <cell r="K1640">
            <v>8</v>
          </cell>
          <cell r="N1640">
            <v>-2307.5</v>
          </cell>
          <cell r="Q1640" t="str">
            <v>2016_08</v>
          </cell>
        </row>
        <row r="1641">
          <cell r="J1641">
            <v>8</v>
          </cell>
          <cell r="K1641">
            <v>8</v>
          </cell>
          <cell r="N1641">
            <v>-2473.38</v>
          </cell>
          <cell r="Q1641" t="str">
            <v>2016_09</v>
          </cell>
        </row>
        <row r="1642">
          <cell r="J1642">
            <v>3</v>
          </cell>
          <cell r="K1642">
            <v>3</v>
          </cell>
          <cell r="N1642">
            <v>0</v>
          </cell>
          <cell r="Q1642" t="str">
            <v>2015_10</v>
          </cell>
        </row>
        <row r="1643">
          <cell r="J1643">
            <v>3</v>
          </cell>
          <cell r="K1643">
            <v>3</v>
          </cell>
          <cell r="N1643">
            <v>0</v>
          </cell>
          <cell r="Q1643" t="str">
            <v>2015_11</v>
          </cell>
        </row>
        <row r="1644">
          <cell r="J1644">
            <v>3</v>
          </cell>
          <cell r="K1644">
            <v>3</v>
          </cell>
          <cell r="N1644">
            <v>0</v>
          </cell>
          <cell r="Q1644" t="str">
            <v>2015_12</v>
          </cell>
        </row>
        <row r="1645">
          <cell r="J1645">
            <v>3</v>
          </cell>
          <cell r="K1645">
            <v>3</v>
          </cell>
          <cell r="N1645">
            <v>-23155.86</v>
          </cell>
          <cell r="Q1645" t="str">
            <v>2015_10</v>
          </cell>
        </row>
        <row r="1646">
          <cell r="J1646">
            <v>3</v>
          </cell>
          <cell r="K1646">
            <v>3</v>
          </cell>
          <cell r="N1646">
            <v>-26565.16</v>
          </cell>
          <cell r="Q1646" t="str">
            <v>2015_11</v>
          </cell>
        </row>
        <row r="1647">
          <cell r="J1647">
            <v>3</v>
          </cell>
          <cell r="K1647">
            <v>3</v>
          </cell>
          <cell r="N1647">
            <v>-16169.01</v>
          </cell>
          <cell r="Q1647" t="str">
            <v>2015_12</v>
          </cell>
        </row>
        <row r="1648">
          <cell r="J1648">
            <v>3</v>
          </cell>
          <cell r="K1648">
            <v>3</v>
          </cell>
          <cell r="N1648">
            <v>-15272.86</v>
          </cell>
          <cell r="Q1648" t="str">
            <v>2016_01</v>
          </cell>
        </row>
        <row r="1649">
          <cell r="J1649">
            <v>3</v>
          </cell>
          <cell r="K1649">
            <v>3</v>
          </cell>
          <cell r="N1649">
            <v>-15885.01</v>
          </cell>
          <cell r="Q1649" t="str">
            <v>2016_02</v>
          </cell>
        </row>
        <row r="1650">
          <cell r="J1650">
            <v>3</v>
          </cell>
          <cell r="K1650">
            <v>3</v>
          </cell>
          <cell r="N1650">
            <v>-23211.68</v>
          </cell>
          <cell r="Q1650" t="str">
            <v>2016_03</v>
          </cell>
        </row>
        <row r="1651">
          <cell r="J1651">
            <v>3</v>
          </cell>
          <cell r="K1651">
            <v>3</v>
          </cell>
          <cell r="N1651">
            <v>-21706.98</v>
          </cell>
          <cell r="Q1651" t="str">
            <v>2016_04</v>
          </cell>
        </row>
        <row r="1652">
          <cell r="J1652">
            <v>3</v>
          </cell>
          <cell r="K1652">
            <v>3</v>
          </cell>
          <cell r="N1652">
            <v>-23636.49</v>
          </cell>
          <cell r="Q1652" t="str">
            <v>2016_05</v>
          </cell>
        </row>
        <row r="1653">
          <cell r="J1653">
            <v>3</v>
          </cell>
          <cell r="K1653">
            <v>3</v>
          </cell>
          <cell r="N1653">
            <v>-22802.22</v>
          </cell>
          <cell r="Q1653" t="str">
            <v>2016_06</v>
          </cell>
        </row>
        <row r="1654">
          <cell r="J1654">
            <v>3</v>
          </cell>
          <cell r="K1654">
            <v>3</v>
          </cell>
          <cell r="N1654">
            <v>-14242.66</v>
          </cell>
          <cell r="Q1654" t="str">
            <v>2016_07</v>
          </cell>
        </row>
        <row r="1655">
          <cell r="J1655">
            <v>3</v>
          </cell>
          <cell r="K1655">
            <v>3</v>
          </cell>
          <cell r="N1655">
            <v>-20282.16</v>
          </cell>
          <cell r="Q1655" t="str">
            <v>2016_08</v>
          </cell>
        </row>
        <row r="1656">
          <cell r="J1656">
            <v>3</v>
          </cell>
          <cell r="K1656">
            <v>3</v>
          </cell>
          <cell r="N1656">
            <v>-19890.77</v>
          </cell>
          <cell r="Q1656" t="str">
            <v>2016_09</v>
          </cell>
        </row>
        <row r="1657">
          <cell r="J1657">
            <v>3</v>
          </cell>
          <cell r="K1657">
            <v>3</v>
          </cell>
          <cell r="N1657">
            <v>-37234.480000000003</v>
          </cell>
          <cell r="Q1657" t="str">
            <v>2015_10</v>
          </cell>
        </row>
        <row r="1658">
          <cell r="J1658">
            <v>3</v>
          </cell>
          <cell r="K1658">
            <v>3</v>
          </cell>
          <cell r="N1658">
            <v>-35339.910000000003</v>
          </cell>
          <cell r="Q1658" t="str">
            <v>2015_11</v>
          </cell>
        </row>
        <row r="1659">
          <cell r="J1659">
            <v>3</v>
          </cell>
          <cell r="K1659">
            <v>3</v>
          </cell>
          <cell r="N1659">
            <v>-35832.959999999999</v>
          </cell>
          <cell r="Q1659" t="str">
            <v>2015_12</v>
          </cell>
        </row>
        <row r="1660">
          <cell r="J1660">
            <v>3</v>
          </cell>
          <cell r="K1660">
            <v>3</v>
          </cell>
          <cell r="N1660">
            <v>-30590.91</v>
          </cell>
          <cell r="Q1660" t="str">
            <v>2016_01</v>
          </cell>
        </row>
        <row r="1661">
          <cell r="J1661">
            <v>3</v>
          </cell>
          <cell r="K1661">
            <v>3</v>
          </cell>
          <cell r="N1661">
            <v>-33198.160000000003</v>
          </cell>
          <cell r="Q1661" t="str">
            <v>2016_02</v>
          </cell>
        </row>
        <row r="1662">
          <cell r="J1662">
            <v>3</v>
          </cell>
          <cell r="K1662">
            <v>3</v>
          </cell>
          <cell r="N1662">
            <v>-34165.85</v>
          </cell>
          <cell r="Q1662" t="str">
            <v>2016_03</v>
          </cell>
        </row>
        <row r="1663">
          <cell r="J1663">
            <v>3</v>
          </cell>
          <cell r="K1663">
            <v>3</v>
          </cell>
          <cell r="N1663">
            <v>-28818.91</v>
          </cell>
          <cell r="Q1663" t="str">
            <v>2016_04</v>
          </cell>
        </row>
        <row r="1664">
          <cell r="J1664">
            <v>3</v>
          </cell>
          <cell r="K1664">
            <v>3</v>
          </cell>
          <cell r="N1664">
            <v>-30103.89</v>
          </cell>
          <cell r="Q1664" t="str">
            <v>2016_05</v>
          </cell>
        </row>
        <row r="1665">
          <cell r="J1665">
            <v>3</v>
          </cell>
          <cell r="K1665">
            <v>3</v>
          </cell>
          <cell r="N1665">
            <v>-33569.97</v>
          </cell>
          <cell r="Q1665" t="str">
            <v>2016_06</v>
          </cell>
        </row>
        <row r="1666">
          <cell r="J1666">
            <v>3</v>
          </cell>
          <cell r="K1666">
            <v>3</v>
          </cell>
          <cell r="N1666">
            <v>-29125.98</v>
          </cell>
          <cell r="Q1666" t="str">
            <v>2016_07</v>
          </cell>
        </row>
        <row r="1667">
          <cell r="J1667">
            <v>3</v>
          </cell>
          <cell r="K1667">
            <v>3</v>
          </cell>
          <cell r="N1667">
            <v>-37380.230000000003</v>
          </cell>
          <cell r="Q1667" t="str">
            <v>2016_08</v>
          </cell>
        </row>
        <row r="1668">
          <cell r="J1668">
            <v>3</v>
          </cell>
          <cell r="K1668">
            <v>3</v>
          </cell>
          <cell r="N1668">
            <v>-36679.96</v>
          </cell>
          <cell r="Q1668" t="str">
            <v>2016_09</v>
          </cell>
        </row>
        <row r="1669">
          <cell r="J1669">
            <v>16</v>
          </cell>
          <cell r="K1669">
            <v>16</v>
          </cell>
          <cell r="N1669">
            <v>-1520</v>
          </cell>
          <cell r="Q1669" t="str">
            <v>2015_10</v>
          </cell>
        </row>
        <row r="1670">
          <cell r="J1670">
            <v>16</v>
          </cell>
          <cell r="K1670">
            <v>16</v>
          </cell>
          <cell r="N1670">
            <v>-760</v>
          </cell>
          <cell r="Q1670" t="str">
            <v>2015_11</v>
          </cell>
        </row>
        <row r="1671">
          <cell r="J1671">
            <v>16</v>
          </cell>
          <cell r="K1671">
            <v>16</v>
          </cell>
          <cell r="N1671">
            <v>-1320</v>
          </cell>
          <cell r="Q1671" t="str">
            <v>2015_12</v>
          </cell>
        </row>
        <row r="1672">
          <cell r="J1672">
            <v>16</v>
          </cell>
          <cell r="K1672">
            <v>16</v>
          </cell>
          <cell r="N1672">
            <v>-960</v>
          </cell>
          <cell r="Q1672" t="str">
            <v>2016_01</v>
          </cell>
        </row>
        <row r="1673">
          <cell r="J1673">
            <v>16</v>
          </cell>
          <cell r="K1673">
            <v>16</v>
          </cell>
          <cell r="N1673">
            <v>-760</v>
          </cell>
          <cell r="Q1673" t="str">
            <v>2016_02</v>
          </cell>
        </row>
        <row r="1674">
          <cell r="J1674">
            <v>16</v>
          </cell>
          <cell r="K1674">
            <v>16</v>
          </cell>
          <cell r="N1674">
            <v>-1520</v>
          </cell>
          <cell r="Q1674" t="str">
            <v>2016_03</v>
          </cell>
        </row>
        <row r="1675">
          <cell r="J1675">
            <v>16</v>
          </cell>
          <cell r="K1675">
            <v>16</v>
          </cell>
          <cell r="N1675">
            <v>-1040</v>
          </cell>
          <cell r="Q1675" t="str">
            <v>2016_04</v>
          </cell>
        </row>
        <row r="1676">
          <cell r="J1676">
            <v>16</v>
          </cell>
          <cell r="K1676">
            <v>16</v>
          </cell>
          <cell r="N1676">
            <v>-1240</v>
          </cell>
          <cell r="Q1676" t="str">
            <v>2016_05</v>
          </cell>
        </row>
        <row r="1677">
          <cell r="J1677">
            <v>16</v>
          </cell>
          <cell r="K1677">
            <v>16</v>
          </cell>
          <cell r="N1677">
            <v>-1240</v>
          </cell>
          <cell r="Q1677" t="str">
            <v>2016_06</v>
          </cell>
        </row>
        <row r="1678">
          <cell r="J1678">
            <v>16</v>
          </cell>
          <cell r="K1678">
            <v>16</v>
          </cell>
          <cell r="N1678">
            <v>-1720</v>
          </cell>
          <cell r="Q1678" t="str">
            <v>2016_07</v>
          </cell>
        </row>
        <row r="1679">
          <cell r="J1679">
            <v>16</v>
          </cell>
          <cell r="K1679">
            <v>16</v>
          </cell>
          <cell r="N1679">
            <v>-1360</v>
          </cell>
          <cell r="Q1679" t="str">
            <v>2016_08</v>
          </cell>
        </row>
        <row r="1680">
          <cell r="J1680">
            <v>16</v>
          </cell>
          <cell r="K1680">
            <v>16</v>
          </cell>
          <cell r="N1680">
            <v>-1560</v>
          </cell>
          <cell r="Q1680" t="str">
            <v>2016_09</v>
          </cell>
        </row>
        <row r="1681">
          <cell r="J1681">
            <v>3</v>
          </cell>
          <cell r="K1681">
            <v>3</v>
          </cell>
          <cell r="N1681">
            <v>-13963</v>
          </cell>
          <cell r="Q1681" t="str">
            <v>2015_10</v>
          </cell>
        </row>
        <row r="1682">
          <cell r="J1682">
            <v>3</v>
          </cell>
          <cell r="K1682">
            <v>3</v>
          </cell>
          <cell r="N1682">
            <v>-11560</v>
          </cell>
          <cell r="Q1682" t="str">
            <v>2015_11</v>
          </cell>
        </row>
        <row r="1683">
          <cell r="J1683">
            <v>3</v>
          </cell>
          <cell r="K1683">
            <v>3</v>
          </cell>
          <cell r="N1683">
            <v>-13410</v>
          </cell>
          <cell r="Q1683" t="str">
            <v>2015_12</v>
          </cell>
        </row>
        <row r="1684">
          <cell r="J1684">
            <v>3</v>
          </cell>
          <cell r="K1684">
            <v>3</v>
          </cell>
          <cell r="N1684">
            <v>-8586</v>
          </cell>
          <cell r="Q1684" t="str">
            <v>2016_01</v>
          </cell>
        </row>
        <row r="1685">
          <cell r="J1685">
            <v>3</v>
          </cell>
          <cell r="K1685">
            <v>3</v>
          </cell>
          <cell r="N1685">
            <v>-14194.5</v>
          </cell>
          <cell r="Q1685" t="str">
            <v>2016_02</v>
          </cell>
        </row>
        <row r="1686">
          <cell r="J1686">
            <v>3</v>
          </cell>
          <cell r="K1686">
            <v>3</v>
          </cell>
          <cell r="N1686">
            <v>-13550.5</v>
          </cell>
          <cell r="Q1686" t="str">
            <v>2016_03</v>
          </cell>
        </row>
        <row r="1687">
          <cell r="J1687">
            <v>3</v>
          </cell>
          <cell r="K1687">
            <v>3</v>
          </cell>
          <cell r="N1687">
            <v>-12079</v>
          </cell>
          <cell r="Q1687" t="str">
            <v>2016_04</v>
          </cell>
        </row>
        <row r="1688">
          <cell r="J1688">
            <v>3</v>
          </cell>
          <cell r="K1688">
            <v>3</v>
          </cell>
          <cell r="N1688">
            <v>-13398</v>
          </cell>
          <cell r="Q1688" t="str">
            <v>2016_05</v>
          </cell>
        </row>
        <row r="1689">
          <cell r="J1689">
            <v>3</v>
          </cell>
          <cell r="K1689">
            <v>3</v>
          </cell>
          <cell r="N1689">
            <v>-13400</v>
          </cell>
          <cell r="Q1689" t="str">
            <v>2016_06</v>
          </cell>
        </row>
        <row r="1690">
          <cell r="J1690">
            <v>3</v>
          </cell>
          <cell r="K1690">
            <v>3</v>
          </cell>
          <cell r="N1690">
            <v>-11834</v>
          </cell>
          <cell r="Q1690" t="str">
            <v>2016_07</v>
          </cell>
        </row>
        <row r="1691">
          <cell r="J1691">
            <v>3</v>
          </cell>
          <cell r="K1691">
            <v>3</v>
          </cell>
          <cell r="N1691">
            <v>-13426</v>
          </cell>
          <cell r="Q1691" t="str">
            <v>2016_08</v>
          </cell>
        </row>
        <row r="1692">
          <cell r="J1692">
            <v>3</v>
          </cell>
          <cell r="K1692">
            <v>3</v>
          </cell>
          <cell r="N1692">
            <v>-15480.5</v>
          </cell>
          <cell r="Q1692" t="str">
            <v>2016_09</v>
          </cell>
        </row>
        <row r="1693">
          <cell r="J1693">
            <v>4</v>
          </cell>
          <cell r="K1693">
            <v>4</v>
          </cell>
          <cell r="N1693">
            <v>0</v>
          </cell>
          <cell r="Q1693" t="str">
            <v>2015_10</v>
          </cell>
        </row>
        <row r="1694">
          <cell r="J1694">
            <v>4</v>
          </cell>
          <cell r="K1694">
            <v>4</v>
          </cell>
          <cell r="N1694">
            <v>0</v>
          </cell>
          <cell r="Q1694" t="str">
            <v>2015_11</v>
          </cell>
        </row>
        <row r="1695">
          <cell r="J1695">
            <v>4</v>
          </cell>
          <cell r="K1695">
            <v>4</v>
          </cell>
          <cell r="N1695">
            <v>0</v>
          </cell>
          <cell r="Q1695" t="str">
            <v>2015_12</v>
          </cell>
        </row>
        <row r="1696">
          <cell r="J1696">
            <v>4</v>
          </cell>
          <cell r="K1696">
            <v>4</v>
          </cell>
          <cell r="N1696">
            <v>-20470.63</v>
          </cell>
          <cell r="Q1696" t="str">
            <v>2015_10</v>
          </cell>
        </row>
        <row r="1697">
          <cell r="J1697">
            <v>4</v>
          </cell>
          <cell r="K1697">
            <v>4</v>
          </cell>
          <cell r="N1697">
            <v>-22064.25</v>
          </cell>
          <cell r="Q1697" t="str">
            <v>2015_11</v>
          </cell>
        </row>
        <row r="1698">
          <cell r="J1698">
            <v>4</v>
          </cell>
          <cell r="K1698">
            <v>4</v>
          </cell>
          <cell r="N1698">
            <v>-18012.23</v>
          </cell>
          <cell r="Q1698" t="str">
            <v>2015_12</v>
          </cell>
        </row>
        <row r="1699">
          <cell r="J1699">
            <v>4</v>
          </cell>
          <cell r="K1699">
            <v>4</v>
          </cell>
          <cell r="N1699">
            <v>-16398.79</v>
          </cell>
          <cell r="Q1699" t="str">
            <v>2016_01</v>
          </cell>
        </row>
        <row r="1700">
          <cell r="J1700">
            <v>4</v>
          </cell>
          <cell r="K1700">
            <v>4</v>
          </cell>
          <cell r="N1700">
            <v>-12834.37</v>
          </cell>
          <cell r="Q1700" t="str">
            <v>2016_02</v>
          </cell>
        </row>
        <row r="1701">
          <cell r="J1701">
            <v>4</v>
          </cell>
          <cell r="K1701">
            <v>4</v>
          </cell>
          <cell r="N1701">
            <v>-16016.17</v>
          </cell>
          <cell r="Q1701" t="str">
            <v>2016_03</v>
          </cell>
        </row>
        <row r="1702">
          <cell r="J1702">
            <v>4</v>
          </cell>
          <cell r="K1702">
            <v>4</v>
          </cell>
          <cell r="N1702">
            <v>-13152.16</v>
          </cell>
          <cell r="Q1702" t="str">
            <v>2016_04</v>
          </cell>
        </row>
        <row r="1703">
          <cell r="J1703">
            <v>4</v>
          </cell>
          <cell r="K1703">
            <v>4</v>
          </cell>
          <cell r="N1703">
            <v>-18609.46</v>
          </cell>
          <cell r="Q1703" t="str">
            <v>2016_05</v>
          </cell>
        </row>
        <row r="1704">
          <cell r="J1704">
            <v>4</v>
          </cell>
          <cell r="K1704">
            <v>4</v>
          </cell>
          <cell r="N1704">
            <v>-15430.83</v>
          </cell>
          <cell r="Q1704" t="str">
            <v>2016_06</v>
          </cell>
        </row>
        <row r="1705">
          <cell r="J1705">
            <v>4</v>
          </cell>
          <cell r="K1705">
            <v>4</v>
          </cell>
          <cell r="N1705">
            <v>-12695.72</v>
          </cell>
          <cell r="Q1705" t="str">
            <v>2016_07</v>
          </cell>
        </row>
        <row r="1706">
          <cell r="J1706">
            <v>4</v>
          </cell>
          <cell r="K1706">
            <v>4</v>
          </cell>
          <cell r="N1706">
            <v>-17776.87</v>
          </cell>
          <cell r="Q1706" t="str">
            <v>2016_08</v>
          </cell>
        </row>
        <row r="1707">
          <cell r="J1707">
            <v>4</v>
          </cell>
          <cell r="K1707">
            <v>4</v>
          </cell>
          <cell r="N1707">
            <v>-18087.62</v>
          </cell>
          <cell r="Q1707" t="str">
            <v>2016_09</v>
          </cell>
        </row>
        <row r="1708">
          <cell r="J1708">
            <v>4</v>
          </cell>
          <cell r="K1708">
            <v>4</v>
          </cell>
          <cell r="N1708">
            <v>-37343.339999999997</v>
          </cell>
          <cell r="Q1708" t="str">
            <v>2015_10</v>
          </cell>
        </row>
        <row r="1709">
          <cell r="J1709">
            <v>4</v>
          </cell>
          <cell r="K1709">
            <v>4</v>
          </cell>
          <cell r="N1709">
            <v>-32128.75</v>
          </cell>
          <cell r="Q1709" t="str">
            <v>2015_11</v>
          </cell>
        </row>
        <row r="1710">
          <cell r="J1710">
            <v>4</v>
          </cell>
          <cell r="K1710">
            <v>4</v>
          </cell>
          <cell r="N1710">
            <v>-38714.410000000003</v>
          </cell>
          <cell r="Q1710" t="str">
            <v>2015_12</v>
          </cell>
        </row>
        <row r="1711">
          <cell r="J1711">
            <v>4</v>
          </cell>
          <cell r="K1711">
            <v>4</v>
          </cell>
          <cell r="N1711">
            <v>-32714.33</v>
          </cell>
          <cell r="Q1711" t="str">
            <v>2016_01</v>
          </cell>
        </row>
        <row r="1712">
          <cell r="J1712">
            <v>4</v>
          </cell>
          <cell r="K1712">
            <v>4</v>
          </cell>
          <cell r="N1712">
            <v>-35744.1</v>
          </cell>
          <cell r="Q1712" t="str">
            <v>2016_02</v>
          </cell>
        </row>
        <row r="1713">
          <cell r="J1713">
            <v>4</v>
          </cell>
          <cell r="K1713">
            <v>4</v>
          </cell>
          <cell r="N1713">
            <v>-38571.56</v>
          </cell>
          <cell r="Q1713" t="str">
            <v>2016_03</v>
          </cell>
        </row>
        <row r="1714">
          <cell r="J1714">
            <v>4</v>
          </cell>
          <cell r="K1714">
            <v>4</v>
          </cell>
          <cell r="N1714">
            <v>-22808.78</v>
          </cell>
          <cell r="Q1714" t="str">
            <v>2016_04</v>
          </cell>
        </row>
        <row r="1715">
          <cell r="J1715">
            <v>4</v>
          </cell>
          <cell r="K1715">
            <v>4</v>
          </cell>
          <cell r="N1715">
            <v>-30352.63</v>
          </cell>
          <cell r="Q1715" t="str">
            <v>2016_05</v>
          </cell>
        </row>
        <row r="1716">
          <cell r="J1716">
            <v>4</v>
          </cell>
          <cell r="K1716">
            <v>4</v>
          </cell>
          <cell r="N1716">
            <v>-45683.03</v>
          </cell>
          <cell r="Q1716" t="str">
            <v>2016_06</v>
          </cell>
        </row>
        <row r="1717">
          <cell r="J1717">
            <v>4</v>
          </cell>
          <cell r="K1717">
            <v>4</v>
          </cell>
          <cell r="N1717">
            <v>-33583.629999999997</v>
          </cell>
          <cell r="Q1717" t="str">
            <v>2016_07</v>
          </cell>
        </row>
        <row r="1718">
          <cell r="J1718">
            <v>4</v>
          </cell>
          <cell r="K1718">
            <v>4</v>
          </cell>
          <cell r="N1718">
            <v>-39622.300000000003</v>
          </cell>
          <cell r="Q1718" t="str">
            <v>2016_08</v>
          </cell>
        </row>
        <row r="1719">
          <cell r="J1719">
            <v>4</v>
          </cell>
          <cell r="K1719">
            <v>4</v>
          </cell>
          <cell r="N1719">
            <v>-38952.18</v>
          </cell>
          <cell r="Q1719" t="str">
            <v>2016_09</v>
          </cell>
        </row>
        <row r="1720">
          <cell r="J1720">
            <v>4</v>
          </cell>
          <cell r="K1720">
            <v>4</v>
          </cell>
          <cell r="N1720">
            <v>-5044.8500000000004</v>
          </cell>
          <cell r="Q1720" t="str">
            <v>2015_10</v>
          </cell>
        </row>
        <row r="1721">
          <cell r="J1721">
            <v>4</v>
          </cell>
          <cell r="K1721">
            <v>4</v>
          </cell>
          <cell r="N1721">
            <v>-3250.87</v>
          </cell>
          <cell r="Q1721" t="str">
            <v>2015_11</v>
          </cell>
        </row>
        <row r="1722">
          <cell r="J1722">
            <v>4</v>
          </cell>
          <cell r="K1722">
            <v>4</v>
          </cell>
          <cell r="N1722">
            <v>-4074.58</v>
          </cell>
          <cell r="Q1722" t="str">
            <v>2015_12</v>
          </cell>
        </row>
        <row r="1723">
          <cell r="J1723">
            <v>4</v>
          </cell>
          <cell r="K1723">
            <v>4</v>
          </cell>
          <cell r="N1723">
            <v>-1904.77</v>
          </cell>
          <cell r="Q1723" t="str">
            <v>2016_01</v>
          </cell>
        </row>
        <row r="1724">
          <cell r="J1724">
            <v>4</v>
          </cell>
          <cell r="K1724">
            <v>4</v>
          </cell>
          <cell r="N1724">
            <v>-4099.97</v>
          </cell>
          <cell r="Q1724" t="str">
            <v>2016_02</v>
          </cell>
        </row>
        <row r="1725">
          <cell r="J1725">
            <v>4</v>
          </cell>
          <cell r="K1725">
            <v>4</v>
          </cell>
          <cell r="N1725">
            <v>-4181.57</v>
          </cell>
          <cell r="Q1725" t="str">
            <v>2016_03</v>
          </cell>
        </row>
        <row r="1726">
          <cell r="J1726">
            <v>4</v>
          </cell>
          <cell r="K1726">
            <v>4</v>
          </cell>
          <cell r="N1726">
            <v>-3346.13</v>
          </cell>
          <cell r="Q1726" t="str">
            <v>2016_04</v>
          </cell>
        </row>
        <row r="1727">
          <cell r="J1727">
            <v>4</v>
          </cell>
          <cell r="K1727">
            <v>4</v>
          </cell>
          <cell r="N1727">
            <v>-3715.04</v>
          </cell>
          <cell r="Q1727" t="str">
            <v>2016_05</v>
          </cell>
        </row>
        <row r="1728">
          <cell r="J1728">
            <v>4</v>
          </cell>
          <cell r="K1728">
            <v>4</v>
          </cell>
          <cell r="N1728">
            <v>-3500</v>
          </cell>
          <cell r="Q1728" t="str">
            <v>2016_06</v>
          </cell>
        </row>
        <row r="1729">
          <cell r="J1729">
            <v>4</v>
          </cell>
          <cell r="K1729">
            <v>4</v>
          </cell>
          <cell r="N1729">
            <v>-3150.1</v>
          </cell>
          <cell r="Q1729" t="str">
            <v>2016_07</v>
          </cell>
        </row>
        <row r="1730">
          <cell r="J1730">
            <v>4</v>
          </cell>
          <cell r="K1730">
            <v>4</v>
          </cell>
          <cell r="N1730">
            <v>-3417.94</v>
          </cell>
          <cell r="Q1730" t="str">
            <v>2016_08</v>
          </cell>
        </row>
        <row r="1731">
          <cell r="J1731">
            <v>4</v>
          </cell>
          <cell r="K1731">
            <v>4</v>
          </cell>
          <cell r="N1731">
            <v>-4498.96</v>
          </cell>
          <cell r="Q1731" t="str">
            <v>2016_09</v>
          </cell>
        </row>
        <row r="1732">
          <cell r="J1732">
            <v>3</v>
          </cell>
          <cell r="K1732">
            <v>3</v>
          </cell>
          <cell r="N1732">
            <v>-18007.25</v>
          </cell>
          <cell r="Q1732" t="str">
            <v>2015_10</v>
          </cell>
        </row>
        <row r="1733">
          <cell r="J1733">
            <v>3</v>
          </cell>
          <cell r="K1733">
            <v>3</v>
          </cell>
          <cell r="N1733">
            <v>-12603.17</v>
          </cell>
          <cell r="Q1733" t="str">
            <v>2015_11</v>
          </cell>
        </row>
        <row r="1734">
          <cell r="J1734">
            <v>3</v>
          </cell>
          <cell r="K1734">
            <v>3</v>
          </cell>
          <cell r="N1734">
            <v>-15343.36</v>
          </cell>
          <cell r="Q1734" t="str">
            <v>2015_12</v>
          </cell>
        </row>
        <row r="1735">
          <cell r="J1735">
            <v>3</v>
          </cell>
          <cell r="K1735">
            <v>3</v>
          </cell>
          <cell r="N1735">
            <v>-12490.64</v>
          </cell>
          <cell r="Q1735" t="str">
            <v>2016_01</v>
          </cell>
        </row>
        <row r="1736">
          <cell r="J1736">
            <v>3</v>
          </cell>
          <cell r="K1736">
            <v>3</v>
          </cell>
          <cell r="N1736">
            <v>-12453.25</v>
          </cell>
          <cell r="Q1736" t="str">
            <v>2016_02</v>
          </cell>
        </row>
        <row r="1737">
          <cell r="J1737">
            <v>3</v>
          </cell>
          <cell r="K1737">
            <v>3</v>
          </cell>
          <cell r="N1737">
            <v>-10954.25</v>
          </cell>
          <cell r="Q1737" t="str">
            <v>2016_03</v>
          </cell>
        </row>
        <row r="1738">
          <cell r="J1738">
            <v>3</v>
          </cell>
          <cell r="K1738">
            <v>3</v>
          </cell>
          <cell r="N1738">
            <v>-12153.45</v>
          </cell>
          <cell r="Q1738" t="str">
            <v>2016_04</v>
          </cell>
        </row>
        <row r="1739">
          <cell r="J1739">
            <v>3</v>
          </cell>
          <cell r="K1739">
            <v>3</v>
          </cell>
          <cell r="N1739">
            <v>-10618.35</v>
          </cell>
          <cell r="Q1739" t="str">
            <v>2016_05</v>
          </cell>
        </row>
        <row r="1740">
          <cell r="J1740">
            <v>3</v>
          </cell>
          <cell r="K1740">
            <v>3</v>
          </cell>
          <cell r="N1740">
            <v>-9688.35</v>
          </cell>
          <cell r="Q1740" t="str">
            <v>2016_06</v>
          </cell>
        </row>
        <row r="1741">
          <cell r="J1741">
            <v>3</v>
          </cell>
          <cell r="K1741">
            <v>3</v>
          </cell>
          <cell r="N1741">
            <v>-7749.17</v>
          </cell>
          <cell r="Q1741" t="str">
            <v>2016_07</v>
          </cell>
        </row>
        <row r="1742">
          <cell r="J1742">
            <v>3</v>
          </cell>
          <cell r="K1742">
            <v>3</v>
          </cell>
          <cell r="N1742">
            <v>-11293.5</v>
          </cell>
          <cell r="Q1742" t="str">
            <v>2016_08</v>
          </cell>
        </row>
        <row r="1743">
          <cell r="J1743">
            <v>3</v>
          </cell>
          <cell r="K1743">
            <v>3</v>
          </cell>
          <cell r="N1743">
            <v>-10709.5</v>
          </cell>
          <cell r="Q1743" t="str">
            <v>2016_09</v>
          </cell>
        </row>
        <row r="1744">
          <cell r="J1744">
            <v>4</v>
          </cell>
          <cell r="K1744">
            <v>4</v>
          </cell>
          <cell r="N1744">
            <v>-11796.73</v>
          </cell>
          <cell r="Q1744" t="str">
            <v>2015_10</v>
          </cell>
        </row>
        <row r="1745">
          <cell r="J1745">
            <v>4</v>
          </cell>
          <cell r="K1745">
            <v>4</v>
          </cell>
          <cell r="N1745">
            <v>-5622.92</v>
          </cell>
          <cell r="Q1745" t="str">
            <v>2015_11</v>
          </cell>
        </row>
        <row r="1746">
          <cell r="J1746">
            <v>4</v>
          </cell>
          <cell r="K1746">
            <v>4</v>
          </cell>
          <cell r="N1746">
            <v>-10741.44</v>
          </cell>
          <cell r="Q1746" t="str">
            <v>2015_12</v>
          </cell>
        </row>
        <row r="1747">
          <cell r="J1747">
            <v>4</v>
          </cell>
          <cell r="K1747">
            <v>4</v>
          </cell>
          <cell r="N1747">
            <v>-8501.34</v>
          </cell>
          <cell r="Q1747" t="str">
            <v>2016_01</v>
          </cell>
        </row>
        <row r="1748">
          <cell r="J1748">
            <v>4</v>
          </cell>
          <cell r="K1748">
            <v>4</v>
          </cell>
          <cell r="N1748">
            <v>-14345.64</v>
          </cell>
          <cell r="Q1748" t="str">
            <v>2016_02</v>
          </cell>
        </row>
        <row r="1749">
          <cell r="J1749">
            <v>4</v>
          </cell>
          <cell r="K1749">
            <v>4</v>
          </cell>
          <cell r="N1749">
            <v>-4257.1000000000004</v>
          </cell>
          <cell r="Q1749" t="str">
            <v>2016_03</v>
          </cell>
        </row>
        <row r="1750">
          <cell r="J1750">
            <v>4</v>
          </cell>
          <cell r="K1750">
            <v>4</v>
          </cell>
          <cell r="N1750">
            <v>-3753.33</v>
          </cell>
          <cell r="Q1750" t="str">
            <v>2016_04</v>
          </cell>
        </row>
        <row r="1751">
          <cell r="J1751">
            <v>4</v>
          </cell>
          <cell r="K1751">
            <v>4</v>
          </cell>
          <cell r="N1751">
            <v>-4320.18</v>
          </cell>
          <cell r="Q1751" t="str">
            <v>2016_05</v>
          </cell>
        </row>
        <row r="1752">
          <cell r="J1752">
            <v>4</v>
          </cell>
          <cell r="K1752">
            <v>4</v>
          </cell>
          <cell r="N1752">
            <v>-4766.41</v>
          </cell>
          <cell r="Q1752" t="str">
            <v>2016_06</v>
          </cell>
        </row>
        <row r="1753">
          <cell r="J1753">
            <v>4</v>
          </cell>
          <cell r="K1753">
            <v>4</v>
          </cell>
          <cell r="N1753">
            <v>-2934.25</v>
          </cell>
          <cell r="Q1753" t="str">
            <v>2016_07</v>
          </cell>
        </row>
        <row r="1754">
          <cell r="J1754">
            <v>4</v>
          </cell>
          <cell r="K1754">
            <v>4</v>
          </cell>
          <cell r="N1754">
            <v>-4405.66</v>
          </cell>
          <cell r="Q1754" t="str">
            <v>2016_08</v>
          </cell>
        </row>
        <row r="1755">
          <cell r="J1755">
            <v>4</v>
          </cell>
          <cell r="K1755">
            <v>4</v>
          </cell>
          <cell r="N1755">
            <v>-1821.97</v>
          </cell>
          <cell r="Q1755" t="str">
            <v>2016_09</v>
          </cell>
        </row>
        <row r="1756">
          <cell r="J1756">
            <v>18</v>
          </cell>
          <cell r="K1756">
            <v>18</v>
          </cell>
          <cell r="N1756">
            <v>-1030</v>
          </cell>
          <cell r="Q1756" t="str">
            <v>2015_10</v>
          </cell>
        </row>
        <row r="1757">
          <cell r="J1757">
            <v>18</v>
          </cell>
          <cell r="K1757">
            <v>18</v>
          </cell>
          <cell r="N1757">
            <v>-314.5</v>
          </cell>
          <cell r="Q1757" t="str">
            <v>2015_11</v>
          </cell>
        </row>
        <row r="1758">
          <cell r="J1758">
            <v>18</v>
          </cell>
          <cell r="K1758">
            <v>18</v>
          </cell>
          <cell r="N1758">
            <v>-439.5</v>
          </cell>
          <cell r="Q1758" t="str">
            <v>2015_12</v>
          </cell>
        </row>
        <row r="1759">
          <cell r="J1759">
            <v>18</v>
          </cell>
          <cell r="K1759">
            <v>18</v>
          </cell>
          <cell r="N1759">
            <v>-186.25</v>
          </cell>
          <cell r="Q1759" t="str">
            <v>2016_01</v>
          </cell>
        </row>
        <row r="1760">
          <cell r="J1760">
            <v>18</v>
          </cell>
          <cell r="K1760">
            <v>18</v>
          </cell>
          <cell r="N1760">
            <v>-123.25</v>
          </cell>
          <cell r="Q1760" t="str">
            <v>2016_02</v>
          </cell>
        </row>
        <row r="1761">
          <cell r="J1761">
            <v>18</v>
          </cell>
          <cell r="K1761">
            <v>18</v>
          </cell>
          <cell r="N1761">
            <v>-131.75</v>
          </cell>
          <cell r="Q1761" t="str">
            <v>2016_03</v>
          </cell>
        </row>
        <row r="1762">
          <cell r="J1762">
            <v>18</v>
          </cell>
          <cell r="K1762">
            <v>18</v>
          </cell>
          <cell r="N1762">
            <v>-160</v>
          </cell>
          <cell r="Q1762" t="str">
            <v>2016_04</v>
          </cell>
        </row>
        <row r="1763">
          <cell r="J1763">
            <v>18</v>
          </cell>
          <cell r="K1763">
            <v>18</v>
          </cell>
          <cell r="N1763">
            <v>0</v>
          </cell>
          <cell r="Q1763" t="str">
            <v>2016_05</v>
          </cell>
        </row>
        <row r="1764">
          <cell r="J1764">
            <v>18</v>
          </cell>
          <cell r="K1764">
            <v>18</v>
          </cell>
          <cell r="N1764">
            <v>-160</v>
          </cell>
          <cell r="Q1764" t="str">
            <v>2016_06</v>
          </cell>
        </row>
        <row r="1765">
          <cell r="J1765">
            <v>18</v>
          </cell>
          <cell r="K1765">
            <v>18</v>
          </cell>
          <cell r="N1765">
            <v>-240</v>
          </cell>
          <cell r="Q1765" t="str">
            <v>2016_07</v>
          </cell>
        </row>
        <row r="1766">
          <cell r="J1766">
            <v>18</v>
          </cell>
          <cell r="K1766">
            <v>18</v>
          </cell>
          <cell r="N1766">
            <v>-210</v>
          </cell>
          <cell r="Q1766" t="str">
            <v>2016_08</v>
          </cell>
        </row>
        <row r="1767">
          <cell r="J1767">
            <v>18</v>
          </cell>
          <cell r="K1767">
            <v>18</v>
          </cell>
          <cell r="N1767">
            <v>-240</v>
          </cell>
          <cell r="Q1767" t="str">
            <v>2016_09</v>
          </cell>
        </row>
        <row r="1768">
          <cell r="J1768">
            <v>18</v>
          </cell>
          <cell r="K1768">
            <v>18</v>
          </cell>
          <cell r="N1768">
            <v>-460</v>
          </cell>
          <cell r="Q1768" t="str">
            <v>2015_10</v>
          </cell>
        </row>
        <row r="1769">
          <cell r="J1769">
            <v>18</v>
          </cell>
          <cell r="K1769">
            <v>18</v>
          </cell>
          <cell r="N1769">
            <v>-210</v>
          </cell>
          <cell r="Q1769" t="str">
            <v>2015_11</v>
          </cell>
        </row>
        <row r="1770">
          <cell r="J1770">
            <v>18</v>
          </cell>
          <cell r="K1770">
            <v>18</v>
          </cell>
          <cell r="N1770">
            <v>-310</v>
          </cell>
          <cell r="Q1770" t="str">
            <v>2015_12</v>
          </cell>
        </row>
        <row r="1771">
          <cell r="J1771">
            <v>18</v>
          </cell>
          <cell r="K1771">
            <v>18</v>
          </cell>
          <cell r="N1771">
            <v>-110</v>
          </cell>
          <cell r="Q1771" t="str">
            <v>2016_01</v>
          </cell>
        </row>
        <row r="1772">
          <cell r="J1772">
            <v>18</v>
          </cell>
          <cell r="K1772">
            <v>18</v>
          </cell>
          <cell r="N1772">
            <v>-310</v>
          </cell>
          <cell r="Q1772" t="str">
            <v>2016_02</v>
          </cell>
        </row>
        <row r="1773">
          <cell r="J1773">
            <v>18</v>
          </cell>
          <cell r="K1773">
            <v>18</v>
          </cell>
          <cell r="N1773">
            <v>-1928.23</v>
          </cell>
          <cell r="Q1773" t="str">
            <v>2016_03</v>
          </cell>
        </row>
        <row r="1774">
          <cell r="J1774">
            <v>18</v>
          </cell>
          <cell r="K1774">
            <v>18</v>
          </cell>
          <cell r="N1774">
            <v>-360</v>
          </cell>
          <cell r="Q1774" t="str">
            <v>2016_04</v>
          </cell>
        </row>
        <row r="1775">
          <cell r="J1775">
            <v>18</v>
          </cell>
          <cell r="K1775">
            <v>18</v>
          </cell>
          <cell r="N1775">
            <v>-110</v>
          </cell>
          <cell r="Q1775" t="str">
            <v>2016_05</v>
          </cell>
        </row>
        <row r="1776">
          <cell r="J1776">
            <v>18</v>
          </cell>
          <cell r="K1776">
            <v>18</v>
          </cell>
          <cell r="N1776">
            <v>-1010</v>
          </cell>
          <cell r="Q1776" t="str">
            <v>2016_06</v>
          </cell>
        </row>
        <row r="1777">
          <cell r="J1777">
            <v>18</v>
          </cell>
          <cell r="K1777">
            <v>18</v>
          </cell>
          <cell r="N1777">
            <v>-550</v>
          </cell>
          <cell r="Q1777" t="str">
            <v>2016_07</v>
          </cell>
        </row>
        <row r="1778">
          <cell r="J1778">
            <v>18</v>
          </cell>
          <cell r="K1778">
            <v>18</v>
          </cell>
          <cell r="N1778">
            <v>-310</v>
          </cell>
          <cell r="Q1778" t="str">
            <v>2016_08</v>
          </cell>
        </row>
        <row r="1779">
          <cell r="J1779">
            <v>18</v>
          </cell>
          <cell r="K1779">
            <v>18</v>
          </cell>
          <cell r="N1779">
            <v>-410</v>
          </cell>
          <cell r="Q1779" t="str">
            <v>2016_09</v>
          </cell>
        </row>
        <row r="1780">
          <cell r="J1780">
            <v>18</v>
          </cell>
          <cell r="K1780">
            <v>18</v>
          </cell>
          <cell r="N1780">
            <v>-1027.92</v>
          </cell>
          <cell r="Q1780" t="str">
            <v>2015_10</v>
          </cell>
        </row>
        <row r="1781">
          <cell r="J1781">
            <v>18</v>
          </cell>
          <cell r="K1781">
            <v>18</v>
          </cell>
          <cell r="N1781">
            <v>-716.77</v>
          </cell>
          <cell r="Q1781" t="str">
            <v>2015_11</v>
          </cell>
        </row>
        <row r="1782">
          <cell r="J1782">
            <v>18</v>
          </cell>
          <cell r="K1782">
            <v>18</v>
          </cell>
          <cell r="N1782">
            <v>288.12</v>
          </cell>
          <cell r="Q1782" t="str">
            <v>2015_12</v>
          </cell>
        </row>
        <row r="1783">
          <cell r="J1783">
            <v>18</v>
          </cell>
          <cell r="K1783">
            <v>18</v>
          </cell>
          <cell r="N1783">
            <v>8.01</v>
          </cell>
          <cell r="Q1783" t="str">
            <v>2016_02</v>
          </cell>
        </row>
        <row r="1784">
          <cell r="J1784">
            <v>18</v>
          </cell>
          <cell r="K1784">
            <v>18</v>
          </cell>
          <cell r="N1784">
            <v>-18.350000000000001</v>
          </cell>
          <cell r="Q1784" t="str">
            <v>2016_03</v>
          </cell>
        </row>
        <row r="1785">
          <cell r="J1785">
            <v>18</v>
          </cell>
          <cell r="K1785">
            <v>18</v>
          </cell>
          <cell r="N1785">
            <v>18.350000000000001</v>
          </cell>
          <cell r="Q1785" t="str">
            <v>2016_04</v>
          </cell>
        </row>
        <row r="1786">
          <cell r="J1786">
            <v>18</v>
          </cell>
          <cell r="K1786">
            <v>18</v>
          </cell>
          <cell r="N1786">
            <v>-57.78</v>
          </cell>
          <cell r="Q1786" t="str">
            <v>2016_05</v>
          </cell>
        </row>
        <row r="1787">
          <cell r="J1787">
            <v>18</v>
          </cell>
          <cell r="K1787">
            <v>18</v>
          </cell>
          <cell r="N1787">
            <v>0</v>
          </cell>
          <cell r="Q1787" t="str">
            <v>2016_06</v>
          </cell>
        </row>
        <row r="1788">
          <cell r="J1788">
            <v>18</v>
          </cell>
          <cell r="K1788">
            <v>18</v>
          </cell>
          <cell r="N1788">
            <v>-67.930000000000007</v>
          </cell>
          <cell r="Q1788" t="str">
            <v>2016_07</v>
          </cell>
        </row>
        <row r="1789">
          <cell r="J1789">
            <v>18</v>
          </cell>
          <cell r="K1789">
            <v>18</v>
          </cell>
          <cell r="N1789">
            <v>-224.66</v>
          </cell>
          <cell r="Q1789" t="str">
            <v>2016_08</v>
          </cell>
        </row>
        <row r="1790">
          <cell r="J1790">
            <v>18</v>
          </cell>
          <cell r="K1790">
            <v>18</v>
          </cell>
          <cell r="N1790">
            <v>0</v>
          </cell>
          <cell r="Q1790" t="str">
            <v>2016_09</v>
          </cell>
        </row>
        <row r="1791">
          <cell r="J1791">
            <v>18</v>
          </cell>
          <cell r="K1791">
            <v>18</v>
          </cell>
          <cell r="N1791">
            <v>0</v>
          </cell>
          <cell r="Q1791" t="str">
            <v>2015_10</v>
          </cell>
        </row>
        <row r="1792">
          <cell r="J1792">
            <v>18</v>
          </cell>
          <cell r="K1792">
            <v>18</v>
          </cell>
          <cell r="N1792">
            <v>0</v>
          </cell>
          <cell r="Q1792" t="str">
            <v>2015_11</v>
          </cell>
        </row>
        <row r="1793">
          <cell r="J1793">
            <v>18</v>
          </cell>
          <cell r="K1793">
            <v>18</v>
          </cell>
          <cell r="N1793">
            <v>0</v>
          </cell>
          <cell r="Q1793" t="str">
            <v>2015_12</v>
          </cell>
        </row>
        <row r="1794">
          <cell r="J1794">
            <v>2</v>
          </cell>
          <cell r="K1794">
            <v>2</v>
          </cell>
          <cell r="N1794">
            <v>0</v>
          </cell>
          <cell r="Q1794" t="str">
            <v>2015_10</v>
          </cell>
        </row>
        <row r="1795">
          <cell r="J1795">
            <v>2</v>
          </cell>
          <cell r="K1795">
            <v>2</v>
          </cell>
          <cell r="N1795">
            <v>0</v>
          </cell>
          <cell r="Q1795" t="str">
            <v>2015_11</v>
          </cell>
        </row>
        <row r="1796">
          <cell r="J1796">
            <v>2</v>
          </cell>
          <cell r="K1796">
            <v>2</v>
          </cell>
          <cell r="N1796">
            <v>0</v>
          </cell>
          <cell r="Q1796" t="str">
            <v>2015_12</v>
          </cell>
        </row>
        <row r="1797">
          <cell r="J1797">
            <v>2</v>
          </cell>
          <cell r="K1797">
            <v>2</v>
          </cell>
          <cell r="N1797">
            <v>-45918.77</v>
          </cell>
          <cell r="Q1797" t="str">
            <v>2015_10</v>
          </cell>
        </row>
        <row r="1798">
          <cell r="J1798">
            <v>2</v>
          </cell>
          <cell r="K1798">
            <v>2</v>
          </cell>
          <cell r="N1798">
            <v>-44762.38</v>
          </cell>
          <cell r="Q1798" t="str">
            <v>2015_11</v>
          </cell>
        </row>
        <row r="1799">
          <cell r="J1799">
            <v>2</v>
          </cell>
          <cell r="K1799">
            <v>2</v>
          </cell>
          <cell r="N1799">
            <v>-43275.08</v>
          </cell>
          <cell r="Q1799" t="str">
            <v>2015_12</v>
          </cell>
        </row>
        <row r="1800">
          <cell r="J1800">
            <v>2</v>
          </cell>
          <cell r="K1800">
            <v>2</v>
          </cell>
          <cell r="N1800">
            <v>-41627.93</v>
          </cell>
          <cell r="Q1800" t="str">
            <v>2016_01</v>
          </cell>
        </row>
        <row r="1801">
          <cell r="J1801">
            <v>2</v>
          </cell>
          <cell r="K1801">
            <v>2</v>
          </cell>
          <cell r="N1801">
            <v>-42174.29</v>
          </cell>
          <cell r="Q1801" t="str">
            <v>2016_02</v>
          </cell>
        </row>
        <row r="1802">
          <cell r="J1802">
            <v>2</v>
          </cell>
          <cell r="K1802">
            <v>2</v>
          </cell>
          <cell r="N1802">
            <v>-43664.3</v>
          </cell>
          <cell r="Q1802" t="str">
            <v>2016_03</v>
          </cell>
        </row>
        <row r="1803">
          <cell r="J1803">
            <v>2</v>
          </cell>
          <cell r="K1803">
            <v>2</v>
          </cell>
          <cell r="N1803">
            <v>-44793.760000000002</v>
          </cell>
          <cell r="Q1803" t="str">
            <v>2016_04</v>
          </cell>
        </row>
        <row r="1804">
          <cell r="J1804">
            <v>2</v>
          </cell>
          <cell r="K1804">
            <v>2</v>
          </cell>
          <cell r="N1804">
            <v>-46016.23</v>
          </cell>
          <cell r="Q1804" t="str">
            <v>2016_05</v>
          </cell>
        </row>
        <row r="1805">
          <cell r="J1805">
            <v>2</v>
          </cell>
          <cell r="K1805">
            <v>2</v>
          </cell>
          <cell r="N1805">
            <v>-48655.08</v>
          </cell>
          <cell r="Q1805" t="str">
            <v>2016_06</v>
          </cell>
        </row>
        <row r="1806">
          <cell r="J1806">
            <v>2</v>
          </cell>
          <cell r="K1806">
            <v>2</v>
          </cell>
          <cell r="N1806">
            <v>-53669.86</v>
          </cell>
          <cell r="Q1806" t="str">
            <v>2016_07</v>
          </cell>
        </row>
        <row r="1807">
          <cell r="J1807">
            <v>2</v>
          </cell>
          <cell r="K1807">
            <v>2</v>
          </cell>
          <cell r="N1807">
            <v>-48905.07</v>
          </cell>
          <cell r="Q1807" t="str">
            <v>2016_08</v>
          </cell>
        </row>
        <row r="1808">
          <cell r="J1808">
            <v>2</v>
          </cell>
          <cell r="K1808">
            <v>2</v>
          </cell>
          <cell r="N1808">
            <v>-49870.92</v>
          </cell>
          <cell r="Q1808" t="str">
            <v>2016_09</v>
          </cell>
        </row>
        <row r="1809">
          <cell r="J1809">
            <v>2</v>
          </cell>
          <cell r="K1809">
            <v>2</v>
          </cell>
          <cell r="N1809">
            <v>-17654.439999999999</v>
          </cell>
          <cell r="Q1809" t="str">
            <v>2015_10</v>
          </cell>
        </row>
        <row r="1810">
          <cell r="J1810">
            <v>2</v>
          </cell>
          <cell r="K1810">
            <v>2</v>
          </cell>
          <cell r="N1810">
            <v>-16706.48</v>
          </cell>
          <cell r="Q1810" t="str">
            <v>2015_11</v>
          </cell>
        </row>
        <row r="1811">
          <cell r="J1811">
            <v>2</v>
          </cell>
          <cell r="K1811">
            <v>2</v>
          </cell>
          <cell r="N1811">
            <v>-16038.25</v>
          </cell>
          <cell r="Q1811" t="str">
            <v>2015_12</v>
          </cell>
        </row>
        <row r="1812">
          <cell r="J1812">
            <v>2</v>
          </cell>
          <cell r="K1812">
            <v>2</v>
          </cell>
          <cell r="N1812">
            <v>-17308.89</v>
          </cell>
          <cell r="Q1812" t="str">
            <v>2016_01</v>
          </cell>
        </row>
        <row r="1813">
          <cell r="J1813">
            <v>2</v>
          </cell>
          <cell r="K1813">
            <v>2</v>
          </cell>
          <cell r="N1813">
            <v>-17070.77</v>
          </cell>
          <cell r="Q1813" t="str">
            <v>2016_02</v>
          </cell>
        </row>
        <row r="1814">
          <cell r="J1814">
            <v>2</v>
          </cell>
          <cell r="K1814">
            <v>2</v>
          </cell>
          <cell r="N1814">
            <v>-17553.3</v>
          </cell>
          <cell r="Q1814" t="str">
            <v>2016_03</v>
          </cell>
        </row>
        <row r="1815">
          <cell r="J1815">
            <v>2</v>
          </cell>
          <cell r="K1815">
            <v>2</v>
          </cell>
          <cell r="N1815">
            <v>-17367.310000000001</v>
          </cell>
          <cell r="Q1815" t="str">
            <v>2016_04</v>
          </cell>
        </row>
        <row r="1816">
          <cell r="J1816">
            <v>2</v>
          </cell>
          <cell r="K1816">
            <v>2</v>
          </cell>
          <cell r="N1816">
            <v>-19517.97</v>
          </cell>
          <cell r="Q1816" t="str">
            <v>2016_05</v>
          </cell>
        </row>
        <row r="1817">
          <cell r="J1817">
            <v>2</v>
          </cell>
          <cell r="K1817">
            <v>2</v>
          </cell>
          <cell r="N1817">
            <v>-22090.87</v>
          </cell>
          <cell r="Q1817" t="str">
            <v>2016_06</v>
          </cell>
        </row>
        <row r="1818">
          <cell r="J1818">
            <v>2</v>
          </cell>
          <cell r="K1818">
            <v>2</v>
          </cell>
          <cell r="N1818">
            <v>-26698.58</v>
          </cell>
          <cell r="Q1818" t="str">
            <v>2016_07</v>
          </cell>
        </row>
        <row r="1819">
          <cell r="J1819">
            <v>2</v>
          </cell>
          <cell r="K1819">
            <v>2</v>
          </cell>
          <cell r="N1819">
            <v>-24735.53</v>
          </cell>
          <cell r="Q1819" t="str">
            <v>2016_08</v>
          </cell>
        </row>
        <row r="1820">
          <cell r="J1820">
            <v>2</v>
          </cell>
          <cell r="K1820">
            <v>2</v>
          </cell>
          <cell r="N1820">
            <v>-20238.34</v>
          </cell>
          <cell r="Q1820" t="str">
            <v>2016_09</v>
          </cell>
        </row>
        <row r="1821">
          <cell r="J1821">
            <v>16</v>
          </cell>
          <cell r="K1821">
            <v>16</v>
          </cell>
          <cell r="N1821">
            <v>0</v>
          </cell>
          <cell r="Q1821" t="str">
            <v>2015_10</v>
          </cell>
        </row>
        <row r="1822">
          <cell r="J1822">
            <v>16</v>
          </cell>
          <cell r="K1822">
            <v>16</v>
          </cell>
          <cell r="N1822">
            <v>0</v>
          </cell>
          <cell r="Q1822" t="str">
            <v>2015_11</v>
          </cell>
        </row>
        <row r="1823">
          <cell r="J1823">
            <v>16</v>
          </cell>
          <cell r="K1823">
            <v>16</v>
          </cell>
          <cell r="N1823">
            <v>0</v>
          </cell>
          <cell r="Q1823" t="str">
            <v>2015_12</v>
          </cell>
        </row>
        <row r="1824">
          <cell r="J1824">
            <v>2</v>
          </cell>
          <cell r="K1824">
            <v>2</v>
          </cell>
          <cell r="N1824">
            <v>116.37</v>
          </cell>
          <cell r="Q1824" t="str">
            <v>2015_10</v>
          </cell>
        </row>
        <row r="1825">
          <cell r="J1825">
            <v>2</v>
          </cell>
          <cell r="K1825">
            <v>2</v>
          </cell>
          <cell r="N1825">
            <v>-68.5</v>
          </cell>
          <cell r="Q1825" t="str">
            <v>2015_11</v>
          </cell>
        </row>
        <row r="1826">
          <cell r="J1826">
            <v>2</v>
          </cell>
          <cell r="K1826">
            <v>2</v>
          </cell>
          <cell r="N1826">
            <v>27.22</v>
          </cell>
          <cell r="Q1826" t="str">
            <v>2015_12</v>
          </cell>
        </row>
        <row r="1827">
          <cell r="J1827">
            <v>2</v>
          </cell>
          <cell r="K1827">
            <v>2</v>
          </cell>
          <cell r="N1827">
            <v>-77.89</v>
          </cell>
          <cell r="Q1827" t="str">
            <v>2016_01</v>
          </cell>
        </row>
        <row r="1828">
          <cell r="J1828">
            <v>2</v>
          </cell>
          <cell r="K1828">
            <v>2</v>
          </cell>
          <cell r="N1828">
            <v>368</v>
          </cell>
          <cell r="Q1828" t="str">
            <v>2016_02</v>
          </cell>
        </row>
        <row r="1829">
          <cell r="J1829">
            <v>2</v>
          </cell>
          <cell r="K1829">
            <v>2</v>
          </cell>
          <cell r="N1829">
            <v>-452.24</v>
          </cell>
          <cell r="Q1829" t="str">
            <v>2016_03</v>
          </cell>
        </row>
        <row r="1830">
          <cell r="J1830">
            <v>2</v>
          </cell>
          <cell r="K1830">
            <v>2</v>
          </cell>
          <cell r="N1830">
            <v>-93.24</v>
          </cell>
          <cell r="Q1830" t="str">
            <v>2016_04</v>
          </cell>
        </row>
        <row r="1831">
          <cell r="J1831">
            <v>2</v>
          </cell>
          <cell r="K1831">
            <v>2</v>
          </cell>
          <cell r="N1831">
            <v>169.93</v>
          </cell>
          <cell r="Q1831" t="str">
            <v>2016_05</v>
          </cell>
        </row>
        <row r="1832">
          <cell r="J1832">
            <v>2</v>
          </cell>
          <cell r="K1832">
            <v>2</v>
          </cell>
          <cell r="N1832">
            <v>-90</v>
          </cell>
          <cell r="Q1832" t="str">
            <v>2016_06</v>
          </cell>
        </row>
        <row r="1833">
          <cell r="J1833">
            <v>2</v>
          </cell>
          <cell r="K1833">
            <v>2</v>
          </cell>
          <cell r="N1833">
            <v>55.84</v>
          </cell>
          <cell r="Q1833" t="str">
            <v>2016_07</v>
          </cell>
        </row>
        <row r="1834">
          <cell r="J1834">
            <v>2</v>
          </cell>
          <cell r="K1834">
            <v>2</v>
          </cell>
          <cell r="N1834">
            <v>-129.9</v>
          </cell>
          <cell r="Q1834" t="str">
            <v>2016_08</v>
          </cell>
        </row>
        <row r="1835">
          <cell r="J1835">
            <v>2</v>
          </cell>
          <cell r="K1835">
            <v>2</v>
          </cell>
          <cell r="N1835">
            <v>687.49</v>
          </cell>
          <cell r="Q1835" t="str">
            <v>2016_09</v>
          </cell>
        </row>
        <row r="1836">
          <cell r="J1836">
            <v>2</v>
          </cell>
          <cell r="K1836">
            <v>2</v>
          </cell>
          <cell r="N1836">
            <v>-5751</v>
          </cell>
          <cell r="Q1836" t="str">
            <v>2015_10</v>
          </cell>
        </row>
        <row r="1837">
          <cell r="J1837">
            <v>2</v>
          </cell>
          <cell r="K1837">
            <v>2</v>
          </cell>
          <cell r="N1837">
            <v>-5197.3900000000003</v>
          </cell>
          <cell r="Q1837" t="str">
            <v>2015_11</v>
          </cell>
        </row>
        <row r="1838">
          <cell r="J1838">
            <v>2</v>
          </cell>
          <cell r="K1838">
            <v>2</v>
          </cell>
          <cell r="N1838">
            <v>-5955.25</v>
          </cell>
          <cell r="Q1838" t="str">
            <v>2015_12</v>
          </cell>
        </row>
        <row r="1839">
          <cell r="J1839">
            <v>2</v>
          </cell>
          <cell r="K1839">
            <v>2</v>
          </cell>
          <cell r="N1839">
            <v>-5391.89</v>
          </cell>
          <cell r="Q1839" t="str">
            <v>2016_01</v>
          </cell>
        </row>
        <row r="1840">
          <cell r="J1840">
            <v>2</v>
          </cell>
          <cell r="K1840">
            <v>2</v>
          </cell>
          <cell r="N1840">
            <v>-5767.73</v>
          </cell>
          <cell r="Q1840" t="str">
            <v>2016_02</v>
          </cell>
        </row>
        <row r="1841">
          <cell r="J1841">
            <v>2</v>
          </cell>
          <cell r="K1841">
            <v>2</v>
          </cell>
          <cell r="N1841">
            <v>-5776.21</v>
          </cell>
          <cell r="Q1841" t="str">
            <v>2016_03</v>
          </cell>
        </row>
        <row r="1842">
          <cell r="J1842">
            <v>2</v>
          </cell>
          <cell r="K1842">
            <v>2</v>
          </cell>
          <cell r="N1842">
            <v>-5716.65</v>
          </cell>
          <cell r="Q1842" t="str">
            <v>2016_04</v>
          </cell>
        </row>
        <row r="1843">
          <cell r="J1843">
            <v>2</v>
          </cell>
          <cell r="K1843">
            <v>2</v>
          </cell>
          <cell r="N1843">
            <v>-6449.6</v>
          </cell>
          <cell r="Q1843" t="str">
            <v>2016_05</v>
          </cell>
        </row>
        <row r="1844">
          <cell r="J1844">
            <v>2</v>
          </cell>
          <cell r="K1844">
            <v>2</v>
          </cell>
          <cell r="N1844">
            <v>-6385.24</v>
          </cell>
          <cell r="Q1844" t="str">
            <v>2016_06</v>
          </cell>
        </row>
        <row r="1845">
          <cell r="J1845">
            <v>2</v>
          </cell>
          <cell r="K1845">
            <v>2</v>
          </cell>
          <cell r="N1845">
            <v>-7672.11</v>
          </cell>
          <cell r="Q1845" t="str">
            <v>2016_07</v>
          </cell>
        </row>
        <row r="1846">
          <cell r="J1846">
            <v>2</v>
          </cell>
          <cell r="K1846">
            <v>2</v>
          </cell>
          <cell r="N1846">
            <v>-6720.26</v>
          </cell>
          <cell r="Q1846" t="str">
            <v>2016_08</v>
          </cell>
        </row>
        <row r="1847">
          <cell r="J1847">
            <v>2</v>
          </cell>
          <cell r="K1847">
            <v>2</v>
          </cell>
          <cell r="N1847">
            <v>-6978.7</v>
          </cell>
          <cell r="Q1847" t="str">
            <v>2016_09</v>
          </cell>
        </row>
        <row r="1848">
          <cell r="J1848">
            <v>18</v>
          </cell>
          <cell r="K1848">
            <v>18</v>
          </cell>
          <cell r="N1848">
            <v>-1500.4</v>
          </cell>
          <cell r="Q1848" t="str">
            <v>2015_10</v>
          </cell>
        </row>
        <row r="1849">
          <cell r="J1849">
            <v>18</v>
          </cell>
          <cell r="K1849">
            <v>18</v>
          </cell>
          <cell r="N1849">
            <v>-2953.67</v>
          </cell>
          <cell r="Q1849" t="str">
            <v>2015_11</v>
          </cell>
        </row>
        <row r="1850">
          <cell r="J1850">
            <v>18</v>
          </cell>
          <cell r="K1850">
            <v>18</v>
          </cell>
          <cell r="N1850">
            <v>-1684.77</v>
          </cell>
          <cell r="Q1850" t="str">
            <v>2015_12</v>
          </cell>
        </row>
        <row r="1851">
          <cell r="J1851">
            <v>18</v>
          </cell>
          <cell r="K1851">
            <v>18</v>
          </cell>
          <cell r="N1851">
            <v>-2767.17</v>
          </cell>
          <cell r="Q1851" t="str">
            <v>2016_01</v>
          </cell>
        </row>
        <row r="1852">
          <cell r="J1852">
            <v>18</v>
          </cell>
          <cell r="K1852">
            <v>18</v>
          </cell>
          <cell r="N1852">
            <v>-2224.52</v>
          </cell>
          <cell r="Q1852" t="str">
            <v>2016_02</v>
          </cell>
        </row>
        <row r="1853">
          <cell r="J1853">
            <v>18</v>
          </cell>
          <cell r="K1853">
            <v>18</v>
          </cell>
          <cell r="N1853">
            <v>-2795.12</v>
          </cell>
          <cell r="Q1853" t="str">
            <v>2016_03</v>
          </cell>
        </row>
        <row r="1854">
          <cell r="J1854">
            <v>18</v>
          </cell>
          <cell r="K1854">
            <v>18</v>
          </cell>
          <cell r="N1854">
            <v>-1806.97</v>
          </cell>
          <cell r="Q1854" t="str">
            <v>2016_04</v>
          </cell>
        </row>
        <row r="1855">
          <cell r="J1855">
            <v>18</v>
          </cell>
          <cell r="K1855">
            <v>18</v>
          </cell>
          <cell r="N1855">
            <v>-1296.71</v>
          </cell>
          <cell r="Q1855" t="str">
            <v>2016_05</v>
          </cell>
        </row>
        <row r="1856">
          <cell r="J1856">
            <v>18</v>
          </cell>
          <cell r="K1856">
            <v>18</v>
          </cell>
          <cell r="N1856">
            <v>-996.06</v>
          </cell>
          <cell r="Q1856" t="str">
            <v>2016_06</v>
          </cell>
        </row>
        <row r="1857">
          <cell r="J1857">
            <v>18</v>
          </cell>
          <cell r="K1857">
            <v>18</v>
          </cell>
          <cell r="N1857">
            <v>-789.94</v>
          </cell>
          <cell r="Q1857" t="str">
            <v>2016_07</v>
          </cell>
        </row>
        <row r="1858">
          <cell r="J1858">
            <v>18</v>
          </cell>
          <cell r="K1858">
            <v>18</v>
          </cell>
          <cell r="N1858">
            <v>-623.04999999999995</v>
          </cell>
          <cell r="Q1858" t="str">
            <v>2016_08</v>
          </cell>
        </row>
        <row r="1859">
          <cell r="J1859">
            <v>18</v>
          </cell>
          <cell r="K1859">
            <v>18</v>
          </cell>
          <cell r="N1859">
            <v>-1731.58</v>
          </cell>
          <cell r="Q1859" t="str">
            <v>2016_09</v>
          </cell>
        </row>
        <row r="1860">
          <cell r="J1860">
            <v>18</v>
          </cell>
          <cell r="K1860">
            <v>18</v>
          </cell>
          <cell r="N1860">
            <v>-4537.13</v>
          </cell>
          <cell r="Q1860" t="str">
            <v>2015_10</v>
          </cell>
        </row>
        <row r="1861">
          <cell r="J1861">
            <v>18</v>
          </cell>
          <cell r="K1861">
            <v>18</v>
          </cell>
          <cell r="N1861">
            <v>-6537.09</v>
          </cell>
          <cell r="Q1861" t="str">
            <v>2015_11</v>
          </cell>
        </row>
        <row r="1862">
          <cell r="J1862">
            <v>18</v>
          </cell>
          <cell r="K1862">
            <v>18</v>
          </cell>
          <cell r="N1862">
            <v>-8075.27</v>
          </cell>
          <cell r="Q1862" t="str">
            <v>2015_12</v>
          </cell>
        </row>
        <row r="1863">
          <cell r="J1863">
            <v>18</v>
          </cell>
          <cell r="K1863">
            <v>18</v>
          </cell>
          <cell r="N1863">
            <v>-8184.98</v>
          </cell>
          <cell r="Q1863" t="str">
            <v>2016_01</v>
          </cell>
        </row>
        <row r="1864">
          <cell r="J1864">
            <v>18</v>
          </cell>
          <cell r="K1864">
            <v>18</v>
          </cell>
          <cell r="N1864">
            <v>-7091.38</v>
          </cell>
          <cell r="Q1864" t="str">
            <v>2016_02</v>
          </cell>
        </row>
        <row r="1865">
          <cell r="J1865">
            <v>18</v>
          </cell>
          <cell r="K1865">
            <v>18</v>
          </cell>
          <cell r="N1865">
            <v>-4243.8100000000004</v>
          </cell>
          <cell r="Q1865" t="str">
            <v>2016_03</v>
          </cell>
        </row>
        <row r="1866">
          <cell r="J1866">
            <v>18</v>
          </cell>
          <cell r="K1866">
            <v>18</v>
          </cell>
          <cell r="N1866">
            <v>-6314.37</v>
          </cell>
          <cell r="Q1866" t="str">
            <v>2016_04</v>
          </cell>
        </row>
        <row r="1867">
          <cell r="J1867">
            <v>18</v>
          </cell>
          <cell r="K1867">
            <v>18</v>
          </cell>
          <cell r="N1867">
            <v>-6402.35</v>
          </cell>
          <cell r="Q1867" t="str">
            <v>2016_05</v>
          </cell>
        </row>
        <row r="1868">
          <cell r="J1868">
            <v>18</v>
          </cell>
          <cell r="K1868">
            <v>18</v>
          </cell>
          <cell r="N1868">
            <v>-5942.12</v>
          </cell>
          <cell r="Q1868" t="str">
            <v>2016_06</v>
          </cell>
        </row>
        <row r="1869">
          <cell r="J1869">
            <v>18</v>
          </cell>
          <cell r="K1869">
            <v>18</v>
          </cell>
          <cell r="N1869">
            <v>-4034.86</v>
          </cell>
          <cell r="Q1869" t="str">
            <v>2016_07</v>
          </cell>
        </row>
        <row r="1870">
          <cell r="J1870">
            <v>18</v>
          </cell>
          <cell r="K1870">
            <v>18</v>
          </cell>
          <cell r="N1870">
            <v>-5359.71</v>
          </cell>
          <cell r="Q1870" t="str">
            <v>2016_08</v>
          </cell>
        </row>
        <row r="1871">
          <cell r="J1871">
            <v>18</v>
          </cell>
          <cell r="K1871">
            <v>18</v>
          </cell>
          <cell r="N1871">
            <v>-6348.55</v>
          </cell>
          <cell r="Q1871" t="str">
            <v>2016_09</v>
          </cell>
        </row>
        <row r="1872">
          <cell r="J1872">
            <v>18</v>
          </cell>
          <cell r="K1872">
            <v>18</v>
          </cell>
          <cell r="N1872">
            <v>-2</v>
          </cell>
          <cell r="Q1872" t="str">
            <v>2015_11</v>
          </cell>
        </row>
        <row r="1873">
          <cell r="J1873">
            <v>18</v>
          </cell>
          <cell r="K1873">
            <v>18</v>
          </cell>
          <cell r="N1873">
            <v>0</v>
          </cell>
          <cell r="Q1873" t="str">
            <v>2015_12</v>
          </cell>
        </row>
        <row r="1874">
          <cell r="J1874">
            <v>18</v>
          </cell>
          <cell r="K1874">
            <v>18</v>
          </cell>
          <cell r="N1874">
            <v>-1</v>
          </cell>
          <cell r="Q1874" t="str">
            <v>2016_01</v>
          </cell>
        </row>
        <row r="1875">
          <cell r="J1875">
            <v>18</v>
          </cell>
          <cell r="K1875">
            <v>18</v>
          </cell>
          <cell r="N1875">
            <v>0</v>
          </cell>
          <cell r="Q1875" t="str">
            <v>2016_02</v>
          </cell>
        </row>
        <row r="1876">
          <cell r="J1876">
            <v>18</v>
          </cell>
          <cell r="K1876">
            <v>18</v>
          </cell>
          <cell r="N1876">
            <v>-1</v>
          </cell>
          <cell r="Q1876" t="str">
            <v>2016_03</v>
          </cell>
        </row>
        <row r="1877">
          <cell r="J1877">
            <v>18</v>
          </cell>
          <cell r="K1877">
            <v>18</v>
          </cell>
          <cell r="N1877">
            <v>-1</v>
          </cell>
          <cell r="Q1877" t="str">
            <v>2016_04</v>
          </cell>
        </row>
        <row r="1878">
          <cell r="J1878">
            <v>18</v>
          </cell>
          <cell r="K1878">
            <v>18</v>
          </cell>
          <cell r="N1878">
            <v>0</v>
          </cell>
          <cell r="Q1878" t="str">
            <v>2016_05</v>
          </cell>
        </row>
        <row r="1879">
          <cell r="J1879">
            <v>18</v>
          </cell>
          <cell r="K1879">
            <v>18</v>
          </cell>
          <cell r="N1879">
            <v>-1</v>
          </cell>
          <cell r="Q1879" t="str">
            <v>2016_06</v>
          </cell>
        </row>
        <row r="1880">
          <cell r="J1880">
            <v>18</v>
          </cell>
          <cell r="K1880">
            <v>18</v>
          </cell>
          <cell r="N1880">
            <v>0</v>
          </cell>
          <cell r="Q1880" t="str">
            <v>2016_07</v>
          </cell>
        </row>
        <row r="1881">
          <cell r="J1881">
            <v>18</v>
          </cell>
          <cell r="K1881">
            <v>18</v>
          </cell>
          <cell r="N1881">
            <v>-1</v>
          </cell>
          <cell r="Q1881" t="str">
            <v>2016_08</v>
          </cell>
        </row>
        <row r="1882">
          <cell r="J1882">
            <v>18</v>
          </cell>
          <cell r="K1882">
            <v>18</v>
          </cell>
          <cell r="N1882">
            <v>0</v>
          </cell>
          <cell r="Q1882" t="str">
            <v>2016_09</v>
          </cell>
        </row>
        <row r="1883">
          <cell r="J1883">
            <v>1</v>
          </cell>
          <cell r="K1883">
            <v>1</v>
          </cell>
          <cell r="N1883">
            <v>0</v>
          </cell>
          <cell r="Q1883" t="str">
            <v>2015_10</v>
          </cell>
        </row>
        <row r="1884">
          <cell r="J1884">
            <v>1</v>
          </cell>
          <cell r="K1884">
            <v>1</v>
          </cell>
          <cell r="N1884">
            <v>0</v>
          </cell>
          <cell r="Q1884" t="str">
            <v>2015_11</v>
          </cell>
        </row>
        <row r="1885">
          <cell r="J1885">
            <v>1</v>
          </cell>
          <cell r="K1885">
            <v>1</v>
          </cell>
          <cell r="N1885">
            <v>0</v>
          </cell>
          <cell r="Q1885" t="str">
            <v>2015_12</v>
          </cell>
        </row>
        <row r="1886">
          <cell r="J1886">
            <v>1</v>
          </cell>
          <cell r="K1886">
            <v>1</v>
          </cell>
          <cell r="N1886">
            <v>-59562.71</v>
          </cell>
          <cell r="Q1886" t="str">
            <v>2015_10</v>
          </cell>
        </row>
        <row r="1887">
          <cell r="J1887">
            <v>1</v>
          </cell>
          <cell r="K1887">
            <v>1</v>
          </cell>
          <cell r="N1887">
            <v>-58660.92</v>
          </cell>
          <cell r="Q1887" t="str">
            <v>2015_11</v>
          </cell>
        </row>
        <row r="1888">
          <cell r="J1888">
            <v>1</v>
          </cell>
          <cell r="K1888">
            <v>1</v>
          </cell>
          <cell r="N1888">
            <v>-58989.42</v>
          </cell>
          <cell r="Q1888" t="str">
            <v>2015_12</v>
          </cell>
        </row>
        <row r="1889">
          <cell r="J1889">
            <v>1</v>
          </cell>
          <cell r="K1889">
            <v>1</v>
          </cell>
          <cell r="N1889">
            <v>-58613.18</v>
          </cell>
          <cell r="Q1889" t="str">
            <v>2016_01</v>
          </cell>
        </row>
        <row r="1890">
          <cell r="J1890">
            <v>1</v>
          </cell>
          <cell r="K1890">
            <v>1</v>
          </cell>
          <cell r="N1890">
            <v>680.88</v>
          </cell>
          <cell r="Q1890" t="str">
            <v>2016_02</v>
          </cell>
        </row>
        <row r="1891">
          <cell r="J1891">
            <v>1</v>
          </cell>
          <cell r="K1891">
            <v>1</v>
          </cell>
          <cell r="N1891">
            <v>-60307.68</v>
          </cell>
          <cell r="Q1891" t="str">
            <v>2016_03</v>
          </cell>
        </row>
        <row r="1892">
          <cell r="J1892">
            <v>1</v>
          </cell>
          <cell r="K1892">
            <v>1</v>
          </cell>
          <cell r="N1892">
            <v>-59691</v>
          </cell>
          <cell r="Q1892" t="str">
            <v>2016_04</v>
          </cell>
        </row>
        <row r="1893">
          <cell r="J1893">
            <v>1</v>
          </cell>
          <cell r="K1893">
            <v>1</v>
          </cell>
          <cell r="N1893">
            <v>-62439.6</v>
          </cell>
          <cell r="Q1893" t="str">
            <v>2016_05</v>
          </cell>
        </row>
        <row r="1894">
          <cell r="J1894">
            <v>1</v>
          </cell>
          <cell r="K1894">
            <v>1</v>
          </cell>
          <cell r="N1894">
            <v>-61149.35</v>
          </cell>
          <cell r="Q1894" t="str">
            <v>2016_06</v>
          </cell>
        </row>
        <row r="1895">
          <cell r="J1895">
            <v>1</v>
          </cell>
          <cell r="K1895">
            <v>1</v>
          </cell>
          <cell r="N1895">
            <v>-62139.41</v>
          </cell>
          <cell r="Q1895" t="str">
            <v>2016_07</v>
          </cell>
        </row>
        <row r="1896">
          <cell r="J1896">
            <v>1</v>
          </cell>
          <cell r="K1896">
            <v>1</v>
          </cell>
          <cell r="N1896">
            <v>-61473.09</v>
          </cell>
          <cell r="Q1896" t="str">
            <v>2016_08</v>
          </cell>
        </row>
        <row r="1897">
          <cell r="J1897">
            <v>1</v>
          </cell>
          <cell r="K1897">
            <v>1</v>
          </cell>
          <cell r="N1897">
            <v>-62506.76</v>
          </cell>
          <cell r="Q1897" t="str">
            <v>2016_09</v>
          </cell>
        </row>
        <row r="1898">
          <cell r="J1898">
            <v>1</v>
          </cell>
          <cell r="K1898">
            <v>1</v>
          </cell>
          <cell r="N1898">
            <v>-25884.27</v>
          </cell>
          <cell r="Q1898" t="str">
            <v>2015_10</v>
          </cell>
        </row>
        <row r="1899">
          <cell r="J1899">
            <v>1</v>
          </cell>
          <cell r="K1899">
            <v>1</v>
          </cell>
          <cell r="N1899">
            <v>-27362</v>
          </cell>
          <cell r="Q1899" t="str">
            <v>2015_11</v>
          </cell>
        </row>
        <row r="1900">
          <cell r="J1900">
            <v>1</v>
          </cell>
          <cell r="K1900">
            <v>1</v>
          </cell>
          <cell r="N1900">
            <v>-24988.2</v>
          </cell>
          <cell r="Q1900" t="str">
            <v>2015_12</v>
          </cell>
        </row>
        <row r="1901">
          <cell r="J1901">
            <v>1</v>
          </cell>
          <cell r="K1901">
            <v>1</v>
          </cell>
          <cell r="N1901">
            <v>-27294.799999999999</v>
          </cell>
          <cell r="Q1901" t="str">
            <v>2016_01</v>
          </cell>
        </row>
        <row r="1902">
          <cell r="J1902">
            <v>1</v>
          </cell>
          <cell r="K1902">
            <v>1</v>
          </cell>
          <cell r="N1902">
            <v>614.63</v>
          </cell>
          <cell r="Q1902" t="str">
            <v>2016_02</v>
          </cell>
        </row>
        <row r="1903">
          <cell r="J1903">
            <v>1</v>
          </cell>
          <cell r="K1903">
            <v>1</v>
          </cell>
          <cell r="N1903">
            <v>-26132.14</v>
          </cell>
          <cell r="Q1903" t="str">
            <v>2016_03</v>
          </cell>
        </row>
        <row r="1904">
          <cell r="J1904">
            <v>1</v>
          </cell>
          <cell r="K1904">
            <v>1</v>
          </cell>
          <cell r="N1904">
            <v>-27185.75</v>
          </cell>
          <cell r="Q1904" t="str">
            <v>2016_04</v>
          </cell>
        </row>
        <row r="1905">
          <cell r="J1905">
            <v>1</v>
          </cell>
          <cell r="K1905">
            <v>1</v>
          </cell>
          <cell r="N1905">
            <v>-26383.200000000001</v>
          </cell>
          <cell r="Q1905" t="str">
            <v>2016_05</v>
          </cell>
        </row>
        <row r="1906">
          <cell r="J1906">
            <v>1</v>
          </cell>
          <cell r="K1906">
            <v>1</v>
          </cell>
          <cell r="N1906">
            <v>-27700.58</v>
          </cell>
          <cell r="Q1906" t="str">
            <v>2016_06</v>
          </cell>
        </row>
        <row r="1907">
          <cell r="J1907">
            <v>1</v>
          </cell>
          <cell r="K1907">
            <v>1</v>
          </cell>
          <cell r="N1907">
            <v>-26791.59</v>
          </cell>
          <cell r="Q1907" t="str">
            <v>2016_07</v>
          </cell>
        </row>
        <row r="1908">
          <cell r="J1908">
            <v>1</v>
          </cell>
          <cell r="K1908">
            <v>1</v>
          </cell>
          <cell r="N1908">
            <v>-27138.34</v>
          </cell>
          <cell r="Q1908" t="str">
            <v>2016_08</v>
          </cell>
        </row>
        <row r="1909">
          <cell r="J1909">
            <v>1</v>
          </cell>
          <cell r="K1909">
            <v>1</v>
          </cell>
          <cell r="N1909">
            <v>-26806.18</v>
          </cell>
          <cell r="Q1909" t="str">
            <v>2016_09</v>
          </cell>
        </row>
        <row r="1910">
          <cell r="J1910">
            <v>1</v>
          </cell>
          <cell r="K1910">
            <v>1</v>
          </cell>
          <cell r="N1910">
            <v>-20717.689999999999</v>
          </cell>
          <cell r="Q1910" t="str">
            <v>2015_10</v>
          </cell>
        </row>
        <row r="1911">
          <cell r="J1911">
            <v>1</v>
          </cell>
          <cell r="K1911">
            <v>1</v>
          </cell>
          <cell r="N1911">
            <v>-21796.83</v>
          </cell>
          <cell r="Q1911" t="str">
            <v>2015_11</v>
          </cell>
        </row>
        <row r="1912">
          <cell r="J1912">
            <v>1</v>
          </cell>
          <cell r="K1912">
            <v>1</v>
          </cell>
          <cell r="N1912">
            <v>-20709.740000000002</v>
          </cell>
          <cell r="Q1912" t="str">
            <v>2015_12</v>
          </cell>
        </row>
        <row r="1913">
          <cell r="J1913">
            <v>1</v>
          </cell>
          <cell r="K1913">
            <v>1</v>
          </cell>
          <cell r="N1913">
            <v>-21907.85</v>
          </cell>
          <cell r="Q1913" t="str">
            <v>2016_01</v>
          </cell>
        </row>
        <row r="1914">
          <cell r="J1914">
            <v>1</v>
          </cell>
          <cell r="K1914">
            <v>1</v>
          </cell>
          <cell r="N1914">
            <v>453.09</v>
          </cell>
          <cell r="Q1914" t="str">
            <v>2016_02</v>
          </cell>
        </row>
        <row r="1915">
          <cell r="J1915">
            <v>1</v>
          </cell>
          <cell r="K1915">
            <v>1</v>
          </cell>
          <cell r="N1915">
            <v>-20876.57</v>
          </cell>
          <cell r="Q1915" t="str">
            <v>2016_03</v>
          </cell>
        </row>
        <row r="1916">
          <cell r="J1916">
            <v>1</v>
          </cell>
          <cell r="K1916">
            <v>1</v>
          </cell>
          <cell r="N1916">
            <v>-22406.86</v>
          </cell>
          <cell r="Q1916" t="str">
            <v>2016_04</v>
          </cell>
        </row>
        <row r="1917">
          <cell r="J1917">
            <v>1</v>
          </cell>
          <cell r="K1917">
            <v>1</v>
          </cell>
          <cell r="N1917">
            <v>-21212.31</v>
          </cell>
          <cell r="Q1917" t="str">
            <v>2016_05</v>
          </cell>
        </row>
        <row r="1918">
          <cell r="J1918">
            <v>1</v>
          </cell>
          <cell r="K1918">
            <v>1</v>
          </cell>
          <cell r="N1918">
            <v>-21518.05</v>
          </cell>
          <cell r="Q1918" t="str">
            <v>2016_06</v>
          </cell>
        </row>
        <row r="1919">
          <cell r="J1919">
            <v>1</v>
          </cell>
          <cell r="K1919">
            <v>1</v>
          </cell>
          <cell r="N1919">
            <v>-21545.81</v>
          </cell>
          <cell r="Q1919" t="str">
            <v>2016_07</v>
          </cell>
        </row>
        <row r="1920">
          <cell r="J1920">
            <v>1</v>
          </cell>
          <cell r="K1920">
            <v>1</v>
          </cell>
          <cell r="N1920">
            <v>-21817.34</v>
          </cell>
          <cell r="Q1920" t="str">
            <v>2016_08</v>
          </cell>
        </row>
        <row r="1921">
          <cell r="J1921">
            <v>1</v>
          </cell>
          <cell r="K1921">
            <v>1</v>
          </cell>
          <cell r="N1921">
            <v>-21487.68</v>
          </cell>
          <cell r="Q1921" t="str">
            <v>2016_09</v>
          </cell>
        </row>
        <row r="1922">
          <cell r="J1922">
            <v>6</v>
          </cell>
          <cell r="K1922">
            <v>3</v>
          </cell>
          <cell r="N1922">
            <v>0</v>
          </cell>
          <cell r="Q1922" t="str">
            <v>2015_10</v>
          </cell>
        </row>
        <row r="1923">
          <cell r="J1923">
            <v>6</v>
          </cell>
          <cell r="K1923">
            <v>3</v>
          </cell>
          <cell r="N1923">
            <v>0</v>
          </cell>
          <cell r="Q1923" t="str">
            <v>2015_11</v>
          </cell>
        </row>
        <row r="1924">
          <cell r="J1924">
            <v>6</v>
          </cell>
          <cell r="K1924">
            <v>3</v>
          </cell>
          <cell r="N1924">
            <v>0</v>
          </cell>
          <cell r="Q1924" t="str">
            <v>2015_12</v>
          </cell>
        </row>
        <row r="1925">
          <cell r="J1925">
            <v>6</v>
          </cell>
          <cell r="K1925">
            <v>3</v>
          </cell>
          <cell r="N1925">
            <v>-1756.63</v>
          </cell>
          <cell r="Q1925" t="str">
            <v>2015_10</v>
          </cell>
        </row>
        <row r="1926">
          <cell r="J1926">
            <v>6</v>
          </cell>
          <cell r="K1926">
            <v>3</v>
          </cell>
          <cell r="N1926">
            <v>-742.09</v>
          </cell>
          <cell r="Q1926" t="str">
            <v>2015_11</v>
          </cell>
        </row>
        <row r="1927">
          <cell r="J1927">
            <v>6</v>
          </cell>
          <cell r="K1927">
            <v>3</v>
          </cell>
          <cell r="N1927">
            <v>-65491.77</v>
          </cell>
          <cell r="Q1927" t="str">
            <v>2015_12</v>
          </cell>
        </row>
        <row r="1928">
          <cell r="J1928">
            <v>6</v>
          </cell>
          <cell r="K1928">
            <v>3</v>
          </cell>
          <cell r="N1928">
            <v>-70120.639999999999</v>
          </cell>
          <cell r="Q1928" t="str">
            <v>2016_01</v>
          </cell>
        </row>
        <row r="1929">
          <cell r="J1929">
            <v>6</v>
          </cell>
          <cell r="K1929">
            <v>3</v>
          </cell>
          <cell r="N1929">
            <v>-76359.960000000006</v>
          </cell>
          <cell r="Q1929" t="str">
            <v>2016_02</v>
          </cell>
        </row>
        <row r="1930">
          <cell r="J1930">
            <v>6</v>
          </cell>
          <cell r="K1930">
            <v>3</v>
          </cell>
          <cell r="N1930">
            <v>-83402.960000000006</v>
          </cell>
          <cell r="Q1930" t="str">
            <v>2016_03</v>
          </cell>
        </row>
        <row r="1931">
          <cell r="J1931">
            <v>6</v>
          </cell>
          <cell r="K1931">
            <v>3</v>
          </cell>
          <cell r="N1931">
            <v>-77603.91</v>
          </cell>
          <cell r="Q1931" t="str">
            <v>2016_04</v>
          </cell>
        </row>
        <row r="1932">
          <cell r="J1932">
            <v>6</v>
          </cell>
          <cell r="K1932">
            <v>3</v>
          </cell>
          <cell r="N1932">
            <v>-77497.22</v>
          </cell>
          <cell r="Q1932" t="str">
            <v>2016_05</v>
          </cell>
        </row>
        <row r="1933">
          <cell r="J1933">
            <v>6</v>
          </cell>
          <cell r="K1933">
            <v>3</v>
          </cell>
          <cell r="N1933">
            <v>-66826.61</v>
          </cell>
          <cell r="Q1933" t="str">
            <v>2016_06</v>
          </cell>
        </row>
        <row r="1934">
          <cell r="J1934">
            <v>6</v>
          </cell>
          <cell r="K1934">
            <v>3</v>
          </cell>
          <cell r="N1934">
            <v>-59871.05</v>
          </cell>
          <cell r="Q1934" t="str">
            <v>2016_07</v>
          </cell>
        </row>
        <row r="1935">
          <cell r="J1935">
            <v>6</v>
          </cell>
          <cell r="K1935">
            <v>3</v>
          </cell>
          <cell r="N1935">
            <v>-100812.3</v>
          </cell>
          <cell r="Q1935" t="str">
            <v>2016_08</v>
          </cell>
        </row>
        <row r="1936">
          <cell r="J1936">
            <v>6</v>
          </cell>
          <cell r="K1936">
            <v>3</v>
          </cell>
          <cell r="N1936">
            <v>-78795.820000000007</v>
          </cell>
          <cell r="Q1936" t="str">
            <v>2016_09</v>
          </cell>
        </row>
        <row r="1937">
          <cell r="J1937">
            <v>6</v>
          </cell>
          <cell r="K1937">
            <v>3.1</v>
          </cell>
          <cell r="N1937">
            <v>0</v>
          </cell>
          <cell r="Q1937" t="str">
            <v>2015_10</v>
          </cell>
        </row>
        <row r="1938">
          <cell r="J1938">
            <v>6</v>
          </cell>
          <cell r="K1938">
            <v>3.1</v>
          </cell>
          <cell r="N1938">
            <v>0</v>
          </cell>
          <cell r="Q1938" t="str">
            <v>2015_11</v>
          </cell>
        </row>
        <row r="1939">
          <cell r="J1939">
            <v>6</v>
          </cell>
          <cell r="K1939">
            <v>3.1</v>
          </cell>
          <cell r="N1939">
            <v>0</v>
          </cell>
          <cell r="Q1939" t="str">
            <v>2015_12</v>
          </cell>
        </row>
        <row r="1940">
          <cell r="J1940">
            <v>6</v>
          </cell>
          <cell r="K1940">
            <v>3.1</v>
          </cell>
          <cell r="N1940">
            <v>-59252.9</v>
          </cell>
          <cell r="Q1940" t="str">
            <v>2015_12</v>
          </cell>
        </row>
        <row r="1941">
          <cell r="J1941">
            <v>6</v>
          </cell>
          <cell r="K1941">
            <v>3.1</v>
          </cell>
          <cell r="N1941">
            <v>-46241.93</v>
          </cell>
          <cell r="Q1941" t="str">
            <v>2016_01</v>
          </cell>
        </row>
        <row r="1942">
          <cell r="J1942">
            <v>6</v>
          </cell>
          <cell r="K1942">
            <v>3.1</v>
          </cell>
          <cell r="N1942">
            <v>-58873.23</v>
          </cell>
          <cell r="Q1942" t="str">
            <v>2016_02</v>
          </cell>
        </row>
        <row r="1943">
          <cell r="J1943">
            <v>6</v>
          </cell>
          <cell r="K1943">
            <v>3.1</v>
          </cell>
          <cell r="N1943">
            <v>-73533.95</v>
          </cell>
          <cell r="Q1943" t="str">
            <v>2016_03</v>
          </cell>
        </row>
        <row r="1944">
          <cell r="J1944">
            <v>6</v>
          </cell>
          <cell r="K1944">
            <v>3.1</v>
          </cell>
          <cell r="N1944">
            <v>-51636.76</v>
          </cell>
          <cell r="Q1944" t="str">
            <v>2016_04</v>
          </cell>
        </row>
        <row r="1945">
          <cell r="J1945">
            <v>6</v>
          </cell>
          <cell r="K1945">
            <v>3.1</v>
          </cell>
          <cell r="N1945">
            <v>-50465.46</v>
          </cell>
          <cell r="Q1945" t="str">
            <v>2016_05</v>
          </cell>
        </row>
        <row r="1946">
          <cell r="J1946">
            <v>6</v>
          </cell>
          <cell r="K1946">
            <v>3.1</v>
          </cell>
          <cell r="N1946">
            <v>-68353.8</v>
          </cell>
          <cell r="Q1946" t="str">
            <v>2016_06</v>
          </cell>
        </row>
        <row r="1947">
          <cell r="J1947">
            <v>6</v>
          </cell>
          <cell r="K1947">
            <v>3.1</v>
          </cell>
          <cell r="N1947">
            <v>-63202.02</v>
          </cell>
          <cell r="Q1947" t="str">
            <v>2016_07</v>
          </cell>
        </row>
        <row r="1948">
          <cell r="J1948">
            <v>6</v>
          </cell>
          <cell r="K1948">
            <v>3.1</v>
          </cell>
          <cell r="N1948">
            <v>-79015.429999999993</v>
          </cell>
          <cell r="Q1948" t="str">
            <v>2016_08</v>
          </cell>
        </row>
        <row r="1949">
          <cell r="J1949">
            <v>6</v>
          </cell>
          <cell r="K1949">
            <v>3.1</v>
          </cell>
          <cell r="N1949">
            <v>-55303.8</v>
          </cell>
          <cell r="Q1949" t="str">
            <v>2016_09</v>
          </cell>
        </row>
        <row r="1950">
          <cell r="J1950">
            <v>6</v>
          </cell>
          <cell r="K1950">
            <v>6</v>
          </cell>
          <cell r="N1950">
            <v>314.42</v>
          </cell>
          <cell r="Q1950" t="str">
            <v>2015_10</v>
          </cell>
        </row>
        <row r="1951">
          <cell r="J1951">
            <v>6</v>
          </cell>
          <cell r="K1951">
            <v>6</v>
          </cell>
          <cell r="N1951">
            <v>635.28</v>
          </cell>
          <cell r="Q1951" t="str">
            <v>2015_11</v>
          </cell>
        </row>
        <row r="1952">
          <cell r="J1952">
            <v>6</v>
          </cell>
          <cell r="K1952">
            <v>6</v>
          </cell>
          <cell r="N1952">
            <v>-50</v>
          </cell>
          <cell r="Q1952" t="str">
            <v>2015_12</v>
          </cell>
        </row>
        <row r="1953">
          <cell r="J1953">
            <v>6</v>
          </cell>
          <cell r="K1953">
            <v>6</v>
          </cell>
          <cell r="N1953">
            <v>0</v>
          </cell>
          <cell r="Q1953" t="str">
            <v>2016_02</v>
          </cell>
        </row>
        <row r="1954">
          <cell r="J1954">
            <v>6</v>
          </cell>
          <cell r="K1954">
            <v>6</v>
          </cell>
          <cell r="N1954">
            <v>0</v>
          </cell>
          <cell r="Q1954" t="str">
            <v>2016_03</v>
          </cell>
        </row>
        <row r="1955">
          <cell r="J1955">
            <v>6</v>
          </cell>
          <cell r="K1955">
            <v>6</v>
          </cell>
          <cell r="N1955">
            <v>-350</v>
          </cell>
          <cell r="Q1955" t="str">
            <v>2016_04</v>
          </cell>
        </row>
        <row r="1956">
          <cell r="J1956">
            <v>6</v>
          </cell>
          <cell r="K1956">
            <v>6</v>
          </cell>
          <cell r="N1956">
            <v>0</v>
          </cell>
          <cell r="Q1956" t="str">
            <v>2016_05</v>
          </cell>
        </row>
        <row r="1957">
          <cell r="J1957">
            <v>6</v>
          </cell>
          <cell r="K1957">
            <v>6</v>
          </cell>
          <cell r="N1957">
            <v>0</v>
          </cell>
          <cell r="Q1957" t="str">
            <v>2016_06</v>
          </cell>
        </row>
        <row r="1958">
          <cell r="J1958">
            <v>6</v>
          </cell>
          <cell r="K1958">
            <v>6</v>
          </cell>
          <cell r="N1958">
            <v>0</v>
          </cell>
          <cell r="Q1958" t="str">
            <v>2016_07</v>
          </cell>
        </row>
        <row r="1959">
          <cell r="J1959">
            <v>6</v>
          </cell>
          <cell r="K1959">
            <v>6</v>
          </cell>
          <cell r="N1959">
            <v>0</v>
          </cell>
          <cell r="Q1959" t="str">
            <v>2016_08</v>
          </cell>
        </row>
        <row r="1960">
          <cell r="J1960">
            <v>6</v>
          </cell>
          <cell r="K1960">
            <v>6</v>
          </cell>
          <cell r="N1960">
            <v>0</v>
          </cell>
          <cell r="Q1960" t="str">
            <v>2016_09</v>
          </cell>
        </row>
        <row r="1961">
          <cell r="J1961">
            <v>6</v>
          </cell>
          <cell r="K1961">
            <v>6</v>
          </cell>
          <cell r="N1961">
            <v>-71183.460000000006</v>
          </cell>
          <cell r="Q1961" t="str">
            <v>2015_10</v>
          </cell>
        </row>
        <row r="1962">
          <cell r="J1962">
            <v>6</v>
          </cell>
          <cell r="K1962">
            <v>6</v>
          </cell>
          <cell r="N1962">
            <v>-67171.56</v>
          </cell>
          <cell r="Q1962" t="str">
            <v>2015_11</v>
          </cell>
        </row>
        <row r="1963">
          <cell r="J1963">
            <v>6</v>
          </cell>
          <cell r="K1963">
            <v>6</v>
          </cell>
          <cell r="N1963">
            <v>0</v>
          </cell>
          <cell r="Q1963" t="str">
            <v>2015_12</v>
          </cell>
        </row>
        <row r="1964">
          <cell r="J1964">
            <v>6</v>
          </cell>
          <cell r="K1964">
            <v>3.1</v>
          </cell>
          <cell r="N1964">
            <v>-69321.53</v>
          </cell>
          <cell r="Q1964" t="str">
            <v>2015_10</v>
          </cell>
        </row>
        <row r="1965">
          <cell r="J1965">
            <v>6</v>
          </cell>
          <cell r="K1965">
            <v>3.1</v>
          </cell>
          <cell r="N1965">
            <v>-57074.46</v>
          </cell>
          <cell r="Q1965" t="str">
            <v>2015_11</v>
          </cell>
        </row>
        <row r="1966">
          <cell r="J1966">
            <v>6</v>
          </cell>
          <cell r="K1966">
            <v>3.1</v>
          </cell>
          <cell r="N1966">
            <v>0</v>
          </cell>
          <cell r="Q1966" t="str">
            <v>2015_12</v>
          </cell>
        </row>
        <row r="1967">
          <cell r="J1967">
            <v>6</v>
          </cell>
          <cell r="K1967">
            <v>2</v>
          </cell>
          <cell r="N1967">
            <v>0</v>
          </cell>
          <cell r="Q1967" t="str">
            <v>2015_10</v>
          </cell>
        </row>
        <row r="1968">
          <cell r="J1968">
            <v>6</v>
          </cell>
          <cell r="K1968">
            <v>2</v>
          </cell>
          <cell r="N1968">
            <v>0</v>
          </cell>
          <cell r="Q1968" t="str">
            <v>2015_11</v>
          </cell>
        </row>
        <row r="1969">
          <cell r="J1969">
            <v>6</v>
          </cell>
          <cell r="K1969">
            <v>2</v>
          </cell>
          <cell r="N1969">
            <v>0</v>
          </cell>
          <cell r="Q1969" t="str">
            <v>2015_12</v>
          </cell>
        </row>
        <row r="1970">
          <cell r="J1970">
            <v>6</v>
          </cell>
          <cell r="K1970">
            <v>2</v>
          </cell>
          <cell r="N1970">
            <v>-222130.34</v>
          </cell>
          <cell r="Q1970" t="str">
            <v>2015_10</v>
          </cell>
        </row>
        <row r="1971">
          <cell r="J1971">
            <v>6</v>
          </cell>
          <cell r="K1971">
            <v>2</v>
          </cell>
          <cell r="N1971">
            <v>-219782.88</v>
          </cell>
          <cell r="Q1971" t="str">
            <v>2015_11</v>
          </cell>
        </row>
        <row r="1972">
          <cell r="J1972">
            <v>6</v>
          </cell>
          <cell r="K1972">
            <v>2</v>
          </cell>
          <cell r="N1972">
            <v>-217090.19</v>
          </cell>
          <cell r="Q1972" t="str">
            <v>2015_12</v>
          </cell>
        </row>
        <row r="1973">
          <cell r="J1973">
            <v>6</v>
          </cell>
          <cell r="K1973">
            <v>2</v>
          </cell>
          <cell r="N1973">
            <v>-259667.15</v>
          </cell>
          <cell r="Q1973" t="str">
            <v>2016_01</v>
          </cell>
        </row>
        <row r="1974">
          <cell r="J1974">
            <v>6</v>
          </cell>
          <cell r="K1974">
            <v>2</v>
          </cell>
          <cell r="N1974">
            <v>-261848.38</v>
          </cell>
          <cell r="Q1974" t="str">
            <v>2016_02</v>
          </cell>
        </row>
        <row r="1975">
          <cell r="J1975">
            <v>6</v>
          </cell>
          <cell r="K1975">
            <v>2</v>
          </cell>
          <cell r="N1975">
            <v>-261665.79</v>
          </cell>
          <cell r="Q1975" t="str">
            <v>2016_03</v>
          </cell>
        </row>
        <row r="1976">
          <cell r="J1976">
            <v>6</v>
          </cell>
          <cell r="K1976">
            <v>2</v>
          </cell>
          <cell r="N1976">
            <v>-263769.51</v>
          </cell>
          <cell r="Q1976" t="str">
            <v>2016_04</v>
          </cell>
        </row>
        <row r="1977">
          <cell r="J1977">
            <v>6</v>
          </cell>
          <cell r="K1977">
            <v>2</v>
          </cell>
          <cell r="N1977">
            <v>-267455.21999999997</v>
          </cell>
          <cell r="Q1977" t="str">
            <v>2016_05</v>
          </cell>
        </row>
        <row r="1978">
          <cell r="J1978">
            <v>6</v>
          </cell>
          <cell r="K1978">
            <v>2</v>
          </cell>
          <cell r="N1978">
            <v>-268786.95</v>
          </cell>
          <cell r="Q1978" t="str">
            <v>2016_06</v>
          </cell>
        </row>
        <row r="1979">
          <cell r="J1979">
            <v>6</v>
          </cell>
          <cell r="K1979">
            <v>2</v>
          </cell>
          <cell r="N1979">
            <v>-292627.15999999997</v>
          </cell>
          <cell r="Q1979" t="str">
            <v>2016_07</v>
          </cell>
        </row>
        <row r="1980">
          <cell r="J1980">
            <v>6</v>
          </cell>
          <cell r="K1980">
            <v>2</v>
          </cell>
          <cell r="N1980">
            <v>-268707.89</v>
          </cell>
          <cell r="Q1980" t="str">
            <v>2016_08</v>
          </cell>
        </row>
        <row r="1981">
          <cell r="J1981">
            <v>6</v>
          </cell>
          <cell r="K1981">
            <v>2</v>
          </cell>
          <cell r="N1981">
            <v>-265698.63</v>
          </cell>
          <cell r="Q1981" t="str">
            <v>2016_09</v>
          </cell>
        </row>
        <row r="1982">
          <cell r="J1982">
            <v>6</v>
          </cell>
          <cell r="K1982">
            <v>1</v>
          </cell>
          <cell r="N1982">
            <v>0</v>
          </cell>
          <cell r="Q1982" t="str">
            <v>2015_11</v>
          </cell>
        </row>
        <row r="1983">
          <cell r="J1983">
            <v>6</v>
          </cell>
          <cell r="K1983">
            <v>1</v>
          </cell>
          <cell r="N1983">
            <v>0</v>
          </cell>
          <cell r="Q1983" t="str">
            <v>2015_12</v>
          </cell>
        </row>
        <row r="1984">
          <cell r="J1984">
            <v>6</v>
          </cell>
          <cell r="K1984">
            <v>1</v>
          </cell>
          <cell r="N1984">
            <v>-268577.55</v>
          </cell>
          <cell r="Q1984" t="str">
            <v>2015_10</v>
          </cell>
        </row>
        <row r="1985">
          <cell r="J1985">
            <v>6</v>
          </cell>
          <cell r="K1985">
            <v>1</v>
          </cell>
          <cell r="N1985">
            <v>-264041.43</v>
          </cell>
          <cell r="Q1985" t="str">
            <v>2015_11</v>
          </cell>
        </row>
        <row r="1986">
          <cell r="J1986">
            <v>6</v>
          </cell>
          <cell r="K1986">
            <v>1</v>
          </cell>
          <cell r="N1986">
            <v>-353218.85</v>
          </cell>
          <cell r="Q1986" t="str">
            <v>2015_12</v>
          </cell>
        </row>
        <row r="1987">
          <cell r="J1987">
            <v>6</v>
          </cell>
          <cell r="K1987">
            <v>1</v>
          </cell>
          <cell r="N1987">
            <v>-340617.84</v>
          </cell>
          <cell r="Q1987" t="str">
            <v>2016_01</v>
          </cell>
        </row>
        <row r="1988">
          <cell r="J1988">
            <v>6</v>
          </cell>
          <cell r="K1988">
            <v>1</v>
          </cell>
          <cell r="N1988">
            <v>-320719.96000000002</v>
          </cell>
          <cell r="Q1988" t="str">
            <v>2016_02</v>
          </cell>
        </row>
        <row r="1989">
          <cell r="J1989">
            <v>6</v>
          </cell>
          <cell r="K1989">
            <v>1</v>
          </cell>
          <cell r="N1989">
            <v>-365847.35</v>
          </cell>
          <cell r="Q1989" t="str">
            <v>2016_03</v>
          </cell>
        </row>
        <row r="1990">
          <cell r="J1990">
            <v>6</v>
          </cell>
          <cell r="K1990">
            <v>1</v>
          </cell>
          <cell r="N1990">
            <v>-337633.47</v>
          </cell>
          <cell r="Q1990" t="str">
            <v>2016_04</v>
          </cell>
        </row>
        <row r="1991">
          <cell r="J1991">
            <v>6</v>
          </cell>
          <cell r="K1991">
            <v>1</v>
          </cell>
          <cell r="N1991">
            <v>-356793.29</v>
          </cell>
          <cell r="Q1991" t="str">
            <v>2016_05</v>
          </cell>
        </row>
        <row r="1992">
          <cell r="J1992">
            <v>6</v>
          </cell>
          <cell r="K1992">
            <v>1</v>
          </cell>
          <cell r="N1992">
            <v>-338707.48</v>
          </cell>
          <cell r="Q1992" t="str">
            <v>2016_06</v>
          </cell>
        </row>
        <row r="1993">
          <cell r="J1993">
            <v>6</v>
          </cell>
          <cell r="K1993">
            <v>1</v>
          </cell>
          <cell r="N1993">
            <v>-350082.26</v>
          </cell>
          <cell r="Q1993" t="str">
            <v>2016_07</v>
          </cell>
        </row>
        <row r="1994">
          <cell r="J1994">
            <v>6</v>
          </cell>
          <cell r="K1994">
            <v>1</v>
          </cell>
          <cell r="N1994">
            <v>-339452.72</v>
          </cell>
          <cell r="Q1994" t="str">
            <v>2016_08</v>
          </cell>
        </row>
        <row r="1995">
          <cell r="J1995">
            <v>6</v>
          </cell>
          <cell r="K1995">
            <v>1</v>
          </cell>
          <cell r="N1995">
            <v>-368067.39</v>
          </cell>
          <cell r="Q1995" t="str">
            <v>2016_09</v>
          </cell>
        </row>
        <row r="1996">
          <cell r="J1996">
            <v>6</v>
          </cell>
          <cell r="K1996">
            <v>1</v>
          </cell>
          <cell r="N1996">
            <v>1575.39</v>
          </cell>
          <cell r="Q1996" t="str">
            <v>2015_10</v>
          </cell>
        </row>
        <row r="1997">
          <cell r="J1997">
            <v>6</v>
          </cell>
          <cell r="K1997">
            <v>2</v>
          </cell>
          <cell r="N1997">
            <v>-66.09</v>
          </cell>
          <cell r="Q1997" t="str">
            <v>2016_01</v>
          </cell>
        </row>
        <row r="1998">
          <cell r="J1998">
            <v>49</v>
          </cell>
          <cell r="K1998">
            <v>49</v>
          </cell>
          <cell r="N1998">
            <v>4832.45</v>
          </cell>
          <cell r="Q1998" t="str">
            <v>2015_10</v>
          </cell>
        </row>
        <row r="1999">
          <cell r="J1999">
            <v>49</v>
          </cell>
          <cell r="K1999">
            <v>49</v>
          </cell>
          <cell r="N1999">
            <v>4704.92</v>
          </cell>
          <cell r="Q1999" t="str">
            <v>2015_11</v>
          </cell>
        </row>
        <row r="2000">
          <cell r="J2000">
            <v>49</v>
          </cell>
          <cell r="K2000">
            <v>49</v>
          </cell>
          <cell r="N2000">
            <v>4481.3999999999996</v>
          </cell>
          <cell r="Q2000" t="str">
            <v>2015_12</v>
          </cell>
        </row>
        <row r="2001">
          <cell r="J2001">
            <v>49</v>
          </cell>
          <cell r="K2001">
            <v>49</v>
          </cell>
          <cell r="N2001">
            <v>7581.95</v>
          </cell>
          <cell r="Q2001" t="str">
            <v>2016_01</v>
          </cell>
        </row>
        <row r="2002">
          <cell r="J2002">
            <v>49</v>
          </cell>
          <cell r="K2002">
            <v>49</v>
          </cell>
          <cell r="N2002">
            <v>9722.52</v>
          </cell>
          <cell r="Q2002" t="str">
            <v>2016_02</v>
          </cell>
        </row>
        <row r="2003">
          <cell r="J2003">
            <v>49</v>
          </cell>
          <cell r="K2003">
            <v>49</v>
          </cell>
          <cell r="N2003">
            <v>9968.98</v>
          </cell>
          <cell r="Q2003" t="str">
            <v>2016_03</v>
          </cell>
        </row>
        <row r="2004">
          <cell r="J2004">
            <v>49</v>
          </cell>
          <cell r="K2004">
            <v>49</v>
          </cell>
          <cell r="N2004">
            <v>7910.52</v>
          </cell>
          <cell r="Q2004" t="str">
            <v>2016_04</v>
          </cell>
        </row>
        <row r="2005">
          <cell r="J2005">
            <v>49</v>
          </cell>
          <cell r="K2005">
            <v>49</v>
          </cell>
          <cell r="N2005">
            <v>7078.68</v>
          </cell>
          <cell r="Q2005" t="str">
            <v>2016_05</v>
          </cell>
        </row>
        <row r="2006">
          <cell r="J2006">
            <v>49</v>
          </cell>
          <cell r="K2006">
            <v>49</v>
          </cell>
          <cell r="N2006">
            <v>4909.3100000000004</v>
          </cell>
          <cell r="Q2006" t="str">
            <v>2016_06</v>
          </cell>
        </row>
        <row r="2007">
          <cell r="J2007">
            <v>49</v>
          </cell>
          <cell r="K2007">
            <v>49</v>
          </cell>
          <cell r="N2007">
            <v>4587.9799999999996</v>
          </cell>
          <cell r="Q2007" t="str">
            <v>2016_07</v>
          </cell>
        </row>
        <row r="2008">
          <cell r="J2008">
            <v>49</v>
          </cell>
          <cell r="K2008">
            <v>49</v>
          </cell>
          <cell r="N2008">
            <v>5089.59</v>
          </cell>
          <cell r="Q2008" t="str">
            <v>2016_08</v>
          </cell>
        </row>
        <row r="2009">
          <cell r="J2009">
            <v>49</v>
          </cell>
          <cell r="K2009">
            <v>49</v>
          </cell>
          <cell r="N2009">
            <v>7972.31</v>
          </cell>
          <cell r="Q2009" t="str">
            <v>2016_09</v>
          </cell>
        </row>
        <row r="2010">
          <cell r="J2010">
            <v>50</v>
          </cell>
          <cell r="K2010">
            <v>50</v>
          </cell>
          <cell r="N2010">
            <v>520.52</v>
          </cell>
          <cell r="Q2010" t="str">
            <v>2015_10</v>
          </cell>
        </row>
        <row r="2011">
          <cell r="J2011">
            <v>50</v>
          </cell>
          <cell r="K2011">
            <v>50</v>
          </cell>
          <cell r="N2011">
            <v>560.20000000000005</v>
          </cell>
          <cell r="Q2011" t="str">
            <v>2015_11</v>
          </cell>
        </row>
        <row r="2012">
          <cell r="J2012">
            <v>50</v>
          </cell>
          <cell r="K2012">
            <v>50</v>
          </cell>
          <cell r="N2012">
            <v>616.13</v>
          </cell>
          <cell r="Q2012" t="str">
            <v>2015_12</v>
          </cell>
        </row>
        <row r="2013">
          <cell r="J2013">
            <v>50</v>
          </cell>
          <cell r="K2013">
            <v>50</v>
          </cell>
          <cell r="N2013">
            <v>747.52</v>
          </cell>
          <cell r="Q2013" t="str">
            <v>2016_01</v>
          </cell>
        </row>
        <row r="2014">
          <cell r="J2014">
            <v>50</v>
          </cell>
          <cell r="K2014">
            <v>50</v>
          </cell>
          <cell r="N2014">
            <v>577.48</v>
          </cell>
          <cell r="Q2014" t="str">
            <v>2016_02</v>
          </cell>
        </row>
        <row r="2015">
          <cell r="J2015">
            <v>50</v>
          </cell>
          <cell r="K2015">
            <v>50</v>
          </cell>
          <cell r="N2015">
            <v>600.6</v>
          </cell>
          <cell r="Q2015" t="str">
            <v>2016_03</v>
          </cell>
        </row>
        <row r="2016">
          <cell r="J2016">
            <v>50</v>
          </cell>
          <cell r="K2016">
            <v>50</v>
          </cell>
          <cell r="N2016">
            <v>2230.4899999999998</v>
          </cell>
          <cell r="Q2016" t="str">
            <v>2016_04</v>
          </cell>
        </row>
        <row r="2017">
          <cell r="J2017">
            <v>50</v>
          </cell>
          <cell r="K2017">
            <v>50</v>
          </cell>
          <cell r="N2017">
            <v>1398.53</v>
          </cell>
          <cell r="Q2017" t="str">
            <v>2016_05</v>
          </cell>
        </row>
        <row r="2018">
          <cell r="J2018">
            <v>50</v>
          </cell>
          <cell r="K2018">
            <v>50</v>
          </cell>
          <cell r="N2018">
            <v>688.33</v>
          </cell>
          <cell r="Q2018" t="str">
            <v>2016_06</v>
          </cell>
        </row>
        <row r="2019">
          <cell r="J2019">
            <v>50</v>
          </cell>
          <cell r="K2019">
            <v>50</v>
          </cell>
          <cell r="N2019">
            <v>632.41</v>
          </cell>
          <cell r="Q2019" t="str">
            <v>2016_07</v>
          </cell>
        </row>
        <row r="2020">
          <cell r="J2020">
            <v>50</v>
          </cell>
          <cell r="K2020">
            <v>50</v>
          </cell>
          <cell r="N2020">
            <v>754.99</v>
          </cell>
          <cell r="Q2020" t="str">
            <v>2016_08</v>
          </cell>
        </row>
        <row r="2021">
          <cell r="J2021">
            <v>50</v>
          </cell>
          <cell r="K2021">
            <v>50</v>
          </cell>
          <cell r="N2021">
            <v>2489.39</v>
          </cell>
          <cell r="Q2021" t="str">
            <v>2016_09</v>
          </cell>
        </row>
        <row r="2022">
          <cell r="J2022">
            <v>57</v>
          </cell>
          <cell r="K2022">
            <v>57</v>
          </cell>
          <cell r="N2022">
            <v>4146.25</v>
          </cell>
          <cell r="Q2022" t="str">
            <v>2016_01</v>
          </cell>
        </row>
        <row r="2023">
          <cell r="J2023">
            <v>57</v>
          </cell>
          <cell r="K2023">
            <v>57</v>
          </cell>
          <cell r="N2023">
            <v>4528.55</v>
          </cell>
          <cell r="Q2023" t="str">
            <v>2016_02</v>
          </cell>
        </row>
        <row r="2024">
          <cell r="J2024">
            <v>57</v>
          </cell>
          <cell r="K2024">
            <v>57</v>
          </cell>
          <cell r="N2024">
            <v>3624.37</v>
          </cell>
          <cell r="Q2024" t="str">
            <v>2016_03</v>
          </cell>
        </row>
        <row r="2025">
          <cell r="J2025">
            <v>57</v>
          </cell>
          <cell r="K2025">
            <v>57</v>
          </cell>
          <cell r="N2025">
            <v>5707.09</v>
          </cell>
          <cell r="Q2025" t="str">
            <v>2016_04</v>
          </cell>
        </row>
        <row r="2026">
          <cell r="J2026">
            <v>57</v>
          </cell>
          <cell r="K2026">
            <v>57</v>
          </cell>
          <cell r="N2026">
            <v>12014.77</v>
          </cell>
          <cell r="Q2026" t="str">
            <v>2016_05</v>
          </cell>
        </row>
        <row r="2027">
          <cell r="J2027">
            <v>57</v>
          </cell>
          <cell r="K2027">
            <v>57</v>
          </cell>
          <cell r="N2027">
            <v>13611.88</v>
          </cell>
          <cell r="Q2027" t="str">
            <v>2016_06</v>
          </cell>
        </row>
        <row r="2028">
          <cell r="J2028">
            <v>57</v>
          </cell>
          <cell r="K2028">
            <v>57</v>
          </cell>
          <cell r="N2028">
            <v>10332</v>
          </cell>
          <cell r="Q2028" t="str">
            <v>2016_07</v>
          </cell>
        </row>
        <row r="2029">
          <cell r="J2029">
            <v>57</v>
          </cell>
          <cell r="K2029">
            <v>57</v>
          </cell>
          <cell r="N2029">
            <v>10253.49</v>
          </cell>
          <cell r="Q2029" t="str">
            <v>2016_08</v>
          </cell>
        </row>
        <row r="2030">
          <cell r="J2030">
            <v>57</v>
          </cell>
          <cell r="K2030">
            <v>57</v>
          </cell>
          <cell r="N2030">
            <v>9255.31</v>
          </cell>
          <cell r="Q2030" t="str">
            <v>2016_09</v>
          </cell>
        </row>
        <row r="2031">
          <cell r="J2031">
            <v>25</v>
          </cell>
          <cell r="K2031">
            <v>25</v>
          </cell>
          <cell r="N2031">
            <v>8019.87</v>
          </cell>
          <cell r="Q2031" t="str">
            <v>2015_10</v>
          </cell>
        </row>
        <row r="2032">
          <cell r="J2032">
            <v>25</v>
          </cell>
          <cell r="K2032">
            <v>25</v>
          </cell>
          <cell r="N2032">
            <v>4009.78</v>
          </cell>
          <cell r="Q2032" t="str">
            <v>2015_11</v>
          </cell>
        </row>
        <row r="2033">
          <cell r="J2033">
            <v>25</v>
          </cell>
          <cell r="K2033">
            <v>25</v>
          </cell>
          <cell r="N2033">
            <v>10346.58</v>
          </cell>
          <cell r="Q2033" t="str">
            <v>2015_12</v>
          </cell>
        </row>
        <row r="2034">
          <cell r="J2034">
            <v>25</v>
          </cell>
          <cell r="K2034">
            <v>25</v>
          </cell>
          <cell r="N2034">
            <v>4611.21</v>
          </cell>
          <cell r="Q2034" t="str">
            <v>2016_01</v>
          </cell>
        </row>
        <row r="2035">
          <cell r="J2035">
            <v>25</v>
          </cell>
          <cell r="K2035">
            <v>25</v>
          </cell>
          <cell r="N2035">
            <v>5754</v>
          </cell>
          <cell r="Q2035" t="str">
            <v>2016_02</v>
          </cell>
        </row>
        <row r="2036">
          <cell r="J2036">
            <v>25</v>
          </cell>
          <cell r="K2036">
            <v>25</v>
          </cell>
          <cell r="N2036">
            <v>6302</v>
          </cell>
          <cell r="Q2036" t="str">
            <v>2016_03</v>
          </cell>
        </row>
        <row r="2037">
          <cell r="J2037">
            <v>25</v>
          </cell>
          <cell r="K2037">
            <v>25</v>
          </cell>
          <cell r="N2037">
            <v>5754</v>
          </cell>
          <cell r="Q2037" t="str">
            <v>2016_04</v>
          </cell>
        </row>
        <row r="2038">
          <cell r="J2038">
            <v>25</v>
          </cell>
          <cell r="K2038">
            <v>25</v>
          </cell>
          <cell r="N2038">
            <v>5754</v>
          </cell>
          <cell r="Q2038" t="str">
            <v>2016_05</v>
          </cell>
        </row>
        <row r="2039">
          <cell r="J2039">
            <v>25</v>
          </cell>
          <cell r="K2039">
            <v>25</v>
          </cell>
          <cell r="N2039">
            <v>6009.96</v>
          </cell>
          <cell r="Q2039" t="str">
            <v>2016_06</v>
          </cell>
        </row>
        <row r="2040">
          <cell r="J2040">
            <v>25</v>
          </cell>
          <cell r="K2040">
            <v>25</v>
          </cell>
          <cell r="N2040">
            <v>5095.92</v>
          </cell>
          <cell r="Q2040" t="str">
            <v>2016_07</v>
          </cell>
        </row>
        <row r="2041">
          <cell r="J2041">
            <v>25</v>
          </cell>
          <cell r="K2041">
            <v>25</v>
          </cell>
          <cell r="N2041">
            <v>6894.48</v>
          </cell>
          <cell r="Q2041" t="str">
            <v>2016_08</v>
          </cell>
        </row>
        <row r="2042">
          <cell r="J2042">
            <v>25</v>
          </cell>
          <cell r="K2042">
            <v>25</v>
          </cell>
          <cell r="N2042">
            <v>6085.11</v>
          </cell>
          <cell r="Q2042" t="str">
            <v>2016_09</v>
          </cell>
        </row>
        <row r="2043">
          <cell r="J2043">
            <v>49</v>
          </cell>
          <cell r="K2043">
            <v>49</v>
          </cell>
          <cell r="N2043">
            <v>7076.01</v>
          </cell>
          <cell r="Q2043" t="str">
            <v>2015_10</v>
          </cell>
        </row>
        <row r="2044">
          <cell r="J2044">
            <v>49</v>
          </cell>
          <cell r="K2044">
            <v>49</v>
          </cell>
          <cell r="N2044">
            <v>1228.6600000000001</v>
          </cell>
          <cell r="Q2044" t="str">
            <v>2015_11</v>
          </cell>
        </row>
        <row r="2045">
          <cell r="J2045">
            <v>49</v>
          </cell>
          <cell r="K2045">
            <v>49</v>
          </cell>
          <cell r="N2045">
            <v>-191.99</v>
          </cell>
          <cell r="Q2045" t="str">
            <v>2015_12</v>
          </cell>
        </row>
        <row r="2046">
          <cell r="J2046">
            <v>49</v>
          </cell>
          <cell r="K2046">
            <v>49</v>
          </cell>
          <cell r="N2046">
            <v>937.78</v>
          </cell>
          <cell r="Q2046" t="str">
            <v>2016_01</v>
          </cell>
        </row>
        <row r="2047">
          <cell r="J2047">
            <v>49</v>
          </cell>
          <cell r="K2047">
            <v>49</v>
          </cell>
          <cell r="N2047">
            <v>1952.24</v>
          </cell>
          <cell r="Q2047" t="str">
            <v>2016_02</v>
          </cell>
        </row>
        <row r="2048">
          <cell r="J2048">
            <v>49</v>
          </cell>
          <cell r="K2048">
            <v>49</v>
          </cell>
          <cell r="N2048">
            <v>3501</v>
          </cell>
          <cell r="Q2048" t="str">
            <v>2016_03</v>
          </cell>
        </row>
        <row r="2049">
          <cell r="J2049">
            <v>49</v>
          </cell>
          <cell r="K2049">
            <v>49</v>
          </cell>
          <cell r="N2049">
            <v>1983.69</v>
          </cell>
          <cell r="Q2049" t="str">
            <v>2016_04</v>
          </cell>
        </row>
        <row r="2050">
          <cell r="J2050">
            <v>49</v>
          </cell>
          <cell r="K2050">
            <v>49</v>
          </cell>
          <cell r="N2050">
            <v>1350.57</v>
          </cell>
          <cell r="Q2050" t="str">
            <v>2016_05</v>
          </cell>
        </row>
        <row r="2051">
          <cell r="J2051">
            <v>49</v>
          </cell>
          <cell r="K2051">
            <v>49</v>
          </cell>
          <cell r="N2051">
            <v>4843.08</v>
          </cell>
          <cell r="Q2051" t="str">
            <v>2016_06</v>
          </cell>
        </row>
        <row r="2052">
          <cell r="J2052">
            <v>49</v>
          </cell>
          <cell r="K2052">
            <v>49</v>
          </cell>
          <cell r="N2052">
            <v>1555.25</v>
          </cell>
          <cell r="Q2052" t="str">
            <v>2016_07</v>
          </cell>
        </row>
        <row r="2053">
          <cell r="J2053">
            <v>49</v>
          </cell>
          <cell r="K2053">
            <v>49</v>
          </cell>
          <cell r="N2053">
            <v>5570.75</v>
          </cell>
          <cell r="Q2053" t="str">
            <v>2016_08</v>
          </cell>
        </row>
        <row r="2054">
          <cell r="J2054">
            <v>49</v>
          </cell>
          <cell r="K2054">
            <v>49</v>
          </cell>
          <cell r="N2054">
            <v>3799.14</v>
          </cell>
          <cell r="Q2054" t="str">
            <v>2016_09</v>
          </cell>
        </row>
        <row r="2055">
          <cell r="J2055">
            <v>50</v>
          </cell>
          <cell r="K2055">
            <v>50</v>
          </cell>
          <cell r="N2055">
            <v>1585.48</v>
          </cell>
          <cell r="Q2055" t="str">
            <v>2015_10</v>
          </cell>
        </row>
        <row r="2056">
          <cell r="J2056">
            <v>50</v>
          </cell>
          <cell r="K2056">
            <v>50</v>
          </cell>
          <cell r="N2056">
            <v>990.68</v>
          </cell>
          <cell r="Q2056" t="str">
            <v>2015_11</v>
          </cell>
        </row>
        <row r="2057">
          <cell r="J2057">
            <v>50</v>
          </cell>
          <cell r="K2057">
            <v>50</v>
          </cell>
          <cell r="N2057">
            <v>982.65</v>
          </cell>
          <cell r="Q2057" t="str">
            <v>2015_12</v>
          </cell>
        </row>
        <row r="2058">
          <cell r="J2058">
            <v>50</v>
          </cell>
          <cell r="K2058">
            <v>50</v>
          </cell>
          <cell r="N2058">
            <v>1208</v>
          </cell>
          <cell r="Q2058" t="str">
            <v>2016_01</v>
          </cell>
        </row>
        <row r="2059">
          <cell r="J2059">
            <v>50</v>
          </cell>
          <cell r="K2059">
            <v>50</v>
          </cell>
          <cell r="N2059">
            <v>1352.15</v>
          </cell>
          <cell r="Q2059" t="str">
            <v>2016_02</v>
          </cell>
        </row>
        <row r="2060">
          <cell r="J2060">
            <v>50</v>
          </cell>
          <cell r="K2060">
            <v>50</v>
          </cell>
          <cell r="N2060">
            <v>1688.73</v>
          </cell>
          <cell r="Q2060" t="str">
            <v>2016_03</v>
          </cell>
        </row>
        <row r="2061">
          <cell r="J2061">
            <v>50</v>
          </cell>
          <cell r="K2061">
            <v>50</v>
          </cell>
          <cell r="N2061">
            <v>2095.5700000000002</v>
          </cell>
          <cell r="Q2061" t="str">
            <v>2016_04</v>
          </cell>
        </row>
        <row r="2062">
          <cell r="J2062">
            <v>50</v>
          </cell>
          <cell r="K2062">
            <v>50</v>
          </cell>
          <cell r="N2062">
            <v>1398.77</v>
          </cell>
          <cell r="Q2062" t="str">
            <v>2016_05</v>
          </cell>
        </row>
        <row r="2063">
          <cell r="J2063">
            <v>50</v>
          </cell>
          <cell r="K2063">
            <v>50</v>
          </cell>
          <cell r="N2063">
            <v>1067.98</v>
          </cell>
          <cell r="Q2063" t="str">
            <v>2016_06</v>
          </cell>
        </row>
        <row r="2064">
          <cell r="J2064">
            <v>50</v>
          </cell>
          <cell r="K2064">
            <v>50</v>
          </cell>
          <cell r="N2064">
            <v>1104.76</v>
          </cell>
          <cell r="Q2064" t="str">
            <v>2016_07</v>
          </cell>
        </row>
        <row r="2065">
          <cell r="J2065">
            <v>50</v>
          </cell>
          <cell r="K2065">
            <v>50</v>
          </cell>
          <cell r="N2065">
            <v>1407.01</v>
          </cell>
          <cell r="Q2065" t="str">
            <v>2016_08</v>
          </cell>
        </row>
        <row r="2066">
          <cell r="J2066">
            <v>50</v>
          </cell>
          <cell r="K2066">
            <v>50</v>
          </cell>
          <cell r="N2066">
            <v>1951.89</v>
          </cell>
          <cell r="Q2066" t="str">
            <v>2016_09</v>
          </cell>
        </row>
        <row r="2067">
          <cell r="J2067">
            <v>49</v>
          </cell>
          <cell r="K2067">
            <v>49</v>
          </cell>
          <cell r="N2067">
            <v>5325.24</v>
          </cell>
          <cell r="Q2067" t="str">
            <v>2015_10</v>
          </cell>
        </row>
        <row r="2068">
          <cell r="J2068">
            <v>49</v>
          </cell>
          <cell r="K2068">
            <v>49</v>
          </cell>
          <cell r="N2068">
            <v>3616</v>
          </cell>
          <cell r="Q2068" t="str">
            <v>2015_11</v>
          </cell>
        </row>
        <row r="2069">
          <cell r="J2069">
            <v>49</v>
          </cell>
          <cell r="K2069">
            <v>49</v>
          </cell>
          <cell r="N2069">
            <v>3063.88</v>
          </cell>
          <cell r="Q2069" t="str">
            <v>2015_12</v>
          </cell>
        </row>
        <row r="2070">
          <cell r="J2070">
            <v>49</v>
          </cell>
          <cell r="K2070">
            <v>49</v>
          </cell>
          <cell r="N2070">
            <v>3259.32</v>
          </cell>
          <cell r="Q2070" t="str">
            <v>2016_01</v>
          </cell>
        </row>
        <row r="2071">
          <cell r="J2071">
            <v>49</v>
          </cell>
          <cell r="K2071">
            <v>49</v>
          </cell>
          <cell r="N2071">
            <v>3923.74</v>
          </cell>
          <cell r="Q2071" t="str">
            <v>2016_02</v>
          </cell>
        </row>
        <row r="2072">
          <cell r="J2072">
            <v>49</v>
          </cell>
          <cell r="K2072">
            <v>49</v>
          </cell>
          <cell r="N2072">
            <v>4012.04</v>
          </cell>
          <cell r="Q2072" t="str">
            <v>2016_03</v>
          </cell>
        </row>
        <row r="2073">
          <cell r="J2073">
            <v>49</v>
          </cell>
          <cell r="K2073">
            <v>49</v>
          </cell>
          <cell r="N2073">
            <v>3583.81</v>
          </cell>
          <cell r="Q2073" t="str">
            <v>2016_04</v>
          </cell>
        </row>
        <row r="2074">
          <cell r="J2074">
            <v>49</v>
          </cell>
          <cell r="K2074">
            <v>49</v>
          </cell>
          <cell r="N2074">
            <v>3924.34</v>
          </cell>
          <cell r="Q2074" t="str">
            <v>2016_05</v>
          </cell>
        </row>
        <row r="2075">
          <cell r="J2075">
            <v>49</v>
          </cell>
          <cell r="K2075">
            <v>49</v>
          </cell>
          <cell r="N2075">
            <v>4176.09</v>
          </cell>
          <cell r="Q2075" t="str">
            <v>2016_06</v>
          </cell>
        </row>
        <row r="2076">
          <cell r="J2076">
            <v>49</v>
          </cell>
          <cell r="K2076">
            <v>49</v>
          </cell>
          <cell r="N2076">
            <v>3898.75</v>
          </cell>
          <cell r="Q2076" t="str">
            <v>2016_07</v>
          </cell>
        </row>
        <row r="2077">
          <cell r="J2077">
            <v>49</v>
          </cell>
          <cell r="K2077">
            <v>49</v>
          </cell>
          <cell r="N2077">
            <v>4714.75</v>
          </cell>
          <cell r="Q2077" t="str">
            <v>2016_08</v>
          </cell>
        </row>
        <row r="2078">
          <cell r="J2078">
            <v>49</v>
          </cell>
          <cell r="K2078">
            <v>49</v>
          </cell>
          <cell r="N2078">
            <v>3818.79</v>
          </cell>
          <cell r="Q2078" t="str">
            <v>2016_09</v>
          </cell>
        </row>
        <row r="2079">
          <cell r="J2079">
            <v>50</v>
          </cell>
          <cell r="K2079">
            <v>50</v>
          </cell>
          <cell r="N2079">
            <v>828.18</v>
          </cell>
          <cell r="Q2079" t="str">
            <v>2015_10</v>
          </cell>
        </row>
        <row r="2080">
          <cell r="J2080">
            <v>50</v>
          </cell>
          <cell r="K2080">
            <v>50</v>
          </cell>
          <cell r="N2080">
            <v>661.39</v>
          </cell>
          <cell r="Q2080" t="str">
            <v>2015_11</v>
          </cell>
        </row>
        <row r="2081">
          <cell r="J2081">
            <v>50</v>
          </cell>
          <cell r="K2081">
            <v>50</v>
          </cell>
          <cell r="N2081">
            <v>0</v>
          </cell>
          <cell r="Q2081" t="str">
            <v>2015_12</v>
          </cell>
        </row>
        <row r="2082">
          <cell r="J2082">
            <v>50</v>
          </cell>
          <cell r="K2082">
            <v>50</v>
          </cell>
          <cell r="N2082">
            <v>329.13</v>
          </cell>
          <cell r="Q2082" t="str">
            <v>2016_01</v>
          </cell>
        </row>
        <row r="2083">
          <cell r="J2083">
            <v>50</v>
          </cell>
          <cell r="K2083">
            <v>50</v>
          </cell>
          <cell r="N2083">
            <v>623.51</v>
          </cell>
          <cell r="Q2083" t="str">
            <v>2016_02</v>
          </cell>
        </row>
        <row r="2084">
          <cell r="J2084">
            <v>50</v>
          </cell>
          <cell r="K2084">
            <v>50</v>
          </cell>
          <cell r="N2084">
            <v>517.15</v>
          </cell>
          <cell r="Q2084" t="str">
            <v>2016_03</v>
          </cell>
        </row>
        <row r="2085">
          <cell r="J2085">
            <v>50</v>
          </cell>
          <cell r="K2085">
            <v>50</v>
          </cell>
          <cell r="N2085">
            <v>781.98</v>
          </cell>
          <cell r="Q2085" t="str">
            <v>2016_04</v>
          </cell>
        </row>
        <row r="2086">
          <cell r="J2086">
            <v>50</v>
          </cell>
          <cell r="K2086">
            <v>50</v>
          </cell>
          <cell r="N2086">
            <v>635.66999999999996</v>
          </cell>
          <cell r="Q2086" t="str">
            <v>2016_05</v>
          </cell>
        </row>
        <row r="2087">
          <cell r="J2087">
            <v>50</v>
          </cell>
          <cell r="K2087">
            <v>50</v>
          </cell>
          <cell r="N2087">
            <v>502.93</v>
          </cell>
          <cell r="Q2087" t="str">
            <v>2016_06</v>
          </cell>
        </row>
        <row r="2088">
          <cell r="J2088">
            <v>50</v>
          </cell>
          <cell r="K2088">
            <v>50</v>
          </cell>
          <cell r="N2088">
            <v>604.51</v>
          </cell>
          <cell r="Q2088" t="str">
            <v>2016_07</v>
          </cell>
        </row>
        <row r="2089">
          <cell r="J2089">
            <v>50</v>
          </cell>
          <cell r="K2089">
            <v>50</v>
          </cell>
          <cell r="N2089">
            <v>765.01</v>
          </cell>
          <cell r="Q2089" t="str">
            <v>2016_08</v>
          </cell>
        </row>
        <row r="2090">
          <cell r="J2090">
            <v>50</v>
          </cell>
          <cell r="K2090">
            <v>50</v>
          </cell>
          <cell r="N2090">
            <v>820.88</v>
          </cell>
          <cell r="Q2090" t="str">
            <v>2016_09</v>
          </cell>
        </row>
        <row r="2091">
          <cell r="J2091">
            <v>57</v>
          </cell>
          <cell r="K2091">
            <v>57</v>
          </cell>
          <cell r="N2091">
            <v>2873.79</v>
          </cell>
          <cell r="Q2091" t="str">
            <v>2015_10</v>
          </cell>
        </row>
        <row r="2092">
          <cell r="J2092">
            <v>57</v>
          </cell>
          <cell r="K2092">
            <v>57</v>
          </cell>
          <cell r="N2092">
            <v>4389.58</v>
          </cell>
          <cell r="Q2092" t="str">
            <v>2015_11</v>
          </cell>
        </row>
        <row r="2093">
          <cell r="J2093">
            <v>57</v>
          </cell>
          <cell r="K2093">
            <v>57</v>
          </cell>
          <cell r="N2093">
            <v>4313.8999999999996</v>
          </cell>
          <cell r="Q2093" t="str">
            <v>2015_12</v>
          </cell>
        </row>
        <row r="2094">
          <cell r="J2094">
            <v>57</v>
          </cell>
          <cell r="K2094">
            <v>57</v>
          </cell>
          <cell r="N2094">
            <v>-148.88</v>
          </cell>
          <cell r="Q2094" t="str">
            <v>2016_01</v>
          </cell>
        </row>
        <row r="2095">
          <cell r="J2095">
            <v>57</v>
          </cell>
          <cell r="K2095">
            <v>57</v>
          </cell>
          <cell r="N2095">
            <v>0</v>
          </cell>
          <cell r="Q2095" t="str">
            <v>2016_02</v>
          </cell>
        </row>
        <row r="2096">
          <cell r="J2096">
            <v>57</v>
          </cell>
          <cell r="K2096">
            <v>57</v>
          </cell>
          <cell r="N2096">
            <v>0</v>
          </cell>
          <cell r="Q2096" t="str">
            <v>2016_03</v>
          </cell>
        </row>
        <row r="2097">
          <cell r="J2097">
            <v>57</v>
          </cell>
          <cell r="K2097">
            <v>57</v>
          </cell>
          <cell r="N2097">
            <v>0</v>
          </cell>
          <cell r="Q2097" t="str">
            <v>2016_04</v>
          </cell>
        </row>
        <row r="2098">
          <cell r="J2098">
            <v>57</v>
          </cell>
          <cell r="K2098">
            <v>57</v>
          </cell>
          <cell r="N2098">
            <v>0</v>
          </cell>
          <cell r="Q2098" t="str">
            <v>2016_05</v>
          </cell>
        </row>
        <row r="2099">
          <cell r="J2099">
            <v>57</v>
          </cell>
          <cell r="K2099">
            <v>57</v>
          </cell>
          <cell r="N2099">
            <v>0</v>
          </cell>
          <cell r="Q2099" t="str">
            <v>2016_06</v>
          </cell>
        </row>
        <row r="2100">
          <cell r="J2100">
            <v>57</v>
          </cell>
          <cell r="K2100">
            <v>57</v>
          </cell>
          <cell r="N2100">
            <v>0</v>
          </cell>
          <cell r="Q2100" t="str">
            <v>2016_07</v>
          </cell>
        </row>
        <row r="2101">
          <cell r="J2101">
            <v>57</v>
          </cell>
          <cell r="K2101">
            <v>57</v>
          </cell>
          <cell r="N2101">
            <v>0</v>
          </cell>
          <cell r="Q2101" t="str">
            <v>2016_08</v>
          </cell>
        </row>
        <row r="2102">
          <cell r="J2102">
            <v>57</v>
          </cell>
          <cell r="K2102">
            <v>57</v>
          </cell>
          <cell r="N2102">
            <v>0</v>
          </cell>
          <cell r="Q2102" t="str">
            <v>2016_09</v>
          </cell>
        </row>
        <row r="2103">
          <cell r="J2103">
            <v>25</v>
          </cell>
          <cell r="K2103">
            <v>25</v>
          </cell>
          <cell r="N2103">
            <v>9807.7199999999993</v>
          </cell>
          <cell r="Q2103" t="str">
            <v>2015_10</v>
          </cell>
        </row>
        <row r="2104">
          <cell r="J2104">
            <v>25</v>
          </cell>
          <cell r="K2104">
            <v>25</v>
          </cell>
          <cell r="N2104">
            <v>6923.08</v>
          </cell>
          <cell r="Q2104" t="str">
            <v>2015_11</v>
          </cell>
        </row>
        <row r="2105">
          <cell r="J2105">
            <v>25</v>
          </cell>
          <cell r="K2105">
            <v>25</v>
          </cell>
          <cell r="N2105">
            <v>11923.08</v>
          </cell>
          <cell r="Q2105" t="str">
            <v>2015_12</v>
          </cell>
        </row>
        <row r="2106">
          <cell r="J2106">
            <v>25</v>
          </cell>
          <cell r="K2106">
            <v>25</v>
          </cell>
          <cell r="N2106">
            <v>7009.54</v>
          </cell>
          <cell r="Q2106" t="str">
            <v>2016_01</v>
          </cell>
        </row>
        <row r="2107">
          <cell r="J2107">
            <v>25</v>
          </cell>
          <cell r="K2107">
            <v>25</v>
          </cell>
          <cell r="N2107">
            <v>7450.8</v>
          </cell>
          <cell r="Q2107" t="str">
            <v>2016_02</v>
          </cell>
        </row>
        <row r="2108">
          <cell r="J2108">
            <v>25</v>
          </cell>
          <cell r="K2108">
            <v>25</v>
          </cell>
          <cell r="N2108">
            <v>8160.4</v>
          </cell>
          <cell r="Q2108" t="str">
            <v>2016_03</v>
          </cell>
        </row>
        <row r="2109">
          <cell r="J2109">
            <v>25</v>
          </cell>
          <cell r="K2109">
            <v>25</v>
          </cell>
          <cell r="N2109">
            <v>7450.8</v>
          </cell>
          <cell r="Q2109" t="str">
            <v>2016_04</v>
          </cell>
        </row>
        <row r="2110">
          <cell r="J2110">
            <v>25</v>
          </cell>
          <cell r="K2110">
            <v>25</v>
          </cell>
          <cell r="N2110">
            <v>7450.8</v>
          </cell>
          <cell r="Q2110" t="str">
            <v>2016_05</v>
          </cell>
        </row>
        <row r="2111">
          <cell r="J2111">
            <v>25</v>
          </cell>
          <cell r="K2111">
            <v>25</v>
          </cell>
          <cell r="N2111">
            <v>7415.32</v>
          </cell>
          <cell r="Q2111" t="str">
            <v>2016_06</v>
          </cell>
        </row>
        <row r="2112">
          <cell r="J2112">
            <v>25</v>
          </cell>
          <cell r="K2112">
            <v>25</v>
          </cell>
          <cell r="N2112">
            <v>6741.2</v>
          </cell>
          <cell r="Q2112" t="str">
            <v>2016_07</v>
          </cell>
        </row>
        <row r="2113">
          <cell r="J2113">
            <v>25</v>
          </cell>
          <cell r="K2113">
            <v>25</v>
          </cell>
          <cell r="N2113">
            <v>6120.3</v>
          </cell>
          <cell r="Q2113" t="str">
            <v>2016_08</v>
          </cell>
        </row>
        <row r="2114">
          <cell r="J2114">
            <v>25</v>
          </cell>
          <cell r="K2114">
            <v>25</v>
          </cell>
          <cell r="N2114">
            <v>7202.47</v>
          </cell>
          <cell r="Q2114" t="str">
            <v>2016_09</v>
          </cell>
        </row>
        <row r="2115">
          <cell r="J2115">
            <v>85</v>
          </cell>
          <cell r="K2115">
            <v>85.1</v>
          </cell>
          <cell r="N2115">
            <v>0</v>
          </cell>
          <cell r="Q2115" t="str">
            <v>2015_10</v>
          </cell>
        </row>
        <row r="2116">
          <cell r="J2116">
            <v>85</v>
          </cell>
          <cell r="K2116">
            <v>85.1</v>
          </cell>
          <cell r="N2116">
            <v>0</v>
          </cell>
          <cell r="Q2116" t="str">
            <v>2015_11</v>
          </cell>
        </row>
        <row r="2117">
          <cell r="J2117">
            <v>85</v>
          </cell>
          <cell r="K2117">
            <v>85.1</v>
          </cell>
          <cell r="N2117">
            <v>0</v>
          </cell>
          <cell r="Q2117" t="str">
            <v>2015_12</v>
          </cell>
        </row>
        <row r="2118">
          <cell r="J2118">
            <v>85</v>
          </cell>
          <cell r="K2118">
            <v>85.1</v>
          </cell>
          <cell r="N2118">
            <v>32719.78</v>
          </cell>
          <cell r="Q2118" t="str">
            <v>2015_10</v>
          </cell>
        </row>
        <row r="2119">
          <cell r="J2119">
            <v>85</v>
          </cell>
          <cell r="K2119">
            <v>85.1</v>
          </cell>
          <cell r="N2119">
            <v>23832.55</v>
          </cell>
          <cell r="Q2119" t="str">
            <v>2015_11</v>
          </cell>
        </row>
        <row r="2120">
          <cell r="J2120">
            <v>85</v>
          </cell>
          <cell r="K2120">
            <v>85.1</v>
          </cell>
          <cell r="N2120">
            <v>22181.200000000001</v>
          </cell>
          <cell r="Q2120" t="str">
            <v>2015_12</v>
          </cell>
        </row>
        <row r="2121">
          <cell r="J2121">
            <v>85</v>
          </cell>
          <cell r="K2121">
            <v>85.1</v>
          </cell>
          <cell r="N2121">
            <v>19283.400000000001</v>
          </cell>
          <cell r="Q2121" t="str">
            <v>2016_01</v>
          </cell>
        </row>
        <row r="2122">
          <cell r="J2122">
            <v>85</v>
          </cell>
          <cell r="K2122">
            <v>85.1</v>
          </cell>
          <cell r="N2122">
            <v>23859.9</v>
          </cell>
          <cell r="Q2122" t="str">
            <v>2016_02</v>
          </cell>
        </row>
        <row r="2123">
          <cell r="J2123">
            <v>85</v>
          </cell>
          <cell r="K2123">
            <v>85.1</v>
          </cell>
          <cell r="N2123">
            <v>28371.040000000001</v>
          </cell>
          <cell r="Q2123" t="str">
            <v>2016_03</v>
          </cell>
        </row>
        <row r="2124">
          <cell r="J2124">
            <v>85</v>
          </cell>
          <cell r="K2124">
            <v>85.1</v>
          </cell>
          <cell r="N2124">
            <v>23993.37</v>
          </cell>
          <cell r="Q2124" t="str">
            <v>2016_04</v>
          </cell>
        </row>
        <row r="2125">
          <cell r="J2125">
            <v>85</v>
          </cell>
          <cell r="K2125">
            <v>85.1</v>
          </cell>
          <cell r="N2125">
            <v>20300.79</v>
          </cell>
          <cell r="Q2125" t="str">
            <v>2016_05</v>
          </cell>
        </row>
        <row r="2126">
          <cell r="J2126">
            <v>85</v>
          </cell>
          <cell r="K2126">
            <v>85.1</v>
          </cell>
          <cell r="N2126">
            <v>20218.25</v>
          </cell>
          <cell r="Q2126" t="str">
            <v>2016_06</v>
          </cell>
        </row>
        <row r="2127">
          <cell r="J2127">
            <v>85</v>
          </cell>
          <cell r="K2127">
            <v>85.1</v>
          </cell>
          <cell r="N2127">
            <v>19012.48</v>
          </cell>
          <cell r="Q2127" t="str">
            <v>2016_07</v>
          </cell>
        </row>
        <row r="2128">
          <cell r="J2128">
            <v>85</v>
          </cell>
          <cell r="K2128">
            <v>85.1</v>
          </cell>
          <cell r="N2128">
            <v>26616.66</v>
          </cell>
          <cell r="Q2128" t="str">
            <v>2016_08</v>
          </cell>
        </row>
        <row r="2129">
          <cell r="J2129">
            <v>85</v>
          </cell>
          <cell r="K2129">
            <v>85.1</v>
          </cell>
          <cell r="N2129">
            <v>23924.240000000002</v>
          </cell>
          <cell r="Q2129" t="str">
            <v>2016_09</v>
          </cell>
        </row>
        <row r="2130">
          <cell r="J2130">
            <v>85</v>
          </cell>
          <cell r="K2130">
            <v>85.1</v>
          </cell>
          <cell r="N2130">
            <v>1850.74</v>
          </cell>
          <cell r="Q2130" t="str">
            <v>2015_10</v>
          </cell>
        </row>
        <row r="2131">
          <cell r="J2131">
            <v>85</v>
          </cell>
          <cell r="K2131">
            <v>85.1</v>
          </cell>
          <cell r="N2131">
            <v>661.06</v>
          </cell>
          <cell r="Q2131" t="str">
            <v>2015_11</v>
          </cell>
        </row>
        <row r="2132">
          <cell r="J2132">
            <v>85</v>
          </cell>
          <cell r="K2132">
            <v>85.1</v>
          </cell>
          <cell r="N2132">
            <v>362.56</v>
          </cell>
          <cell r="Q2132" t="str">
            <v>2015_12</v>
          </cell>
        </row>
        <row r="2133">
          <cell r="J2133">
            <v>85</v>
          </cell>
          <cell r="K2133">
            <v>85.1</v>
          </cell>
          <cell r="N2133">
            <v>386.79</v>
          </cell>
          <cell r="Q2133" t="str">
            <v>2016_01</v>
          </cell>
        </row>
        <row r="2134">
          <cell r="J2134">
            <v>85</v>
          </cell>
          <cell r="K2134">
            <v>85.1</v>
          </cell>
          <cell r="N2134">
            <v>578.23</v>
          </cell>
          <cell r="Q2134" t="str">
            <v>2016_02</v>
          </cell>
        </row>
        <row r="2135">
          <cell r="J2135">
            <v>85</v>
          </cell>
          <cell r="K2135">
            <v>85.1</v>
          </cell>
          <cell r="N2135">
            <v>1167.67</v>
          </cell>
          <cell r="Q2135" t="str">
            <v>2016_03</v>
          </cell>
        </row>
        <row r="2136">
          <cell r="J2136">
            <v>85</v>
          </cell>
          <cell r="K2136">
            <v>85.1</v>
          </cell>
          <cell r="N2136">
            <v>2279.4</v>
          </cell>
          <cell r="Q2136" t="str">
            <v>2016_04</v>
          </cell>
        </row>
        <row r="2137">
          <cell r="J2137">
            <v>85</v>
          </cell>
          <cell r="K2137">
            <v>85.1</v>
          </cell>
          <cell r="N2137">
            <v>1052.49</v>
          </cell>
          <cell r="Q2137" t="str">
            <v>2016_05</v>
          </cell>
        </row>
        <row r="2138">
          <cell r="J2138">
            <v>85</v>
          </cell>
          <cell r="K2138">
            <v>85.1</v>
          </cell>
          <cell r="N2138">
            <v>916.85</v>
          </cell>
          <cell r="Q2138" t="str">
            <v>2016_06</v>
          </cell>
        </row>
        <row r="2139">
          <cell r="J2139">
            <v>85</v>
          </cell>
          <cell r="K2139">
            <v>85.1</v>
          </cell>
          <cell r="N2139">
            <v>609.37</v>
          </cell>
          <cell r="Q2139" t="str">
            <v>2016_07</v>
          </cell>
        </row>
        <row r="2140">
          <cell r="J2140">
            <v>85</v>
          </cell>
          <cell r="K2140">
            <v>85.1</v>
          </cell>
          <cell r="N2140">
            <v>1170.1500000000001</v>
          </cell>
          <cell r="Q2140" t="str">
            <v>2016_08</v>
          </cell>
        </row>
        <row r="2141">
          <cell r="J2141">
            <v>85</v>
          </cell>
          <cell r="K2141">
            <v>85.1</v>
          </cell>
          <cell r="N2141">
            <v>1476.8</v>
          </cell>
          <cell r="Q2141" t="str">
            <v>2016_09</v>
          </cell>
        </row>
        <row r="2142">
          <cell r="J2142">
            <v>85</v>
          </cell>
          <cell r="K2142">
            <v>85.1</v>
          </cell>
          <cell r="N2142">
            <v>690.2</v>
          </cell>
          <cell r="Q2142" t="str">
            <v>2016_03</v>
          </cell>
        </row>
        <row r="2143">
          <cell r="J2143">
            <v>85</v>
          </cell>
          <cell r="K2143">
            <v>85.1</v>
          </cell>
          <cell r="N2143">
            <v>0</v>
          </cell>
          <cell r="Q2143" t="str">
            <v>2016_04</v>
          </cell>
        </row>
        <row r="2144">
          <cell r="J2144">
            <v>85</v>
          </cell>
          <cell r="K2144">
            <v>85.1</v>
          </cell>
          <cell r="N2144">
            <v>0</v>
          </cell>
          <cell r="Q2144" t="str">
            <v>2016_05</v>
          </cell>
        </row>
        <row r="2145">
          <cell r="J2145">
            <v>85</v>
          </cell>
          <cell r="K2145">
            <v>85.1</v>
          </cell>
          <cell r="N2145">
            <v>0</v>
          </cell>
          <cell r="Q2145" t="str">
            <v>2016_06</v>
          </cell>
        </row>
        <row r="2146">
          <cell r="J2146">
            <v>85</v>
          </cell>
          <cell r="K2146">
            <v>85.1</v>
          </cell>
          <cell r="N2146">
            <v>0</v>
          </cell>
          <cell r="Q2146" t="str">
            <v>2016_07</v>
          </cell>
        </row>
        <row r="2147">
          <cell r="J2147">
            <v>85</v>
          </cell>
          <cell r="K2147">
            <v>85.1</v>
          </cell>
          <cell r="N2147">
            <v>0</v>
          </cell>
          <cell r="Q2147" t="str">
            <v>2016_08</v>
          </cell>
        </row>
        <row r="2148">
          <cell r="J2148">
            <v>85</v>
          </cell>
          <cell r="K2148">
            <v>85.1</v>
          </cell>
          <cell r="N2148">
            <v>0</v>
          </cell>
          <cell r="Q2148" t="str">
            <v>2016_09</v>
          </cell>
        </row>
        <row r="2149">
          <cell r="J2149">
            <v>57</v>
          </cell>
          <cell r="K2149">
            <v>57</v>
          </cell>
          <cell r="N2149">
            <v>960.72</v>
          </cell>
          <cell r="Q2149" t="str">
            <v>2015_10</v>
          </cell>
        </row>
        <row r="2150">
          <cell r="J2150">
            <v>57</v>
          </cell>
          <cell r="K2150">
            <v>57</v>
          </cell>
          <cell r="N2150">
            <v>1938.9</v>
          </cell>
          <cell r="Q2150" t="str">
            <v>2015_11</v>
          </cell>
        </row>
        <row r="2151">
          <cell r="J2151">
            <v>57</v>
          </cell>
          <cell r="K2151">
            <v>57</v>
          </cell>
          <cell r="N2151">
            <v>0</v>
          </cell>
          <cell r="Q2151" t="str">
            <v>2015_12</v>
          </cell>
        </row>
        <row r="2152">
          <cell r="J2152">
            <v>57</v>
          </cell>
          <cell r="K2152">
            <v>57</v>
          </cell>
          <cell r="N2152">
            <v>3886.34</v>
          </cell>
          <cell r="Q2152" t="str">
            <v>2016_01</v>
          </cell>
        </row>
        <row r="2153">
          <cell r="J2153">
            <v>57</v>
          </cell>
          <cell r="K2153">
            <v>57</v>
          </cell>
          <cell r="N2153">
            <v>2580.4899999999998</v>
          </cell>
          <cell r="Q2153" t="str">
            <v>2016_02</v>
          </cell>
        </row>
        <row r="2154">
          <cell r="J2154">
            <v>57</v>
          </cell>
          <cell r="K2154">
            <v>57</v>
          </cell>
          <cell r="N2154">
            <v>2557.5300000000002</v>
          </cell>
          <cell r="Q2154" t="str">
            <v>2016_03</v>
          </cell>
        </row>
        <row r="2155">
          <cell r="J2155">
            <v>57</v>
          </cell>
          <cell r="K2155">
            <v>57</v>
          </cell>
          <cell r="N2155">
            <v>3247.97</v>
          </cell>
          <cell r="Q2155" t="str">
            <v>2016_04</v>
          </cell>
        </row>
        <row r="2156">
          <cell r="J2156">
            <v>57</v>
          </cell>
          <cell r="K2156">
            <v>57</v>
          </cell>
          <cell r="N2156">
            <v>2682.15</v>
          </cell>
          <cell r="Q2156" t="str">
            <v>2016_05</v>
          </cell>
        </row>
        <row r="2157">
          <cell r="J2157">
            <v>57</v>
          </cell>
          <cell r="K2157">
            <v>57</v>
          </cell>
          <cell r="N2157">
            <v>2811.8</v>
          </cell>
          <cell r="Q2157" t="str">
            <v>2016_06</v>
          </cell>
        </row>
        <row r="2158">
          <cell r="J2158">
            <v>57</v>
          </cell>
          <cell r="K2158">
            <v>57</v>
          </cell>
          <cell r="N2158">
            <v>2422.9699999999998</v>
          </cell>
          <cell r="Q2158" t="str">
            <v>2016_07</v>
          </cell>
        </row>
        <row r="2159">
          <cell r="J2159">
            <v>57</v>
          </cell>
          <cell r="K2159">
            <v>57</v>
          </cell>
          <cell r="N2159">
            <v>3138.21</v>
          </cell>
          <cell r="Q2159" t="str">
            <v>2016_08</v>
          </cell>
        </row>
        <row r="2160">
          <cell r="J2160">
            <v>57</v>
          </cell>
          <cell r="K2160">
            <v>57</v>
          </cell>
          <cell r="N2160">
            <v>3107.28</v>
          </cell>
          <cell r="Q2160" t="str">
            <v>2016_09</v>
          </cell>
        </row>
        <row r="2161">
          <cell r="J2161">
            <v>85</v>
          </cell>
          <cell r="K2161">
            <v>85.2</v>
          </cell>
          <cell r="N2161">
            <v>4679.54</v>
          </cell>
          <cell r="Q2161" t="str">
            <v>2015_10</v>
          </cell>
        </row>
        <row r="2162">
          <cell r="J2162">
            <v>85</v>
          </cell>
          <cell r="K2162">
            <v>85.2</v>
          </cell>
          <cell r="N2162">
            <v>3287.35</v>
          </cell>
          <cell r="Q2162" t="str">
            <v>2015_11</v>
          </cell>
        </row>
        <row r="2163">
          <cell r="J2163">
            <v>85</v>
          </cell>
          <cell r="K2163">
            <v>85.2</v>
          </cell>
          <cell r="N2163">
            <v>2932.94</v>
          </cell>
          <cell r="Q2163" t="str">
            <v>2015_12</v>
          </cell>
        </row>
        <row r="2164">
          <cell r="J2164">
            <v>85</v>
          </cell>
          <cell r="K2164">
            <v>85.2</v>
          </cell>
          <cell r="N2164">
            <v>2701.43</v>
          </cell>
          <cell r="Q2164" t="str">
            <v>2016_01</v>
          </cell>
        </row>
        <row r="2165">
          <cell r="J2165">
            <v>85</v>
          </cell>
          <cell r="K2165">
            <v>85.2</v>
          </cell>
          <cell r="N2165">
            <v>3311.89</v>
          </cell>
          <cell r="Q2165" t="str">
            <v>2016_02</v>
          </cell>
        </row>
        <row r="2166">
          <cell r="J2166">
            <v>85</v>
          </cell>
          <cell r="K2166">
            <v>85.2</v>
          </cell>
          <cell r="N2166">
            <v>3538.06</v>
          </cell>
          <cell r="Q2166" t="str">
            <v>2016_03</v>
          </cell>
        </row>
        <row r="2167">
          <cell r="J2167">
            <v>85</v>
          </cell>
          <cell r="K2167">
            <v>85.2</v>
          </cell>
          <cell r="N2167">
            <v>3399.03</v>
          </cell>
          <cell r="Q2167" t="str">
            <v>2016_04</v>
          </cell>
        </row>
        <row r="2168">
          <cell r="J2168">
            <v>85</v>
          </cell>
          <cell r="K2168">
            <v>85.2</v>
          </cell>
          <cell r="N2168">
            <v>3267.08</v>
          </cell>
          <cell r="Q2168" t="str">
            <v>2016_05</v>
          </cell>
        </row>
        <row r="2169">
          <cell r="J2169">
            <v>85</v>
          </cell>
          <cell r="K2169">
            <v>85.2</v>
          </cell>
          <cell r="N2169">
            <v>3245.07</v>
          </cell>
          <cell r="Q2169" t="str">
            <v>2016_06</v>
          </cell>
        </row>
        <row r="2170">
          <cell r="J2170">
            <v>85</v>
          </cell>
          <cell r="K2170">
            <v>85.2</v>
          </cell>
          <cell r="N2170">
            <v>3065.45</v>
          </cell>
          <cell r="Q2170" t="str">
            <v>2016_07</v>
          </cell>
        </row>
        <row r="2171">
          <cell r="J2171">
            <v>85</v>
          </cell>
          <cell r="K2171">
            <v>85.2</v>
          </cell>
          <cell r="N2171">
            <v>3788.37</v>
          </cell>
          <cell r="Q2171" t="str">
            <v>2016_08</v>
          </cell>
        </row>
        <row r="2172">
          <cell r="J2172">
            <v>85</v>
          </cell>
          <cell r="K2172">
            <v>85.2</v>
          </cell>
          <cell r="N2172">
            <v>3158.27</v>
          </cell>
          <cell r="Q2172" t="str">
            <v>2016_09</v>
          </cell>
        </row>
        <row r="2173">
          <cell r="J2173">
            <v>85</v>
          </cell>
          <cell r="K2173">
            <v>85.2</v>
          </cell>
          <cell r="N2173">
            <v>700.04</v>
          </cell>
          <cell r="Q2173" t="str">
            <v>2015_10</v>
          </cell>
        </row>
        <row r="2174">
          <cell r="J2174">
            <v>85</v>
          </cell>
          <cell r="K2174">
            <v>85.2</v>
          </cell>
          <cell r="N2174">
            <v>385.63</v>
          </cell>
          <cell r="Q2174" t="str">
            <v>2015_11</v>
          </cell>
        </row>
        <row r="2175">
          <cell r="J2175">
            <v>85</v>
          </cell>
          <cell r="K2175">
            <v>85.2</v>
          </cell>
          <cell r="N2175">
            <v>242.01</v>
          </cell>
          <cell r="Q2175" t="str">
            <v>2015_12</v>
          </cell>
        </row>
        <row r="2176">
          <cell r="J2176">
            <v>85</v>
          </cell>
          <cell r="K2176">
            <v>85.2</v>
          </cell>
          <cell r="N2176">
            <v>149.31</v>
          </cell>
          <cell r="Q2176" t="str">
            <v>2016_01</v>
          </cell>
        </row>
        <row r="2177">
          <cell r="J2177">
            <v>85</v>
          </cell>
          <cell r="K2177">
            <v>85.2</v>
          </cell>
          <cell r="N2177">
            <v>409.15</v>
          </cell>
          <cell r="Q2177" t="str">
            <v>2016_02</v>
          </cell>
        </row>
        <row r="2178">
          <cell r="J2178">
            <v>85</v>
          </cell>
          <cell r="K2178">
            <v>85.2</v>
          </cell>
          <cell r="N2178">
            <v>234.41</v>
          </cell>
          <cell r="Q2178" t="str">
            <v>2016_03</v>
          </cell>
        </row>
        <row r="2179">
          <cell r="J2179">
            <v>85</v>
          </cell>
          <cell r="K2179">
            <v>85.2</v>
          </cell>
          <cell r="N2179">
            <v>405.22</v>
          </cell>
          <cell r="Q2179" t="str">
            <v>2016_04</v>
          </cell>
        </row>
        <row r="2180">
          <cell r="J2180">
            <v>85</v>
          </cell>
          <cell r="K2180">
            <v>85.2</v>
          </cell>
          <cell r="N2180">
            <v>191.4</v>
          </cell>
          <cell r="Q2180" t="str">
            <v>2016_05</v>
          </cell>
        </row>
        <row r="2181">
          <cell r="J2181">
            <v>85</v>
          </cell>
          <cell r="K2181">
            <v>85.2</v>
          </cell>
          <cell r="N2181">
            <v>251.97</v>
          </cell>
          <cell r="Q2181" t="str">
            <v>2016_06</v>
          </cell>
        </row>
        <row r="2182">
          <cell r="J2182">
            <v>85</v>
          </cell>
          <cell r="K2182">
            <v>85.2</v>
          </cell>
          <cell r="N2182">
            <v>73.900000000000006</v>
          </cell>
          <cell r="Q2182" t="str">
            <v>2016_07</v>
          </cell>
        </row>
        <row r="2183">
          <cell r="J2183">
            <v>85</v>
          </cell>
          <cell r="K2183">
            <v>85.2</v>
          </cell>
          <cell r="N2183">
            <v>489.41</v>
          </cell>
          <cell r="Q2183" t="str">
            <v>2016_08</v>
          </cell>
        </row>
        <row r="2184">
          <cell r="J2184">
            <v>85</v>
          </cell>
          <cell r="K2184">
            <v>85.2</v>
          </cell>
          <cell r="N2184">
            <v>457</v>
          </cell>
          <cell r="Q2184" t="str">
            <v>2016_09</v>
          </cell>
        </row>
        <row r="2185">
          <cell r="J2185">
            <v>85</v>
          </cell>
          <cell r="K2185">
            <v>85.2</v>
          </cell>
          <cell r="N2185">
            <v>18054.650000000001</v>
          </cell>
          <cell r="Q2185" t="str">
            <v>2015_10</v>
          </cell>
        </row>
        <row r="2186">
          <cell r="J2186">
            <v>85</v>
          </cell>
          <cell r="K2186">
            <v>85.2</v>
          </cell>
          <cell r="N2186">
            <v>13750</v>
          </cell>
          <cell r="Q2186" t="str">
            <v>2015_11</v>
          </cell>
        </row>
        <row r="2187">
          <cell r="J2187">
            <v>85</v>
          </cell>
          <cell r="K2187">
            <v>85.2</v>
          </cell>
          <cell r="N2187">
            <v>16750</v>
          </cell>
          <cell r="Q2187" t="str">
            <v>2015_12</v>
          </cell>
        </row>
        <row r="2188">
          <cell r="J2188">
            <v>85</v>
          </cell>
          <cell r="K2188">
            <v>85.2</v>
          </cell>
          <cell r="N2188">
            <v>11425.16</v>
          </cell>
          <cell r="Q2188" t="str">
            <v>2016_01</v>
          </cell>
        </row>
        <row r="2189">
          <cell r="J2189">
            <v>85</v>
          </cell>
          <cell r="K2189">
            <v>85.2</v>
          </cell>
          <cell r="N2189">
            <v>14092.8</v>
          </cell>
          <cell r="Q2189" t="str">
            <v>2016_02</v>
          </cell>
        </row>
        <row r="2190">
          <cell r="J2190">
            <v>85</v>
          </cell>
          <cell r="K2190">
            <v>85.2</v>
          </cell>
          <cell r="N2190">
            <v>13214.76</v>
          </cell>
          <cell r="Q2190" t="str">
            <v>2016_03</v>
          </cell>
        </row>
        <row r="2191">
          <cell r="J2191">
            <v>85</v>
          </cell>
          <cell r="K2191">
            <v>85.2</v>
          </cell>
          <cell r="N2191">
            <v>21106.68</v>
          </cell>
          <cell r="Q2191" t="str">
            <v>2016_04</v>
          </cell>
        </row>
        <row r="2192">
          <cell r="J2192">
            <v>85</v>
          </cell>
          <cell r="K2192">
            <v>85.2</v>
          </cell>
          <cell r="N2192">
            <v>15150.49</v>
          </cell>
          <cell r="Q2192" t="str">
            <v>2016_05</v>
          </cell>
        </row>
        <row r="2193">
          <cell r="J2193">
            <v>85</v>
          </cell>
          <cell r="K2193">
            <v>85.2</v>
          </cell>
          <cell r="N2193">
            <v>20708.22</v>
          </cell>
          <cell r="Q2193" t="str">
            <v>2016_06</v>
          </cell>
        </row>
        <row r="2194">
          <cell r="J2194">
            <v>85</v>
          </cell>
          <cell r="K2194">
            <v>85.2</v>
          </cell>
          <cell r="N2194">
            <v>24116.75</v>
          </cell>
          <cell r="Q2194" t="str">
            <v>2016_07</v>
          </cell>
        </row>
        <row r="2195">
          <cell r="J2195">
            <v>85</v>
          </cell>
          <cell r="K2195">
            <v>85.2</v>
          </cell>
          <cell r="N2195">
            <v>24958.77</v>
          </cell>
          <cell r="Q2195" t="str">
            <v>2016_08</v>
          </cell>
        </row>
        <row r="2196">
          <cell r="J2196">
            <v>85</v>
          </cell>
          <cell r="K2196">
            <v>85.2</v>
          </cell>
          <cell r="N2196">
            <v>33037.22</v>
          </cell>
          <cell r="Q2196" t="str">
            <v>2016_09</v>
          </cell>
        </row>
        <row r="2197">
          <cell r="J2197">
            <v>85</v>
          </cell>
          <cell r="K2197">
            <v>85.2</v>
          </cell>
          <cell r="N2197">
            <v>3252.89</v>
          </cell>
          <cell r="Q2197" t="str">
            <v>2016_08</v>
          </cell>
        </row>
        <row r="2198">
          <cell r="J2198">
            <v>85</v>
          </cell>
          <cell r="K2198">
            <v>85.2</v>
          </cell>
          <cell r="N2198">
            <v>5571.75</v>
          </cell>
          <cell r="Q2198" t="str">
            <v>2016_09</v>
          </cell>
        </row>
        <row r="2199">
          <cell r="J2199">
            <v>85</v>
          </cell>
          <cell r="K2199">
            <v>85.2</v>
          </cell>
          <cell r="N2199">
            <v>54.51</v>
          </cell>
          <cell r="Q2199" t="str">
            <v>2016_08</v>
          </cell>
        </row>
        <row r="2200">
          <cell r="J2200">
            <v>85</v>
          </cell>
          <cell r="K2200">
            <v>85.2</v>
          </cell>
          <cell r="N2200">
            <v>13.8</v>
          </cell>
          <cell r="Q2200" t="str">
            <v>2016_09</v>
          </cell>
        </row>
        <row r="2201">
          <cell r="J2201">
            <v>77</v>
          </cell>
          <cell r="K2201">
            <v>77</v>
          </cell>
          <cell r="N2201">
            <v>68029.740000000005</v>
          </cell>
          <cell r="Q2201" t="str">
            <v>2015_10</v>
          </cell>
        </row>
        <row r="2202">
          <cell r="J2202">
            <v>77</v>
          </cell>
          <cell r="K2202">
            <v>77</v>
          </cell>
          <cell r="N2202">
            <v>45353.16</v>
          </cell>
          <cell r="Q2202" t="str">
            <v>2015_11</v>
          </cell>
        </row>
        <row r="2203">
          <cell r="J2203">
            <v>77</v>
          </cell>
          <cell r="K2203">
            <v>77</v>
          </cell>
          <cell r="N2203">
            <v>45353.16</v>
          </cell>
          <cell r="Q2203" t="str">
            <v>2015_12</v>
          </cell>
        </row>
        <row r="2204">
          <cell r="J2204">
            <v>77</v>
          </cell>
          <cell r="K2204">
            <v>77</v>
          </cell>
          <cell r="N2204">
            <v>45353.16</v>
          </cell>
          <cell r="Q2204" t="str">
            <v>2016_01</v>
          </cell>
        </row>
        <row r="2205">
          <cell r="J2205">
            <v>77</v>
          </cell>
          <cell r="K2205">
            <v>77</v>
          </cell>
          <cell r="N2205">
            <v>47620.82</v>
          </cell>
          <cell r="Q2205" t="str">
            <v>2016_02</v>
          </cell>
        </row>
        <row r="2206">
          <cell r="J2206">
            <v>77</v>
          </cell>
          <cell r="K2206">
            <v>77</v>
          </cell>
          <cell r="N2206">
            <v>52156.14</v>
          </cell>
          <cell r="Q2206" t="str">
            <v>2016_03</v>
          </cell>
        </row>
        <row r="2207">
          <cell r="J2207">
            <v>77</v>
          </cell>
          <cell r="K2207">
            <v>77</v>
          </cell>
          <cell r="N2207">
            <v>69355.8</v>
          </cell>
          <cell r="Q2207" t="str">
            <v>2016_04</v>
          </cell>
        </row>
        <row r="2208">
          <cell r="J2208">
            <v>77</v>
          </cell>
          <cell r="K2208">
            <v>77</v>
          </cell>
          <cell r="N2208">
            <v>69355.820000000007</v>
          </cell>
          <cell r="Q2208" t="str">
            <v>2016_05</v>
          </cell>
        </row>
        <row r="2209">
          <cell r="J2209">
            <v>77</v>
          </cell>
          <cell r="K2209">
            <v>77</v>
          </cell>
          <cell r="N2209">
            <v>69025.58</v>
          </cell>
          <cell r="Q2209" t="str">
            <v>2016_06</v>
          </cell>
        </row>
        <row r="2210">
          <cell r="J2210">
            <v>77</v>
          </cell>
          <cell r="K2210">
            <v>77</v>
          </cell>
          <cell r="N2210">
            <v>0</v>
          </cell>
          <cell r="Q2210" t="str">
            <v>2016_07</v>
          </cell>
        </row>
        <row r="2211">
          <cell r="J2211">
            <v>77</v>
          </cell>
          <cell r="K2211">
            <v>77</v>
          </cell>
          <cell r="N2211">
            <v>0</v>
          </cell>
          <cell r="Q2211" t="str">
            <v>2016_08</v>
          </cell>
        </row>
        <row r="2212">
          <cell r="J2212">
            <v>77</v>
          </cell>
          <cell r="K2212">
            <v>77</v>
          </cell>
          <cell r="N2212">
            <v>0</v>
          </cell>
          <cell r="Q2212" t="str">
            <v>2016_09</v>
          </cell>
        </row>
        <row r="2213">
          <cell r="J2213">
            <v>78</v>
          </cell>
          <cell r="K2213">
            <v>78</v>
          </cell>
          <cell r="N2213">
            <v>-17422.830000000002</v>
          </cell>
          <cell r="Q2213" t="str">
            <v>2015_10</v>
          </cell>
        </row>
        <row r="2214">
          <cell r="J2214">
            <v>78</v>
          </cell>
          <cell r="K2214">
            <v>78</v>
          </cell>
          <cell r="N2214">
            <v>-11615.22</v>
          </cell>
          <cell r="Q2214" t="str">
            <v>2015_11</v>
          </cell>
        </row>
        <row r="2215">
          <cell r="J2215">
            <v>78</v>
          </cell>
          <cell r="K2215">
            <v>78</v>
          </cell>
          <cell r="N2215">
            <v>-11615.22</v>
          </cell>
          <cell r="Q2215" t="str">
            <v>2015_12</v>
          </cell>
        </row>
        <row r="2216">
          <cell r="J2216">
            <v>78</v>
          </cell>
          <cell r="K2216">
            <v>78</v>
          </cell>
          <cell r="N2216">
            <v>-11615.22</v>
          </cell>
          <cell r="Q2216" t="str">
            <v>2016_01</v>
          </cell>
        </row>
        <row r="2217">
          <cell r="J2217">
            <v>78</v>
          </cell>
          <cell r="K2217">
            <v>78</v>
          </cell>
          <cell r="N2217">
            <v>-11615.22</v>
          </cell>
          <cell r="Q2217" t="str">
            <v>2016_02</v>
          </cell>
        </row>
        <row r="2218">
          <cell r="J2218">
            <v>78</v>
          </cell>
          <cell r="K2218">
            <v>78</v>
          </cell>
          <cell r="N2218">
            <v>-11615.22</v>
          </cell>
          <cell r="Q2218" t="str">
            <v>2016_03</v>
          </cell>
        </row>
        <row r="2219">
          <cell r="J2219">
            <v>78</v>
          </cell>
          <cell r="K2219">
            <v>78</v>
          </cell>
          <cell r="N2219">
            <v>-11615.22</v>
          </cell>
          <cell r="Q2219" t="str">
            <v>2016_04</v>
          </cell>
        </row>
        <row r="2220">
          <cell r="J2220">
            <v>78</v>
          </cell>
          <cell r="K2220">
            <v>78</v>
          </cell>
          <cell r="N2220">
            <v>-11615.22</v>
          </cell>
          <cell r="Q2220" t="str">
            <v>2016_05</v>
          </cell>
        </row>
        <row r="2221">
          <cell r="J2221">
            <v>78</v>
          </cell>
          <cell r="K2221">
            <v>78</v>
          </cell>
          <cell r="N2221">
            <v>-11615.22</v>
          </cell>
          <cell r="Q2221" t="str">
            <v>2016_06</v>
          </cell>
        </row>
        <row r="2222">
          <cell r="J2222">
            <v>78</v>
          </cell>
          <cell r="K2222">
            <v>78</v>
          </cell>
          <cell r="N2222">
            <v>0</v>
          </cell>
          <cell r="Q2222" t="str">
            <v>2016_07</v>
          </cell>
        </row>
        <row r="2223">
          <cell r="J2223">
            <v>78</v>
          </cell>
          <cell r="K2223">
            <v>78</v>
          </cell>
          <cell r="N2223">
            <v>0</v>
          </cell>
          <cell r="Q2223" t="str">
            <v>2016_08</v>
          </cell>
        </row>
        <row r="2224">
          <cell r="J2224">
            <v>78</v>
          </cell>
          <cell r="K2224">
            <v>78</v>
          </cell>
          <cell r="N2224">
            <v>0</v>
          </cell>
          <cell r="Q2224" t="str">
            <v>2016_09</v>
          </cell>
        </row>
        <row r="2225">
          <cell r="J2225">
            <v>69</v>
          </cell>
          <cell r="K2225">
            <v>69</v>
          </cell>
          <cell r="N2225">
            <v>7196.81</v>
          </cell>
          <cell r="Q2225" t="str">
            <v>2015_10</v>
          </cell>
        </row>
        <row r="2226">
          <cell r="J2226">
            <v>69</v>
          </cell>
          <cell r="K2226">
            <v>69</v>
          </cell>
          <cell r="N2226">
            <v>4342.3500000000004</v>
          </cell>
          <cell r="Q2226" t="str">
            <v>2015_11</v>
          </cell>
        </row>
        <row r="2227">
          <cell r="J2227">
            <v>69</v>
          </cell>
          <cell r="K2227">
            <v>69</v>
          </cell>
          <cell r="N2227">
            <v>4524.63</v>
          </cell>
          <cell r="Q2227" t="str">
            <v>2015_12</v>
          </cell>
        </row>
        <row r="2228">
          <cell r="J2228">
            <v>69</v>
          </cell>
          <cell r="K2228">
            <v>69</v>
          </cell>
          <cell r="N2228">
            <v>4297.92</v>
          </cell>
          <cell r="Q2228" t="str">
            <v>2016_01</v>
          </cell>
        </row>
        <row r="2229">
          <cell r="J2229">
            <v>69</v>
          </cell>
          <cell r="K2229">
            <v>69</v>
          </cell>
          <cell r="N2229">
            <v>6102.48</v>
          </cell>
          <cell r="Q2229" t="str">
            <v>2016_02</v>
          </cell>
        </row>
        <row r="2230">
          <cell r="J2230">
            <v>69</v>
          </cell>
          <cell r="K2230">
            <v>69</v>
          </cell>
          <cell r="N2230">
            <v>6546</v>
          </cell>
          <cell r="Q2230" t="str">
            <v>2016_03</v>
          </cell>
        </row>
        <row r="2231">
          <cell r="J2231">
            <v>69</v>
          </cell>
          <cell r="K2231">
            <v>69</v>
          </cell>
          <cell r="N2231">
            <v>4430.54</v>
          </cell>
          <cell r="Q2231" t="str">
            <v>2016_04</v>
          </cell>
        </row>
        <row r="2232">
          <cell r="J2232">
            <v>69</v>
          </cell>
          <cell r="K2232">
            <v>69</v>
          </cell>
          <cell r="N2232">
            <v>2399.91</v>
          </cell>
          <cell r="Q2232" t="str">
            <v>2016_05</v>
          </cell>
        </row>
        <row r="2233">
          <cell r="J2233">
            <v>69</v>
          </cell>
          <cell r="K2233">
            <v>69</v>
          </cell>
          <cell r="N2233">
            <v>5299.62</v>
          </cell>
          <cell r="Q2233" t="str">
            <v>2016_06</v>
          </cell>
        </row>
        <row r="2234">
          <cell r="J2234">
            <v>69</v>
          </cell>
          <cell r="K2234">
            <v>69</v>
          </cell>
          <cell r="N2234">
            <v>4801.6099999999997</v>
          </cell>
          <cell r="Q2234" t="str">
            <v>2016_07</v>
          </cell>
        </row>
        <row r="2235">
          <cell r="J2235">
            <v>69</v>
          </cell>
          <cell r="K2235">
            <v>69</v>
          </cell>
          <cell r="N2235">
            <v>5366.77</v>
          </cell>
          <cell r="Q2235" t="str">
            <v>2016_08</v>
          </cell>
        </row>
        <row r="2236">
          <cell r="J2236">
            <v>69</v>
          </cell>
          <cell r="K2236">
            <v>69</v>
          </cell>
          <cell r="N2236">
            <v>5183.41</v>
          </cell>
          <cell r="Q2236" t="str">
            <v>2016_09</v>
          </cell>
        </row>
        <row r="2237">
          <cell r="J2237">
            <v>69</v>
          </cell>
          <cell r="K2237">
            <v>69</v>
          </cell>
          <cell r="N2237">
            <v>507.01</v>
          </cell>
          <cell r="Q2237" t="str">
            <v>2015_10</v>
          </cell>
        </row>
        <row r="2238">
          <cell r="J2238">
            <v>69</v>
          </cell>
          <cell r="K2238">
            <v>69</v>
          </cell>
          <cell r="N2238">
            <v>560.36</v>
          </cell>
          <cell r="Q2238" t="str">
            <v>2015_11</v>
          </cell>
        </row>
        <row r="2239">
          <cell r="J2239">
            <v>69</v>
          </cell>
          <cell r="K2239">
            <v>69</v>
          </cell>
          <cell r="N2239">
            <v>23.02</v>
          </cell>
          <cell r="Q2239" t="str">
            <v>2015_12</v>
          </cell>
        </row>
        <row r="2240">
          <cell r="J2240">
            <v>69</v>
          </cell>
          <cell r="K2240">
            <v>69</v>
          </cell>
          <cell r="N2240">
            <v>603.87</v>
          </cell>
          <cell r="Q2240" t="str">
            <v>2016_01</v>
          </cell>
        </row>
        <row r="2241">
          <cell r="J2241">
            <v>69</v>
          </cell>
          <cell r="K2241">
            <v>69</v>
          </cell>
          <cell r="N2241">
            <v>180.04</v>
          </cell>
          <cell r="Q2241" t="str">
            <v>2016_02</v>
          </cell>
        </row>
        <row r="2242">
          <cell r="J2242">
            <v>69</v>
          </cell>
          <cell r="K2242">
            <v>69</v>
          </cell>
          <cell r="N2242">
            <v>188.36</v>
          </cell>
          <cell r="Q2242" t="str">
            <v>2016_03</v>
          </cell>
        </row>
        <row r="2243">
          <cell r="J2243">
            <v>69</v>
          </cell>
          <cell r="K2243">
            <v>69</v>
          </cell>
          <cell r="N2243">
            <v>584.22</v>
          </cell>
          <cell r="Q2243" t="str">
            <v>2016_04</v>
          </cell>
        </row>
        <row r="2244">
          <cell r="J2244">
            <v>69</v>
          </cell>
          <cell r="K2244">
            <v>69</v>
          </cell>
          <cell r="N2244">
            <v>60.71</v>
          </cell>
          <cell r="Q2244" t="str">
            <v>2016_05</v>
          </cell>
        </row>
        <row r="2245">
          <cell r="J2245">
            <v>69</v>
          </cell>
          <cell r="K2245">
            <v>69</v>
          </cell>
          <cell r="N2245">
            <v>318.51</v>
          </cell>
          <cell r="Q2245" t="str">
            <v>2016_06</v>
          </cell>
        </row>
        <row r="2246">
          <cell r="J2246">
            <v>69</v>
          </cell>
          <cell r="K2246">
            <v>69</v>
          </cell>
          <cell r="N2246">
            <v>434.72</v>
          </cell>
          <cell r="Q2246" t="str">
            <v>2016_07</v>
          </cell>
        </row>
        <row r="2247">
          <cell r="J2247">
            <v>69</v>
          </cell>
          <cell r="K2247">
            <v>69</v>
          </cell>
          <cell r="N2247">
            <v>171.22</v>
          </cell>
          <cell r="Q2247" t="str">
            <v>2016_08</v>
          </cell>
        </row>
        <row r="2248">
          <cell r="J2248">
            <v>69</v>
          </cell>
          <cell r="K2248">
            <v>69</v>
          </cell>
          <cell r="N2248">
            <v>779.74</v>
          </cell>
          <cell r="Q2248" t="str">
            <v>2016_09</v>
          </cell>
        </row>
        <row r="2249">
          <cell r="J2249">
            <v>69</v>
          </cell>
          <cell r="K2249">
            <v>69</v>
          </cell>
          <cell r="N2249">
            <v>3305.74</v>
          </cell>
          <cell r="Q2249" t="str">
            <v>2016_09</v>
          </cell>
        </row>
        <row r="2250">
          <cell r="J2250">
            <v>26</v>
          </cell>
          <cell r="K2250">
            <v>26</v>
          </cell>
          <cell r="N2250">
            <v>58060.42</v>
          </cell>
          <cell r="Q2250" t="str">
            <v>2015_10</v>
          </cell>
        </row>
        <row r="2251">
          <cell r="J2251">
            <v>26</v>
          </cell>
          <cell r="K2251">
            <v>26</v>
          </cell>
          <cell r="N2251">
            <v>41766.300000000003</v>
          </cell>
          <cell r="Q2251" t="str">
            <v>2015_11</v>
          </cell>
        </row>
        <row r="2252">
          <cell r="J2252">
            <v>26</v>
          </cell>
          <cell r="K2252">
            <v>26</v>
          </cell>
          <cell r="N2252">
            <v>37816.06</v>
          </cell>
          <cell r="Q2252" t="str">
            <v>2015_12</v>
          </cell>
        </row>
        <row r="2253">
          <cell r="J2253">
            <v>26</v>
          </cell>
          <cell r="K2253">
            <v>26</v>
          </cell>
          <cell r="N2253">
            <v>38552.6</v>
          </cell>
          <cell r="Q2253" t="str">
            <v>2016_01</v>
          </cell>
        </row>
        <row r="2254">
          <cell r="J2254">
            <v>26</v>
          </cell>
          <cell r="K2254">
            <v>26</v>
          </cell>
          <cell r="N2254">
            <v>36840.97</v>
          </cell>
          <cell r="Q2254" t="str">
            <v>2016_02</v>
          </cell>
        </row>
        <row r="2255">
          <cell r="J2255">
            <v>26</v>
          </cell>
          <cell r="K2255">
            <v>26</v>
          </cell>
          <cell r="N2255">
            <v>39764.97</v>
          </cell>
          <cell r="Q2255" t="str">
            <v>2016_03</v>
          </cell>
        </row>
        <row r="2256">
          <cell r="J2256">
            <v>26</v>
          </cell>
          <cell r="K2256">
            <v>26</v>
          </cell>
          <cell r="N2256">
            <v>41035.1</v>
          </cell>
          <cell r="Q2256" t="str">
            <v>2016_04</v>
          </cell>
        </row>
        <row r="2257">
          <cell r="J2257">
            <v>26</v>
          </cell>
          <cell r="K2257">
            <v>26</v>
          </cell>
          <cell r="N2257">
            <v>44941.96</v>
          </cell>
          <cell r="Q2257" t="str">
            <v>2016_05</v>
          </cell>
        </row>
        <row r="2258">
          <cell r="J2258">
            <v>26</v>
          </cell>
          <cell r="K2258">
            <v>26</v>
          </cell>
          <cell r="N2258">
            <v>44772.800000000003</v>
          </cell>
          <cell r="Q2258" t="str">
            <v>2016_06</v>
          </cell>
        </row>
        <row r="2259">
          <cell r="J2259">
            <v>26</v>
          </cell>
          <cell r="K2259">
            <v>26</v>
          </cell>
          <cell r="N2259">
            <v>42975.62</v>
          </cell>
          <cell r="Q2259" t="str">
            <v>2016_07</v>
          </cell>
        </row>
        <row r="2260">
          <cell r="J2260">
            <v>26</v>
          </cell>
          <cell r="K2260">
            <v>26</v>
          </cell>
          <cell r="N2260">
            <v>45211.41</v>
          </cell>
          <cell r="Q2260" t="str">
            <v>2016_08</v>
          </cell>
        </row>
        <row r="2261">
          <cell r="J2261">
            <v>26</v>
          </cell>
          <cell r="K2261">
            <v>26</v>
          </cell>
          <cell r="N2261">
            <v>46439.7</v>
          </cell>
          <cell r="Q2261" t="str">
            <v>2016_09</v>
          </cell>
        </row>
        <row r="2262">
          <cell r="J2262">
            <v>27</v>
          </cell>
          <cell r="K2262">
            <v>27</v>
          </cell>
          <cell r="N2262">
            <v>4879.22</v>
          </cell>
          <cell r="Q2262" t="str">
            <v>2015_10</v>
          </cell>
        </row>
        <row r="2263">
          <cell r="J2263">
            <v>27</v>
          </cell>
          <cell r="K2263">
            <v>27</v>
          </cell>
          <cell r="N2263">
            <v>2231.65</v>
          </cell>
          <cell r="Q2263" t="str">
            <v>2015_11</v>
          </cell>
        </row>
        <row r="2264">
          <cell r="J2264">
            <v>27</v>
          </cell>
          <cell r="K2264">
            <v>27</v>
          </cell>
          <cell r="N2264">
            <v>1661.82</v>
          </cell>
          <cell r="Q2264" t="str">
            <v>2015_12</v>
          </cell>
        </row>
        <row r="2265">
          <cell r="J2265">
            <v>27</v>
          </cell>
          <cell r="K2265">
            <v>27</v>
          </cell>
          <cell r="N2265">
            <v>994.53</v>
          </cell>
          <cell r="Q2265" t="str">
            <v>2016_01</v>
          </cell>
        </row>
        <row r="2266">
          <cell r="J2266">
            <v>27</v>
          </cell>
          <cell r="K2266">
            <v>27</v>
          </cell>
          <cell r="N2266">
            <v>1063.71</v>
          </cell>
          <cell r="Q2266" t="str">
            <v>2016_02</v>
          </cell>
        </row>
        <row r="2267">
          <cell r="J2267">
            <v>27</v>
          </cell>
          <cell r="K2267">
            <v>27</v>
          </cell>
          <cell r="N2267">
            <v>1128.96</v>
          </cell>
          <cell r="Q2267" t="str">
            <v>2016_03</v>
          </cell>
        </row>
        <row r="2268">
          <cell r="J2268">
            <v>27</v>
          </cell>
          <cell r="K2268">
            <v>27</v>
          </cell>
          <cell r="N2268">
            <v>5807.68</v>
          </cell>
          <cell r="Q2268" t="str">
            <v>2016_04</v>
          </cell>
        </row>
        <row r="2269">
          <cell r="J2269">
            <v>27</v>
          </cell>
          <cell r="K2269">
            <v>27</v>
          </cell>
          <cell r="N2269">
            <v>3279.94</v>
          </cell>
          <cell r="Q2269" t="str">
            <v>2016_05</v>
          </cell>
        </row>
        <row r="2270">
          <cell r="J2270">
            <v>27</v>
          </cell>
          <cell r="K2270">
            <v>27</v>
          </cell>
          <cell r="N2270">
            <v>3617.52</v>
          </cell>
          <cell r="Q2270" t="str">
            <v>2016_06</v>
          </cell>
        </row>
        <row r="2271">
          <cell r="J2271">
            <v>27</v>
          </cell>
          <cell r="K2271">
            <v>27</v>
          </cell>
          <cell r="N2271">
            <v>3707.75</v>
          </cell>
          <cell r="Q2271" t="str">
            <v>2016_07</v>
          </cell>
        </row>
        <row r="2272">
          <cell r="J2272">
            <v>27</v>
          </cell>
          <cell r="K2272">
            <v>27</v>
          </cell>
          <cell r="N2272">
            <v>4056.2</v>
          </cell>
          <cell r="Q2272" t="str">
            <v>2016_08</v>
          </cell>
        </row>
        <row r="2273">
          <cell r="J2273">
            <v>27</v>
          </cell>
          <cell r="K2273">
            <v>27</v>
          </cell>
          <cell r="N2273">
            <v>5020.4799999999996</v>
          </cell>
          <cell r="Q2273" t="str">
            <v>2016_09</v>
          </cell>
        </row>
        <row r="2274">
          <cell r="J2274">
            <v>26</v>
          </cell>
          <cell r="K2274">
            <v>26</v>
          </cell>
          <cell r="N2274">
            <v>-1709.24</v>
          </cell>
          <cell r="Q2274" t="str">
            <v>2015_10</v>
          </cell>
        </row>
        <row r="2275">
          <cell r="J2275">
            <v>26</v>
          </cell>
          <cell r="K2275">
            <v>26</v>
          </cell>
          <cell r="N2275">
            <v>-1723.96</v>
          </cell>
          <cell r="Q2275" t="str">
            <v>2015_11</v>
          </cell>
        </row>
        <row r="2276">
          <cell r="J2276">
            <v>26</v>
          </cell>
          <cell r="K2276">
            <v>26</v>
          </cell>
          <cell r="N2276">
            <v>-1973.63</v>
          </cell>
          <cell r="Q2276" t="str">
            <v>2015_12</v>
          </cell>
        </row>
        <row r="2277">
          <cell r="J2277">
            <v>26</v>
          </cell>
          <cell r="K2277">
            <v>26</v>
          </cell>
          <cell r="N2277">
            <v>-1973.63</v>
          </cell>
          <cell r="Q2277" t="str">
            <v>2016_01</v>
          </cell>
        </row>
        <row r="2278">
          <cell r="J2278">
            <v>26</v>
          </cell>
          <cell r="K2278">
            <v>26</v>
          </cell>
          <cell r="N2278">
            <v>-1973.63</v>
          </cell>
          <cell r="Q2278" t="str">
            <v>2016_02</v>
          </cell>
        </row>
        <row r="2279">
          <cell r="J2279">
            <v>26</v>
          </cell>
          <cell r="K2279">
            <v>26</v>
          </cell>
          <cell r="N2279">
            <v>-1973.63</v>
          </cell>
          <cell r="Q2279" t="str">
            <v>2016_03</v>
          </cell>
        </row>
        <row r="2280">
          <cell r="J2280">
            <v>26</v>
          </cell>
          <cell r="K2280">
            <v>26</v>
          </cell>
          <cell r="N2280">
            <v>-1973.63</v>
          </cell>
          <cell r="Q2280" t="str">
            <v>2016_04</v>
          </cell>
        </row>
        <row r="2281">
          <cell r="J2281">
            <v>26</v>
          </cell>
          <cell r="K2281">
            <v>26</v>
          </cell>
          <cell r="N2281">
            <v>-1973.63</v>
          </cell>
          <cell r="Q2281" t="str">
            <v>2016_05</v>
          </cell>
        </row>
        <row r="2282">
          <cell r="J2282">
            <v>26</v>
          </cell>
          <cell r="K2282">
            <v>26</v>
          </cell>
          <cell r="N2282">
            <v>-1973.63</v>
          </cell>
          <cell r="Q2282" t="str">
            <v>2016_06</v>
          </cell>
        </row>
        <row r="2283">
          <cell r="J2283">
            <v>26</v>
          </cell>
          <cell r="K2283">
            <v>26</v>
          </cell>
          <cell r="N2283">
            <v>-1973.63</v>
          </cell>
          <cell r="Q2283" t="str">
            <v>2016_07</v>
          </cell>
        </row>
        <row r="2284">
          <cell r="J2284">
            <v>26</v>
          </cell>
          <cell r="K2284">
            <v>26</v>
          </cell>
          <cell r="N2284">
            <v>-1973.63</v>
          </cell>
          <cell r="Q2284" t="str">
            <v>2016_08</v>
          </cell>
        </row>
        <row r="2285">
          <cell r="J2285">
            <v>26</v>
          </cell>
          <cell r="K2285">
            <v>26</v>
          </cell>
          <cell r="N2285">
            <v>-1973.63</v>
          </cell>
          <cell r="Q2285" t="str">
            <v>2016_09</v>
          </cell>
        </row>
        <row r="2286">
          <cell r="J2286">
            <v>57</v>
          </cell>
          <cell r="K2286">
            <v>57</v>
          </cell>
          <cell r="N2286">
            <v>2400</v>
          </cell>
          <cell r="Q2286" t="str">
            <v>2015_10</v>
          </cell>
        </row>
        <row r="2287">
          <cell r="J2287">
            <v>57</v>
          </cell>
          <cell r="K2287">
            <v>57</v>
          </cell>
          <cell r="N2287">
            <v>800</v>
          </cell>
          <cell r="Q2287" t="str">
            <v>2015_11</v>
          </cell>
        </row>
        <row r="2288">
          <cell r="J2288">
            <v>57</v>
          </cell>
          <cell r="K2288">
            <v>57</v>
          </cell>
          <cell r="N2288">
            <v>800</v>
          </cell>
          <cell r="Q2288" t="str">
            <v>2015_12</v>
          </cell>
        </row>
        <row r="2289">
          <cell r="J2289">
            <v>26</v>
          </cell>
          <cell r="K2289">
            <v>26</v>
          </cell>
          <cell r="N2289">
            <v>7887.72</v>
          </cell>
          <cell r="Q2289" t="str">
            <v>2015_10</v>
          </cell>
        </row>
        <row r="2290">
          <cell r="J2290">
            <v>26</v>
          </cell>
          <cell r="K2290">
            <v>26</v>
          </cell>
          <cell r="N2290">
            <v>5337.25</v>
          </cell>
          <cell r="Q2290" t="str">
            <v>2015_11</v>
          </cell>
        </row>
        <row r="2291">
          <cell r="J2291">
            <v>26</v>
          </cell>
          <cell r="K2291">
            <v>26</v>
          </cell>
          <cell r="N2291">
            <v>5486.82</v>
          </cell>
          <cell r="Q2291" t="str">
            <v>2015_12</v>
          </cell>
        </row>
        <row r="2292">
          <cell r="J2292">
            <v>26</v>
          </cell>
          <cell r="K2292">
            <v>26</v>
          </cell>
          <cell r="N2292">
            <v>6152.6</v>
          </cell>
          <cell r="Q2292" t="str">
            <v>2016_01</v>
          </cell>
        </row>
        <row r="2293">
          <cell r="J2293">
            <v>26</v>
          </cell>
          <cell r="K2293">
            <v>26</v>
          </cell>
          <cell r="N2293">
            <v>5780.63</v>
          </cell>
          <cell r="Q2293" t="str">
            <v>2016_02</v>
          </cell>
        </row>
        <row r="2294">
          <cell r="J2294">
            <v>26</v>
          </cell>
          <cell r="K2294">
            <v>26</v>
          </cell>
          <cell r="N2294">
            <v>6538.57</v>
          </cell>
          <cell r="Q2294" t="str">
            <v>2016_03</v>
          </cell>
        </row>
        <row r="2295">
          <cell r="J2295">
            <v>26</v>
          </cell>
          <cell r="K2295">
            <v>26</v>
          </cell>
          <cell r="N2295">
            <v>5054.49</v>
          </cell>
          <cell r="Q2295" t="str">
            <v>2016_04</v>
          </cell>
        </row>
        <row r="2296">
          <cell r="J2296">
            <v>26</v>
          </cell>
          <cell r="K2296">
            <v>26</v>
          </cell>
          <cell r="N2296">
            <v>6460.66</v>
          </cell>
          <cell r="Q2296" t="str">
            <v>2016_05</v>
          </cell>
        </row>
        <row r="2297">
          <cell r="J2297">
            <v>26</v>
          </cell>
          <cell r="K2297">
            <v>26</v>
          </cell>
          <cell r="N2297">
            <v>6509.06</v>
          </cell>
          <cell r="Q2297" t="str">
            <v>2016_06</v>
          </cell>
        </row>
        <row r="2298">
          <cell r="J2298">
            <v>26</v>
          </cell>
          <cell r="K2298">
            <v>26</v>
          </cell>
          <cell r="N2298">
            <v>6131.25</v>
          </cell>
          <cell r="Q2298" t="str">
            <v>2016_07</v>
          </cell>
        </row>
        <row r="2299">
          <cell r="J2299">
            <v>26</v>
          </cell>
          <cell r="K2299">
            <v>26</v>
          </cell>
          <cell r="N2299">
            <v>6851.69</v>
          </cell>
          <cell r="Q2299" t="str">
            <v>2016_08</v>
          </cell>
        </row>
        <row r="2300">
          <cell r="J2300">
            <v>26</v>
          </cell>
          <cell r="K2300">
            <v>26</v>
          </cell>
          <cell r="N2300">
            <v>5292.97</v>
          </cell>
          <cell r="Q2300" t="str">
            <v>2016_09</v>
          </cell>
        </row>
        <row r="2301">
          <cell r="J2301">
            <v>27</v>
          </cell>
          <cell r="K2301">
            <v>27</v>
          </cell>
          <cell r="N2301">
            <v>1046.19</v>
          </cell>
          <cell r="Q2301" t="str">
            <v>2015_10</v>
          </cell>
        </row>
        <row r="2302">
          <cell r="J2302">
            <v>27</v>
          </cell>
          <cell r="K2302">
            <v>27</v>
          </cell>
          <cell r="N2302">
            <v>361.1</v>
          </cell>
          <cell r="Q2302" t="str">
            <v>2015_11</v>
          </cell>
        </row>
        <row r="2303">
          <cell r="J2303">
            <v>27</v>
          </cell>
          <cell r="K2303">
            <v>27</v>
          </cell>
          <cell r="N2303">
            <v>202.05</v>
          </cell>
          <cell r="Q2303" t="str">
            <v>2015_12</v>
          </cell>
        </row>
        <row r="2304">
          <cell r="J2304">
            <v>27</v>
          </cell>
          <cell r="K2304">
            <v>27</v>
          </cell>
          <cell r="N2304">
            <v>301.98</v>
          </cell>
          <cell r="Q2304" t="str">
            <v>2016_01</v>
          </cell>
        </row>
        <row r="2305">
          <cell r="J2305">
            <v>27</v>
          </cell>
          <cell r="K2305">
            <v>27</v>
          </cell>
          <cell r="N2305">
            <v>117.19</v>
          </cell>
          <cell r="Q2305" t="str">
            <v>2016_02</v>
          </cell>
        </row>
        <row r="2306">
          <cell r="J2306">
            <v>27</v>
          </cell>
          <cell r="K2306">
            <v>27</v>
          </cell>
          <cell r="N2306">
            <v>450.28</v>
          </cell>
          <cell r="Q2306" t="str">
            <v>2016_03</v>
          </cell>
        </row>
        <row r="2307">
          <cell r="J2307">
            <v>27</v>
          </cell>
          <cell r="K2307">
            <v>27</v>
          </cell>
          <cell r="N2307">
            <v>3026.14</v>
          </cell>
          <cell r="Q2307" t="str">
            <v>2016_04</v>
          </cell>
        </row>
        <row r="2308">
          <cell r="J2308">
            <v>27</v>
          </cell>
          <cell r="K2308">
            <v>27</v>
          </cell>
          <cell r="N2308">
            <v>1325.89</v>
          </cell>
          <cell r="Q2308" t="str">
            <v>2016_05</v>
          </cell>
        </row>
        <row r="2309">
          <cell r="J2309">
            <v>27</v>
          </cell>
          <cell r="K2309">
            <v>27</v>
          </cell>
          <cell r="N2309">
            <v>991.33</v>
          </cell>
          <cell r="Q2309" t="str">
            <v>2016_06</v>
          </cell>
        </row>
        <row r="2310">
          <cell r="J2310">
            <v>27</v>
          </cell>
          <cell r="K2310">
            <v>27</v>
          </cell>
          <cell r="N2310">
            <v>1223.46</v>
          </cell>
          <cell r="Q2310" t="str">
            <v>2016_07</v>
          </cell>
        </row>
        <row r="2311">
          <cell r="J2311">
            <v>27</v>
          </cell>
          <cell r="K2311">
            <v>27</v>
          </cell>
          <cell r="N2311">
            <v>1114.5</v>
          </cell>
          <cell r="Q2311" t="str">
            <v>2016_08</v>
          </cell>
        </row>
        <row r="2312">
          <cell r="J2312">
            <v>27</v>
          </cell>
          <cell r="K2312">
            <v>27</v>
          </cell>
          <cell r="N2312">
            <v>919.31</v>
          </cell>
          <cell r="Q2312" t="str">
            <v>2016_09</v>
          </cell>
        </row>
        <row r="2313">
          <cell r="J2313">
            <v>26</v>
          </cell>
          <cell r="K2313">
            <v>26</v>
          </cell>
          <cell r="N2313">
            <v>24361.52</v>
          </cell>
          <cell r="Q2313" t="str">
            <v>2015_10</v>
          </cell>
        </row>
        <row r="2314">
          <cell r="J2314">
            <v>26</v>
          </cell>
          <cell r="K2314">
            <v>26</v>
          </cell>
          <cell r="N2314">
            <v>14966.8</v>
          </cell>
          <cell r="Q2314" t="str">
            <v>2015_11</v>
          </cell>
        </row>
        <row r="2315">
          <cell r="J2315">
            <v>26</v>
          </cell>
          <cell r="K2315">
            <v>26</v>
          </cell>
          <cell r="N2315">
            <v>15273.52</v>
          </cell>
          <cell r="Q2315" t="str">
            <v>2015_12</v>
          </cell>
        </row>
        <row r="2316">
          <cell r="J2316">
            <v>26</v>
          </cell>
          <cell r="K2316">
            <v>26</v>
          </cell>
          <cell r="N2316">
            <v>17071.89</v>
          </cell>
          <cell r="Q2316" t="str">
            <v>2016_01</v>
          </cell>
        </row>
        <row r="2317">
          <cell r="J2317">
            <v>26</v>
          </cell>
          <cell r="K2317">
            <v>26</v>
          </cell>
          <cell r="N2317">
            <v>17034.39</v>
          </cell>
          <cell r="Q2317" t="str">
            <v>2016_02</v>
          </cell>
        </row>
        <row r="2318">
          <cell r="J2318">
            <v>26</v>
          </cell>
          <cell r="K2318">
            <v>26</v>
          </cell>
          <cell r="N2318">
            <v>19919.48</v>
          </cell>
          <cell r="Q2318" t="str">
            <v>2016_03</v>
          </cell>
        </row>
        <row r="2319">
          <cell r="J2319">
            <v>26</v>
          </cell>
          <cell r="K2319">
            <v>26</v>
          </cell>
          <cell r="N2319">
            <v>16886.87</v>
          </cell>
          <cell r="Q2319" t="str">
            <v>2016_04</v>
          </cell>
        </row>
        <row r="2320">
          <cell r="J2320">
            <v>26</v>
          </cell>
          <cell r="K2320">
            <v>26</v>
          </cell>
          <cell r="N2320">
            <v>22092.9</v>
          </cell>
          <cell r="Q2320" t="str">
            <v>2016_05</v>
          </cell>
        </row>
        <row r="2321">
          <cell r="J2321">
            <v>26</v>
          </cell>
          <cell r="K2321">
            <v>26</v>
          </cell>
          <cell r="N2321">
            <v>18596.46</v>
          </cell>
          <cell r="Q2321" t="str">
            <v>2016_06</v>
          </cell>
        </row>
        <row r="2322">
          <cell r="J2322">
            <v>26</v>
          </cell>
          <cell r="K2322">
            <v>26</v>
          </cell>
          <cell r="N2322">
            <v>16845.14</v>
          </cell>
          <cell r="Q2322" t="str">
            <v>2016_07</v>
          </cell>
        </row>
        <row r="2323">
          <cell r="J2323">
            <v>26</v>
          </cell>
          <cell r="K2323">
            <v>26</v>
          </cell>
          <cell r="N2323">
            <v>19724.84</v>
          </cell>
          <cell r="Q2323" t="str">
            <v>2016_08</v>
          </cell>
        </row>
        <row r="2324">
          <cell r="J2324">
            <v>26</v>
          </cell>
          <cell r="K2324">
            <v>26</v>
          </cell>
          <cell r="N2324">
            <v>14887.13</v>
          </cell>
          <cell r="Q2324" t="str">
            <v>2016_09</v>
          </cell>
        </row>
        <row r="2325">
          <cell r="J2325">
            <v>27</v>
          </cell>
          <cell r="K2325">
            <v>27</v>
          </cell>
          <cell r="N2325">
            <v>2435.6799999999998</v>
          </cell>
          <cell r="Q2325" t="str">
            <v>2015_10</v>
          </cell>
        </row>
        <row r="2326">
          <cell r="J2326">
            <v>27</v>
          </cell>
          <cell r="K2326">
            <v>27</v>
          </cell>
          <cell r="N2326">
            <v>711.76</v>
          </cell>
          <cell r="Q2326" t="str">
            <v>2015_11</v>
          </cell>
        </row>
        <row r="2327">
          <cell r="J2327">
            <v>27</v>
          </cell>
          <cell r="K2327">
            <v>27</v>
          </cell>
          <cell r="N2327">
            <v>1066.55</v>
          </cell>
          <cell r="Q2327" t="str">
            <v>2015_12</v>
          </cell>
        </row>
        <row r="2328">
          <cell r="J2328">
            <v>27</v>
          </cell>
          <cell r="K2328">
            <v>27</v>
          </cell>
          <cell r="N2328">
            <v>1300.97</v>
          </cell>
          <cell r="Q2328" t="str">
            <v>2016_01</v>
          </cell>
        </row>
        <row r="2329">
          <cell r="J2329">
            <v>27</v>
          </cell>
          <cell r="K2329">
            <v>27</v>
          </cell>
          <cell r="N2329">
            <v>588.98</v>
          </cell>
          <cell r="Q2329" t="str">
            <v>2016_02</v>
          </cell>
        </row>
        <row r="2330">
          <cell r="J2330">
            <v>27</v>
          </cell>
          <cell r="K2330">
            <v>27</v>
          </cell>
          <cell r="N2330">
            <v>255.11</v>
          </cell>
          <cell r="Q2330" t="str">
            <v>2016_03</v>
          </cell>
        </row>
        <row r="2331">
          <cell r="J2331">
            <v>27</v>
          </cell>
          <cell r="K2331">
            <v>27</v>
          </cell>
          <cell r="N2331">
            <v>2151.0300000000002</v>
          </cell>
          <cell r="Q2331" t="str">
            <v>2016_04</v>
          </cell>
        </row>
        <row r="2332">
          <cell r="J2332">
            <v>27</v>
          </cell>
          <cell r="K2332">
            <v>27</v>
          </cell>
          <cell r="N2332">
            <v>722.28</v>
          </cell>
          <cell r="Q2332" t="str">
            <v>2016_05</v>
          </cell>
        </row>
        <row r="2333">
          <cell r="J2333">
            <v>27</v>
          </cell>
          <cell r="K2333">
            <v>27</v>
          </cell>
          <cell r="N2333">
            <v>1235.51</v>
          </cell>
          <cell r="Q2333" t="str">
            <v>2016_06</v>
          </cell>
        </row>
        <row r="2334">
          <cell r="J2334">
            <v>27</v>
          </cell>
          <cell r="K2334">
            <v>27</v>
          </cell>
          <cell r="N2334">
            <v>1339.74</v>
          </cell>
          <cell r="Q2334" t="str">
            <v>2016_07</v>
          </cell>
        </row>
        <row r="2335">
          <cell r="J2335">
            <v>27</v>
          </cell>
          <cell r="K2335">
            <v>27</v>
          </cell>
          <cell r="N2335">
            <v>975.79</v>
          </cell>
          <cell r="Q2335" t="str">
            <v>2016_08</v>
          </cell>
        </row>
        <row r="2336">
          <cell r="J2336">
            <v>27</v>
          </cell>
          <cell r="K2336">
            <v>27</v>
          </cell>
          <cell r="N2336">
            <v>1537.17</v>
          </cell>
          <cell r="Q2336" t="str">
            <v>2016_09</v>
          </cell>
        </row>
        <row r="2337">
          <cell r="J2337">
            <v>34</v>
          </cell>
          <cell r="K2337">
            <v>34</v>
          </cell>
          <cell r="N2337">
            <v>39242.68</v>
          </cell>
          <cell r="Q2337" t="str">
            <v>2015_10</v>
          </cell>
        </row>
        <row r="2338">
          <cell r="J2338">
            <v>34</v>
          </cell>
          <cell r="K2338">
            <v>34</v>
          </cell>
          <cell r="N2338">
            <v>25568.14</v>
          </cell>
          <cell r="Q2338" t="str">
            <v>2015_11</v>
          </cell>
        </row>
        <row r="2339">
          <cell r="J2339">
            <v>34</v>
          </cell>
          <cell r="K2339">
            <v>34</v>
          </cell>
          <cell r="N2339">
            <v>30852.400000000001</v>
          </cell>
          <cell r="Q2339" t="str">
            <v>2015_12</v>
          </cell>
        </row>
        <row r="2340">
          <cell r="J2340">
            <v>34</v>
          </cell>
          <cell r="K2340">
            <v>34</v>
          </cell>
          <cell r="N2340">
            <v>30683.15</v>
          </cell>
          <cell r="Q2340" t="str">
            <v>2016_01</v>
          </cell>
        </row>
        <row r="2341">
          <cell r="J2341">
            <v>34</v>
          </cell>
          <cell r="K2341">
            <v>34</v>
          </cell>
          <cell r="N2341">
            <v>39608.92</v>
          </cell>
          <cell r="Q2341" t="str">
            <v>2016_02</v>
          </cell>
        </row>
        <row r="2342">
          <cell r="J2342">
            <v>34</v>
          </cell>
          <cell r="K2342">
            <v>34</v>
          </cell>
          <cell r="N2342">
            <v>42687.37</v>
          </cell>
          <cell r="Q2342" t="str">
            <v>2016_03</v>
          </cell>
        </row>
        <row r="2343">
          <cell r="J2343">
            <v>34</v>
          </cell>
          <cell r="K2343">
            <v>34</v>
          </cell>
          <cell r="N2343">
            <v>30426.22</v>
          </cell>
          <cell r="Q2343" t="str">
            <v>2016_04</v>
          </cell>
        </row>
        <row r="2344">
          <cell r="J2344">
            <v>34</v>
          </cell>
          <cell r="K2344">
            <v>34</v>
          </cell>
          <cell r="N2344">
            <v>32395.83</v>
          </cell>
          <cell r="Q2344" t="str">
            <v>2016_05</v>
          </cell>
        </row>
        <row r="2345">
          <cell r="J2345">
            <v>34</v>
          </cell>
          <cell r="K2345">
            <v>34</v>
          </cell>
          <cell r="N2345">
            <v>33375.050000000003</v>
          </cell>
          <cell r="Q2345" t="str">
            <v>2016_06</v>
          </cell>
        </row>
        <row r="2346">
          <cell r="J2346">
            <v>34</v>
          </cell>
          <cell r="K2346">
            <v>34</v>
          </cell>
          <cell r="N2346">
            <v>30610.81</v>
          </cell>
          <cell r="Q2346" t="str">
            <v>2016_07</v>
          </cell>
        </row>
        <row r="2347">
          <cell r="J2347">
            <v>34</v>
          </cell>
          <cell r="K2347">
            <v>34</v>
          </cell>
          <cell r="N2347">
            <v>37874.050000000003</v>
          </cell>
          <cell r="Q2347" t="str">
            <v>2016_08</v>
          </cell>
        </row>
        <row r="2348">
          <cell r="J2348">
            <v>34</v>
          </cell>
          <cell r="K2348">
            <v>34</v>
          </cell>
          <cell r="N2348">
            <v>31324.07</v>
          </cell>
          <cell r="Q2348" t="str">
            <v>2016_09</v>
          </cell>
        </row>
        <row r="2349">
          <cell r="J2349">
            <v>35</v>
          </cell>
          <cell r="K2349">
            <v>35</v>
          </cell>
          <cell r="N2349">
            <v>9744.08</v>
          </cell>
          <cell r="Q2349" t="str">
            <v>2015_10</v>
          </cell>
        </row>
        <row r="2350">
          <cell r="J2350">
            <v>35</v>
          </cell>
          <cell r="K2350">
            <v>35</v>
          </cell>
          <cell r="N2350">
            <v>6303.87</v>
          </cell>
          <cell r="Q2350" t="str">
            <v>2015_11</v>
          </cell>
        </row>
        <row r="2351">
          <cell r="J2351">
            <v>35</v>
          </cell>
          <cell r="K2351">
            <v>35</v>
          </cell>
          <cell r="N2351">
            <v>4733.99</v>
          </cell>
          <cell r="Q2351" t="str">
            <v>2015_12</v>
          </cell>
        </row>
        <row r="2352">
          <cell r="J2352">
            <v>35</v>
          </cell>
          <cell r="K2352">
            <v>35</v>
          </cell>
          <cell r="N2352">
            <v>3989.09</v>
          </cell>
          <cell r="Q2352" t="str">
            <v>2016_01</v>
          </cell>
        </row>
        <row r="2353">
          <cell r="J2353">
            <v>35</v>
          </cell>
          <cell r="K2353">
            <v>35</v>
          </cell>
          <cell r="N2353">
            <v>5394.56</v>
          </cell>
          <cell r="Q2353" t="str">
            <v>2016_02</v>
          </cell>
        </row>
        <row r="2354">
          <cell r="J2354">
            <v>35</v>
          </cell>
          <cell r="K2354">
            <v>35</v>
          </cell>
          <cell r="N2354">
            <v>5849.58</v>
          </cell>
          <cell r="Q2354" t="str">
            <v>2016_03</v>
          </cell>
        </row>
        <row r="2355">
          <cell r="J2355">
            <v>35</v>
          </cell>
          <cell r="K2355">
            <v>35</v>
          </cell>
          <cell r="N2355">
            <v>10148.51</v>
          </cell>
          <cell r="Q2355" t="str">
            <v>2016_04</v>
          </cell>
        </row>
        <row r="2356">
          <cell r="J2356">
            <v>35</v>
          </cell>
          <cell r="K2356">
            <v>35</v>
          </cell>
          <cell r="N2356">
            <v>6785.48</v>
          </cell>
          <cell r="Q2356" t="str">
            <v>2016_05</v>
          </cell>
        </row>
        <row r="2357">
          <cell r="J2357">
            <v>35</v>
          </cell>
          <cell r="K2357">
            <v>35</v>
          </cell>
          <cell r="N2357">
            <v>6852.17</v>
          </cell>
          <cell r="Q2357" t="str">
            <v>2016_06</v>
          </cell>
        </row>
        <row r="2358">
          <cell r="J2358">
            <v>35</v>
          </cell>
          <cell r="K2358">
            <v>35</v>
          </cell>
          <cell r="N2358">
            <v>5396.34</v>
          </cell>
          <cell r="Q2358" t="str">
            <v>2016_07</v>
          </cell>
        </row>
        <row r="2359">
          <cell r="J2359">
            <v>35</v>
          </cell>
          <cell r="K2359">
            <v>35</v>
          </cell>
          <cell r="N2359">
            <v>6362.71</v>
          </cell>
          <cell r="Q2359" t="str">
            <v>2016_08</v>
          </cell>
        </row>
        <row r="2360">
          <cell r="J2360">
            <v>35</v>
          </cell>
          <cell r="K2360">
            <v>35</v>
          </cell>
          <cell r="N2360">
            <v>9033.82</v>
          </cell>
          <cell r="Q2360" t="str">
            <v>2016_09</v>
          </cell>
        </row>
        <row r="2361">
          <cell r="J2361">
            <v>34</v>
          </cell>
          <cell r="K2361">
            <v>34</v>
          </cell>
          <cell r="N2361">
            <v>6864.88</v>
          </cell>
          <cell r="Q2361" t="str">
            <v>2016_09</v>
          </cell>
        </row>
        <row r="2362">
          <cell r="J2362">
            <v>52</v>
          </cell>
          <cell r="K2362">
            <v>52</v>
          </cell>
          <cell r="N2362">
            <v>694.94</v>
          </cell>
          <cell r="Q2362" t="str">
            <v>2015_10</v>
          </cell>
        </row>
        <row r="2363">
          <cell r="J2363">
            <v>52</v>
          </cell>
          <cell r="K2363">
            <v>52</v>
          </cell>
          <cell r="N2363">
            <v>553.70000000000005</v>
          </cell>
          <cell r="Q2363" t="str">
            <v>2015_11</v>
          </cell>
        </row>
        <row r="2364">
          <cell r="J2364">
            <v>52</v>
          </cell>
          <cell r="K2364">
            <v>52</v>
          </cell>
          <cell r="N2364">
            <v>1279.18</v>
          </cell>
          <cell r="Q2364" t="str">
            <v>2015_12</v>
          </cell>
        </row>
        <row r="2365">
          <cell r="J2365">
            <v>52</v>
          </cell>
          <cell r="K2365">
            <v>52</v>
          </cell>
          <cell r="N2365">
            <v>742.75</v>
          </cell>
          <cell r="Q2365" t="str">
            <v>2016_01</v>
          </cell>
        </row>
        <row r="2366">
          <cell r="J2366">
            <v>52</v>
          </cell>
          <cell r="K2366">
            <v>52</v>
          </cell>
          <cell r="N2366">
            <v>742.75</v>
          </cell>
          <cell r="Q2366" t="str">
            <v>2016_02</v>
          </cell>
        </row>
        <row r="2367">
          <cell r="J2367">
            <v>52</v>
          </cell>
          <cell r="K2367">
            <v>52</v>
          </cell>
          <cell r="N2367">
            <v>742.75</v>
          </cell>
          <cell r="Q2367" t="str">
            <v>2016_03</v>
          </cell>
        </row>
        <row r="2368">
          <cell r="J2368">
            <v>52</v>
          </cell>
          <cell r="K2368">
            <v>52</v>
          </cell>
          <cell r="N2368">
            <v>742.75</v>
          </cell>
          <cell r="Q2368" t="str">
            <v>2016_04</v>
          </cell>
        </row>
        <row r="2369">
          <cell r="J2369">
            <v>52</v>
          </cell>
          <cell r="K2369">
            <v>52</v>
          </cell>
          <cell r="N2369">
            <v>742.75</v>
          </cell>
          <cell r="Q2369" t="str">
            <v>2016_05</v>
          </cell>
        </row>
        <row r="2370">
          <cell r="J2370">
            <v>52</v>
          </cell>
          <cell r="K2370">
            <v>52</v>
          </cell>
          <cell r="N2370">
            <v>742.75</v>
          </cell>
          <cell r="Q2370" t="str">
            <v>2016_06</v>
          </cell>
        </row>
        <row r="2371">
          <cell r="J2371">
            <v>52</v>
          </cell>
          <cell r="K2371">
            <v>52</v>
          </cell>
          <cell r="N2371">
            <v>742.75</v>
          </cell>
          <cell r="Q2371" t="str">
            <v>2016_07</v>
          </cell>
        </row>
        <row r="2372">
          <cell r="J2372">
            <v>52</v>
          </cell>
          <cell r="K2372">
            <v>52</v>
          </cell>
          <cell r="N2372">
            <v>742.75</v>
          </cell>
          <cell r="Q2372" t="str">
            <v>2016_08</v>
          </cell>
        </row>
        <row r="2373">
          <cell r="J2373">
            <v>52</v>
          </cell>
          <cell r="K2373">
            <v>52</v>
          </cell>
          <cell r="N2373">
            <v>742.75</v>
          </cell>
          <cell r="Q2373" t="str">
            <v>2016_09</v>
          </cell>
        </row>
        <row r="2374">
          <cell r="J2374">
            <v>53</v>
          </cell>
          <cell r="K2374">
            <v>53</v>
          </cell>
          <cell r="N2374">
            <v>387.78</v>
          </cell>
          <cell r="Q2374" t="str">
            <v>2015_10</v>
          </cell>
        </row>
        <row r="2375">
          <cell r="J2375">
            <v>53</v>
          </cell>
          <cell r="K2375">
            <v>53</v>
          </cell>
          <cell r="N2375">
            <v>270.60000000000002</v>
          </cell>
          <cell r="Q2375" t="str">
            <v>2015_11</v>
          </cell>
        </row>
        <row r="2376">
          <cell r="J2376">
            <v>53</v>
          </cell>
          <cell r="K2376">
            <v>53</v>
          </cell>
          <cell r="N2376">
            <v>275.14999999999998</v>
          </cell>
          <cell r="Q2376" t="str">
            <v>2015_12</v>
          </cell>
        </row>
        <row r="2377">
          <cell r="J2377">
            <v>53</v>
          </cell>
          <cell r="K2377">
            <v>53</v>
          </cell>
          <cell r="N2377">
            <v>409.92</v>
          </cell>
          <cell r="Q2377" t="str">
            <v>2016_01</v>
          </cell>
        </row>
        <row r="2378">
          <cell r="J2378">
            <v>53</v>
          </cell>
          <cell r="K2378">
            <v>53</v>
          </cell>
          <cell r="N2378">
            <v>400.57</v>
          </cell>
          <cell r="Q2378" t="str">
            <v>2016_02</v>
          </cell>
        </row>
        <row r="2379">
          <cell r="J2379">
            <v>53</v>
          </cell>
          <cell r="K2379">
            <v>53</v>
          </cell>
          <cell r="N2379">
            <v>389.39</v>
          </cell>
          <cell r="Q2379" t="str">
            <v>2016_03</v>
          </cell>
        </row>
        <row r="2380">
          <cell r="J2380">
            <v>53</v>
          </cell>
          <cell r="K2380">
            <v>53</v>
          </cell>
          <cell r="N2380">
            <v>699.53</v>
          </cell>
          <cell r="Q2380" t="str">
            <v>2016_04</v>
          </cell>
        </row>
        <row r="2381">
          <cell r="J2381">
            <v>53</v>
          </cell>
          <cell r="K2381">
            <v>53</v>
          </cell>
          <cell r="N2381">
            <v>324.39</v>
          </cell>
          <cell r="Q2381" t="str">
            <v>2016_05</v>
          </cell>
        </row>
        <row r="2382">
          <cell r="J2382">
            <v>53</v>
          </cell>
          <cell r="K2382">
            <v>53</v>
          </cell>
          <cell r="N2382">
            <v>197.75</v>
          </cell>
          <cell r="Q2382" t="str">
            <v>2016_06</v>
          </cell>
        </row>
        <row r="2383">
          <cell r="J2383">
            <v>53</v>
          </cell>
          <cell r="K2383">
            <v>53</v>
          </cell>
          <cell r="N2383">
            <v>189.27</v>
          </cell>
          <cell r="Q2383" t="str">
            <v>2016_07</v>
          </cell>
        </row>
        <row r="2384">
          <cell r="J2384">
            <v>53</v>
          </cell>
          <cell r="K2384">
            <v>53</v>
          </cell>
          <cell r="N2384">
            <v>191.28</v>
          </cell>
          <cell r="Q2384" t="str">
            <v>2016_08</v>
          </cell>
        </row>
        <row r="2385">
          <cell r="J2385">
            <v>53</v>
          </cell>
          <cell r="K2385">
            <v>53</v>
          </cell>
          <cell r="N2385">
            <v>525.88</v>
          </cell>
          <cell r="Q2385" t="str">
            <v>2016_09</v>
          </cell>
        </row>
        <row r="2386">
          <cell r="J2386">
            <v>53</v>
          </cell>
          <cell r="K2386">
            <v>53</v>
          </cell>
          <cell r="N2386">
            <v>21.5</v>
          </cell>
          <cell r="Q2386" t="str">
            <v>2015_10</v>
          </cell>
        </row>
        <row r="2387">
          <cell r="J2387">
            <v>53</v>
          </cell>
          <cell r="K2387">
            <v>53</v>
          </cell>
          <cell r="N2387">
            <v>21.5</v>
          </cell>
          <cell r="Q2387" t="str">
            <v>2015_11</v>
          </cell>
        </row>
        <row r="2388">
          <cell r="J2388">
            <v>53</v>
          </cell>
          <cell r="K2388">
            <v>53</v>
          </cell>
          <cell r="N2388">
            <v>21.5</v>
          </cell>
          <cell r="Q2388" t="str">
            <v>2015_12</v>
          </cell>
        </row>
        <row r="2389">
          <cell r="J2389">
            <v>53</v>
          </cell>
          <cell r="K2389">
            <v>53</v>
          </cell>
          <cell r="N2389">
            <v>21.5</v>
          </cell>
          <cell r="Q2389" t="str">
            <v>2016_01</v>
          </cell>
        </row>
        <row r="2390">
          <cell r="J2390">
            <v>53</v>
          </cell>
          <cell r="K2390">
            <v>53</v>
          </cell>
          <cell r="N2390">
            <v>21.5</v>
          </cell>
          <cell r="Q2390" t="str">
            <v>2016_02</v>
          </cell>
        </row>
        <row r="2391">
          <cell r="J2391">
            <v>53</v>
          </cell>
          <cell r="K2391">
            <v>53</v>
          </cell>
          <cell r="N2391">
            <v>21.5</v>
          </cell>
          <cell r="Q2391" t="str">
            <v>2016_03</v>
          </cell>
        </row>
        <row r="2392">
          <cell r="J2392">
            <v>53</v>
          </cell>
          <cell r="K2392">
            <v>53</v>
          </cell>
          <cell r="N2392">
            <v>21.5</v>
          </cell>
          <cell r="Q2392" t="str">
            <v>2016_04</v>
          </cell>
        </row>
        <row r="2393">
          <cell r="J2393">
            <v>53</v>
          </cell>
          <cell r="K2393">
            <v>53</v>
          </cell>
          <cell r="N2393">
            <v>21.5</v>
          </cell>
          <cell r="Q2393" t="str">
            <v>2016_05</v>
          </cell>
        </row>
        <row r="2394">
          <cell r="J2394">
            <v>53</v>
          </cell>
          <cell r="K2394">
            <v>53</v>
          </cell>
          <cell r="N2394">
            <v>21.5</v>
          </cell>
          <cell r="Q2394" t="str">
            <v>2016_06</v>
          </cell>
        </row>
        <row r="2395">
          <cell r="J2395">
            <v>53</v>
          </cell>
          <cell r="K2395">
            <v>53</v>
          </cell>
          <cell r="N2395">
            <v>21.5</v>
          </cell>
          <cell r="Q2395" t="str">
            <v>2016_07</v>
          </cell>
        </row>
        <row r="2396">
          <cell r="J2396">
            <v>53</v>
          </cell>
          <cell r="K2396">
            <v>53</v>
          </cell>
          <cell r="N2396">
            <v>21.5</v>
          </cell>
          <cell r="Q2396" t="str">
            <v>2016_08</v>
          </cell>
        </row>
        <row r="2397">
          <cell r="J2397">
            <v>53</v>
          </cell>
          <cell r="K2397">
            <v>53</v>
          </cell>
          <cell r="N2397">
            <v>21.5</v>
          </cell>
          <cell r="Q2397" t="str">
            <v>2016_09</v>
          </cell>
        </row>
        <row r="2398">
          <cell r="J2398">
            <v>51</v>
          </cell>
          <cell r="K2398">
            <v>51</v>
          </cell>
          <cell r="N2398">
            <v>2402.5500000000002</v>
          </cell>
          <cell r="Q2398" t="str">
            <v>2015_10</v>
          </cell>
        </row>
        <row r="2399">
          <cell r="J2399">
            <v>51</v>
          </cell>
          <cell r="K2399">
            <v>51</v>
          </cell>
          <cell r="N2399">
            <v>146.96</v>
          </cell>
          <cell r="Q2399" t="str">
            <v>2015_11</v>
          </cell>
        </row>
        <row r="2400">
          <cell r="J2400">
            <v>51</v>
          </cell>
          <cell r="K2400">
            <v>51</v>
          </cell>
          <cell r="N2400">
            <v>405.53</v>
          </cell>
          <cell r="Q2400" t="str">
            <v>2015_12</v>
          </cell>
        </row>
        <row r="2401">
          <cell r="J2401">
            <v>51</v>
          </cell>
          <cell r="K2401">
            <v>51</v>
          </cell>
          <cell r="N2401">
            <v>438.14</v>
          </cell>
          <cell r="Q2401" t="str">
            <v>2016_01</v>
          </cell>
        </row>
        <row r="2402">
          <cell r="J2402">
            <v>51</v>
          </cell>
          <cell r="K2402">
            <v>51</v>
          </cell>
          <cell r="N2402">
            <v>438.14</v>
          </cell>
          <cell r="Q2402" t="str">
            <v>2016_02</v>
          </cell>
        </row>
        <row r="2403">
          <cell r="J2403">
            <v>51</v>
          </cell>
          <cell r="K2403">
            <v>51</v>
          </cell>
          <cell r="N2403">
            <v>438.15</v>
          </cell>
          <cell r="Q2403" t="str">
            <v>2016_03</v>
          </cell>
        </row>
        <row r="2404">
          <cell r="J2404">
            <v>51</v>
          </cell>
          <cell r="K2404">
            <v>51</v>
          </cell>
          <cell r="N2404">
            <v>438.15</v>
          </cell>
          <cell r="Q2404" t="str">
            <v>2016_04</v>
          </cell>
        </row>
        <row r="2405">
          <cell r="J2405">
            <v>51</v>
          </cell>
          <cell r="K2405">
            <v>51</v>
          </cell>
          <cell r="N2405">
            <v>438.15</v>
          </cell>
          <cell r="Q2405" t="str">
            <v>2016_05</v>
          </cell>
        </row>
        <row r="2406">
          <cell r="J2406">
            <v>51</v>
          </cell>
          <cell r="K2406">
            <v>51</v>
          </cell>
          <cell r="N2406">
            <v>438.15</v>
          </cell>
          <cell r="Q2406" t="str">
            <v>2016_06</v>
          </cell>
        </row>
        <row r="2407">
          <cell r="J2407">
            <v>51</v>
          </cell>
          <cell r="K2407">
            <v>51</v>
          </cell>
          <cell r="N2407">
            <v>438.15</v>
          </cell>
          <cell r="Q2407" t="str">
            <v>2016_07</v>
          </cell>
        </row>
        <row r="2408">
          <cell r="J2408">
            <v>51</v>
          </cell>
          <cell r="K2408">
            <v>51</v>
          </cell>
          <cell r="N2408">
            <v>438.15</v>
          </cell>
          <cell r="Q2408" t="str">
            <v>2016_08</v>
          </cell>
        </row>
        <row r="2409">
          <cell r="J2409">
            <v>51</v>
          </cell>
          <cell r="K2409">
            <v>51</v>
          </cell>
          <cell r="N2409">
            <v>438.15</v>
          </cell>
          <cell r="Q2409" t="str">
            <v>2016_09</v>
          </cell>
        </row>
        <row r="2410">
          <cell r="J2410">
            <v>55</v>
          </cell>
          <cell r="K2410">
            <v>55</v>
          </cell>
          <cell r="N2410">
            <v>480.84</v>
          </cell>
          <cell r="Q2410" t="str">
            <v>2015_10</v>
          </cell>
        </row>
        <row r="2411">
          <cell r="J2411">
            <v>55</v>
          </cell>
          <cell r="K2411">
            <v>55</v>
          </cell>
          <cell r="N2411">
            <v>335.55</v>
          </cell>
          <cell r="Q2411" t="str">
            <v>2015_11</v>
          </cell>
        </row>
        <row r="2412">
          <cell r="J2412">
            <v>55</v>
          </cell>
          <cell r="K2412">
            <v>55</v>
          </cell>
          <cell r="N2412">
            <v>341.19</v>
          </cell>
          <cell r="Q2412" t="str">
            <v>2015_12</v>
          </cell>
        </row>
        <row r="2413">
          <cell r="J2413">
            <v>55</v>
          </cell>
          <cell r="K2413">
            <v>55</v>
          </cell>
          <cell r="N2413">
            <v>565.42999999999995</v>
          </cell>
          <cell r="Q2413" t="str">
            <v>2016_01</v>
          </cell>
        </row>
        <row r="2414">
          <cell r="J2414">
            <v>55</v>
          </cell>
          <cell r="K2414">
            <v>55</v>
          </cell>
          <cell r="N2414">
            <v>617.53</v>
          </cell>
          <cell r="Q2414" t="str">
            <v>2016_02</v>
          </cell>
        </row>
        <row r="2415">
          <cell r="J2415">
            <v>55</v>
          </cell>
          <cell r="K2415">
            <v>55</v>
          </cell>
          <cell r="N2415">
            <v>579.17999999999995</v>
          </cell>
          <cell r="Q2415" t="str">
            <v>2016_03</v>
          </cell>
        </row>
        <row r="2416">
          <cell r="J2416">
            <v>55</v>
          </cell>
          <cell r="K2416">
            <v>55</v>
          </cell>
          <cell r="N2416">
            <v>975.53</v>
          </cell>
          <cell r="Q2416" t="str">
            <v>2016_04</v>
          </cell>
        </row>
        <row r="2417">
          <cell r="J2417">
            <v>55</v>
          </cell>
          <cell r="K2417">
            <v>55</v>
          </cell>
          <cell r="N2417">
            <v>500.56</v>
          </cell>
          <cell r="Q2417" t="str">
            <v>2016_05</v>
          </cell>
        </row>
        <row r="2418">
          <cell r="J2418">
            <v>55</v>
          </cell>
          <cell r="K2418">
            <v>55</v>
          </cell>
          <cell r="N2418">
            <v>350.3</v>
          </cell>
          <cell r="Q2418" t="str">
            <v>2016_06</v>
          </cell>
        </row>
        <row r="2419">
          <cell r="J2419">
            <v>55</v>
          </cell>
          <cell r="K2419">
            <v>55</v>
          </cell>
          <cell r="N2419">
            <v>339.78</v>
          </cell>
          <cell r="Q2419" t="str">
            <v>2016_07</v>
          </cell>
        </row>
        <row r="2420">
          <cell r="J2420">
            <v>55</v>
          </cell>
          <cell r="K2420">
            <v>55</v>
          </cell>
          <cell r="N2420">
            <v>343.12</v>
          </cell>
          <cell r="Q2420" t="str">
            <v>2016_08</v>
          </cell>
        </row>
        <row r="2421">
          <cell r="J2421">
            <v>55</v>
          </cell>
          <cell r="K2421">
            <v>55</v>
          </cell>
          <cell r="N2421">
            <v>962.45</v>
          </cell>
          <cell r="Q2421" t="str">
            <v>2016_09</v>
          </cell>
        </row>
        <row r="2422">
          <cell r="J2422">
            <v>55</v>
          </cell>
          <cell r="K2422">
            <v>55</v>
          </cell>
          <cell r="N2422">
            <v>112.46</v>
          </cell>
          <cell r="Q2422" t="str">
            <v>2015_10</v>
          </cell>
        </row>
        <row r="2423">
          <cell r="J2423">
            <v>55</v>
          </cell>
          <cell r="K2423">
            <v>55</v>
          </cell>
          <cell r="N2423">
            <v>78.47</v>
          </cell>
          <cell r="Q2423" t="str">
            <v>2015_11</v>
          </cell>
        </row>
        <row r="2424">
          <cell r="J2424">
            <v>55</v>
          </cell>
          <cell r="K2424">
            <v>55</v>
          </cell>
          <cell r="N2424">
            <v>79.8</v>
          </cell>
          <cell r="Q2424" t="str">
            <v>2015_12</v>
          </cell>
        </row>
        <row r="2425">
          <cell r="J2425">
            <v>55</v>
          </cell>
          <cell r="K2425">
            <v>55</v>
          </cell>
          <cell r="N2425">
            <v>132.24</v>
          </cell>
          <cell r="Q2425" t="str">
            <v>2016_01</v>
          </cell>
        </row>
        <row r="2426">
          <cell r="J2426">
            <v>55</v>
          </cell>
          <cell r="K2426">
            <v>55</v>
          </cell>
          <cell r="N2426">
            <v>144.41</v>
          </cell>
          <cell r="Q2426" t="str">
            <v>2016_02</v>
          </cell>
        </row>
        <row r="2427">
          <cell r="J2427">
            <v>55</v>
          </cell>
          <cell r="K2427">
            <v>55</v>
          </cell>
          <cell r="N2427">
            <v>135.47</v>
          </cell>
          <cell r="Q2427" t="str">
            <v>2016_03</v>
          </cell>
        </row>
        <row r="2428">
          <cell r="J2428">
            <v>55</v>
          </cell>
          <cell r="K2428">
            <v>55</v>
          </cell>
          <cell r="N2428">
            <v>228.14</v>
          </cell>
          <cell r="Q2428" t="str">
            <v>2016_04</v>
          </cell>
        </row>
        <row r="2429">
          <cell r="J2429">
            <v>55</v>
          </cell>
          <cell r="K2429">
            <v>55</v>
          </cell>
          <cell r="N2429">
            <v>117.08</v>
          </cell>
          <cell r="Q2429" t="str">
            <v>2016_05</v>
          </cell>
        </row>
        <row r="2430">
          <cell r="J2430">
            <v>55</v>
          </cell>
          <cell r="K2430">
            <v>55</v>
          </cell>
          <cell r="N2430">
            <v>81.92</v>
          </cell>
          <cell r="Q2430" t="str">
            <v>2016_06</v>
          </cell>
        </row>
        <row r="2431">
          <cell r="J2431">
            <v>55</v>
          </cell>
          <cell r="K2431">
            <v>55</v>
          </cell>
          <cell r="N2431">
            <v>79.459999999999994</v>
          </cell>
          <cell r="Q2431" t="str">
            <v>2016_07</v>
          </cell>
        </row>
        <row r="2432">
          <cell r="J2432">
            <v>55</v>
          </cell>
          <cell r="K2432">
            <v>55</v>
          </cell>
          <cell r="N2432">
            <v>80.25</v>
          </cell>
          <cell r="Q2432" t="str">
            <v>2016_08</v>
          </cell>
        </row>
        <row r="2433">
          <cell r="J2433">
            <v>55</v>
          </cell>
          <cell r="K2433">
            <v>55</v>
          </cell>
          <cell r="N2433">
            <v>225.1</v>
          </cell>
          <cell r="Q2433" t="str">
            <v>2016_09</v>
          </cell>
        </row>
        <row r="2434">
          <cell r="J2434">
            <v>55</v>
          </cell>
          <cell r="K2434">
            <v>55</v>
          </cell>
          <cell r="N2434">
            <v>0</v>
          </cell>
          <cell r="Q2434" t="str">
            <v>2015_10</v>
          </cell>
        </row>
        <row r="2435">
          <cell r="J2435">
            <v>55</v>
          </cell>
          <cell r="K2435">
            <v>55</v>
          </cell>
          <cell r="N2435">
            <v>0</v>
          </cell>
          <cell r="Q2435" t="str">
            <v>2015_11</v>
          </cell>
        </row>
        <row r="2436">
          <cell r="J2436">
            <v>55</v>
          </cell>
          <cell r="K2436">
            <v>55</v>
          </cell>
          <cell r="N2436">
            <v>0</v>
          </cell>
          <cell r="Q2436" t="str">
            <v>2015_12</v>
          </cell>
        </row>
        <row r="2437">
          <cell r="J2437">
            <v>55</v>
          </cell>
          <cell r="K2437">
            <v>55</v>
          </cell>
          <cell r="N2437">
            <v>54.72</v>
          </cell>
          <cell r="Q2437" t="str">
            <v>2016_01</v>
          </cell>
        </row>
        <row r="2438">
          <cell r="J2438">
            <v>55</v>
          </cell>
          <cell r="K2438">
            <v>55</v>
          </cell>
          <cell r="N2438">
            <v>57.15</v>
          </cell>
          <cell r="Q2438" t="str">
            <v>2016_02</v>
          </cell>
        </row>
        <row r="2439">
          <cell r="J2439">
            <v>55</v>
          </cell>
          <cell r="K2439">
            <v>55</v>
          </cell>
          <cell r="N2439">
            <v>30.94</v>
          </cell>
          <cell r="Q2439" t="str">
            <v>2016_03</v>
          </cell>
        </row>
        <row r="2440">
          <cell r="J2440">
            <v>55</v>
          </cell>
          <cell r="K2440">
            <v>55</v>
          </cell>
          <cell r="N2440">
            <v>20.239999999999998</v>
          </cell>
          <cell r="Q2440" t="str">
            <v>2016_04</v>
          </cell>
        </row>
        <row r="2441">
          <cell r="J2441">
            <v>55</v>
          </cell>
          <cell r="K2441">
            <v>55</v>
          </cell>
          <cell r="N2441">
            <v>9.52</v>
          </cell>
          <cell r="Q2441" t="str">
            <v>2016_05</v>
          </cell>
        </row>
        <row r="2442">
          <cell r="J2442">
            <v>55</v>
          </cell>
          <cell r="K2442">
            <v>55</v>
          </cell>
          <cell r="N2442">
            <v>10.17</v>
          </cell>
          <cell r="Q2442" t="str">
            <v>2016_06</v>
          </cell>
        </row>
        <row r="2443">
          <cell r="J2443">
            <v>55</v>
          </cell>
          <cell r="K2443">
            <v>55</v>
          </cell>
          <cell r="N2443">
            <v>10.17</v>
          </cell>
          <cell r="Q2443" t="str">
            <v>2016_07</v>
          </cell>
        </row>
        <row r="2444">
          <cell r="J2444">
            <v>55</v>
          </cell>
          <cell r="K2444">
            <v>55</v>
          </cell>
          <cell r="N2444">
            <v>5.01</v>
          </cell>
          <cell r="Q2444" t="str">
            <v>2016_08</v>
          </cell>
        </row>
        <row r="2445">
          <cell r="J2445">
            <v>55</v>
          </cell>
          <cell r="K2445">
            <v>55</v>
          </cell>
          <cell r="N2445">
            <v>0</v>
          </cell>
          <cell r="Q2445" t="str">
            <v>2016_09</v>
          </cell>
        </row>
        <row r="2446">
          <cell r="J2446">
            <v>55</v>
          </cell>
          <cell r="K2446">
            <v>55</v>
          </cell>
          <cell r="N2446">
            <v>32.549999999999997</v>
          </cell>
          <cell r="Q2446" t="str">
            <v>2015_10</v>
          </cell>
        </row>
        <row r="2447">
          <cell r="J2447">
            <v>55</v>
          </cell>
          <cell r="K2447">
            <v>55</v>
          </cell>
          <cell r="N2447">
            <v>22.4</v>
          </cell>
          <cell r="Q2447" t="str">
            <v>2015_11</v>
          </cell>
        </row>
        <row r="2448">
          <cell r="J2448">
            <v>55</v>
          </cell>
          <cell r="K2448">
            <v>55</v>
          </cell>
          <cell r="N2448">
            <v>7.98</v>
          </cell>
          <cell r="Q2448" t="str">
            <v>2015_12</v>
          </cell>
        </row>
        <row r="2449">
          <cell r="J2449">
            <v>55</v>
          </cell>
          <cell r="K2449">
            <v>55</v>
          </cell>
          <cell r="N2449">
            <v>36</v>
          </cell>
          <cell r="Q2449" t="str">
            <v>2016_01</v>
          </cell>
        </row>
        <row r="2450">
          <cell r="J2450">
            <v>55</v>
          </cell>
          <cell r="K2450">
            <v>55</v>
          </cell>
          <cell r="N2450">
            <v>36.840000000000003</v>
          </cell>
          <cell r="Q2450" t="str">
            <v>2016_02</v>
          </cell>
        </row>
        <row r="2451">
          <cell r="J2451">
            <v>55</v>
          </cell>
          <cell r="K2451">
            <v>55</v>
          </cell>
          <cell r="N2451">
            <v>34.54</v>
          </cell>
          <cell r="Q2451" t="str">
            <v>2016_03</v>
          </cell>
        </row>
        <row r="2452">
          <cell r="J2452">
            <v>55</v>
          </cell>
          <cell r="K2452">
            <v>55</v>
          </cell>
          <cell r="N2452">
            <v>58.21</v>
          </cell>
          <cell r="Q2452" t="str">
            <v>2016_04</v>
          </cell>
        </row>
        <row r="2453">
          <cell r="J2453">
            <v>55</v>
          </cell>
          <cell r="K2453">
            <v>55</v>
          </cell>
          <cell r="N2453">
            <v>29.88</v>
          </cell>
          <cell r="Q2453" t="str">
            <v>2016_05</v>
          </cell>
        </row>
        <row r="2454">
          <cell r="J2454">
            <v>55</v>
          </cell>
          <cell r="K2454">
            <v>55</v>
          </cell>
          <cell r="N2454">
            <v>20.92</v>
          </cell>
          <cell r="Q2454" t="str">
            <v>2016_06</v>
          </cell>
        </row>
        <row r="2455">
          <cell r="J2455">
            <v>55</v>
          </cell>
          <cell r="K2455">
            <v>55</v>
          </cell>
          <cell r="N2455">
            <v>20.29</v>
          </cell>
          <cell r="Q2455" t="str">
            <v>2016_07</v>
          </cell>
        </row>
        <row r="2456">
          <cell r="J2456">
            <v>55</v>
          </cell>
          <cell r="K2456">
            <v>55</v>
          </cell>
          <cell r="N2456">
            <v>20.48</v>
          </cell>
          <cell r="Q2456" t="str">
            <v>2016_08</v>
          </cell>
        </row>
        <row r="2457">
          <cell r="J2457">
            <v>55</v>
          </cell>
          <cell r="K2457">
            <v>55</v>
          </cell>
          <cell r="N2457">
            <v>57.42</v>
          </cell>
          <cell r="Q2457" t="str">
            <v>2016_09</v>
          </cell>
        </row>
        <row r="2458">
          <cell r="J2458">
            <v>54</v>
          </cell>
          <cell r="K2458">
            <v>54</v>
          </cell>
          <cell r="N2458">
            <v>547.70000000000005</v>
          </cell>
          <cell r="Q2458" t="str">
            <v>2015_10</v>
          </cell>
        </row>
        <row r="2459">
          <cell r="J2459">
            <v>54</v>
          </cell>
          <cell r="K2459">
            <v>54</v>
          </cell>
          <cell r="N2459">
            <v>542.67999999999995</v>
          </cell>
          <cell r="Q2459" t="str">
            <v>2015_11</v>
          </cell>
        </row>
        <row r="2460">
          <cell r="J2460">
            <v>54</v>
          </cell>
          <cell r="K2460">
            <v>54</v>
          </cell>
          <cell r="N2460">
            <v>520.70000000000005</v>
          </cell>
          <cell r="Q2460" t="str">
            <v>2015_12</v>
          </cell>
        </row>
        <row r="2461">
          <cell r="J2461">
            <v>54</v>
          </cell>
          <cell r="K2461">
            <v>54</v>
          </cell>
          <cell r="N2461">
            <v>939.09</v>
          </cell>
          <cell r="Q2461" t="str">
            <v>2016_01</v>
          </cell>
        </row>
        <row r="2462">
          <cell r="J2462">
            <v>54</v>
          </cell>
          <cell r="K2462">
            <v>54</v>
          </cell>
          <cell r="N2462">
            <v>1168.4000000000001</v>
          </cell>
          <cell r="Q2462" t="str">
            <v>2016_02</v>
          </cell>
        </row>
        <row r="2463">
          <cell r="J2463">
            <v>54</v>
          </cell>
          <cell r="K2463">
            <v>54</v>
          </cell>
          <cell r="N2463">
            <v>1084.6300000000001</v>
          </cell>
          <cell r="Q2463" t="str">
            <v>2016_03</v>
          </cell>
        </row>
        <row r="2464">
          <cell r="J2464">
            <v>54</v>
          </cell>
          <cell r="K2464">
            <v>54</v>
          </cell>
          <cell r="N2464">
            <v>1604.18</v>
          </cell>
          <cell r="Q2464" t="str">
            <v>2016_04</v>
          </cell>
        </row>
        <row r="2465">
          <cell r="J2465">
            <v>54</v>
          </cell>
          <cell r="K2465">
            <v>54</v>
          </cell>
          <cell r="N2465">
            <v>914.17</v>
          </cell>
          <cell r="Q2465" t="str">
            <v>2016_05</v>
          </cell>
        </row>
        <row r="2466">
          <cell r="J2466">
            <v>54</v>
          </cell>
          <cell r="K2466">
            <v>54</v>
          </cell>
          <cell r="N2466">
            <v>373.24</v>
          </cell>
          <cell r="Q2466" t="str">
            <v>2016_06</v>
          </cell>
        </row>
        <row r="2467">
          <cell r="J2467">
            <v>54</v>
          </cell>
          <cell r="K2467">
            <v>54</v>
          </cell>
          <cell r="N2467">
            <v>598.28</v>
          </cell>
          <cell r="Q2467" t="str">
            <v>2016_07</v>
          </cell>
        </row>
        <row r="2468">
          <cell r="J2468">
            <v>54</v>
          </cell>
          <cell r="K2468">
            <v>54</v>
          </cell>
          <cell r="N2468">
            <v>724.78</v>
          </cell>
          <cell r="Q2468" t="str">
            <v>2016_08</v>
          </cell>
        </row>
        <row r="2469">
          <cell r="J2469">
            <v>54</v>
          </cell>
          <cell r="K2469">
            <v>54</v>
          </cell>
          <cell r="N2469">
            <v>1652.4</v>
          </cell>
          <cell r="Q2469" t="str">
            <v>2016_09</v>
          </cell>
        </row>
        <row r="2470">
          <cell r="J2470">
            <v>56</v>
          </cell>
          <cell r="K2470">
            <v>56</v>
          </cell>
          <cell r="N2470">
            <v>0</v>
          </cell>
          <cell r="Q2470" t="str">
            <v>2015_10</v>
          </cell>
        </row>
        <row r="2471">
          <cell r="J2471">
            <v>56</v>
          </cell>
          <cell r="K2471">
            <v>56</v>
          </cell>
          <cell r="N2471">
            <v>524.75</v>
          </cell>
          <cell r="Q2471" t="str">
            <v>2015_11</v>
          </cell>
        </row>
        <row r="2472">
          <cell r="J2472">
            <v>56</v>
          </cell>
          <cell r="K2472">
            <v>56</v>
          </cell>
          <cell r="N2472">
            <v>0</v>
          </cell>
          <cell r="Q2472" t="str">
            <v>2015_12</v>
          </cell>
        </row>
        <row r="2473">
          <cell r="J2473">
            <v>52</v>
          </cell>
          <cell r="K2473">
            <v>52</v>
          </cell>
          <cell r="N2473">
            <v>1711.91</v>
          </cell>
          <cell r="Q2473" t="str">
            <v>2015_10</v>
          </cell>
        </row>
        <row r="2474">
          <cell r="J2474">
            <v>52</v>
          </cell>
          <cell r="K2474">
            <v>52</v>
          </cell>
          <cell r="N2474">
            <v>1288.17</v>
          </cell>
          <cell r="Q2474" t="str">
            <v>2015_11</v>
          </cell>
        </row>
        <row r="2475">
          <cell r="J2475">
            <v>52</v>
          </cell>
          <cell r="K2475">
            <v>52</v>
          </cell>
          <cell r="N2475">
            <v>3464.59</v>
          </cell>
          <cell r="Q2475" t="str">
            <v>2015_12</v>
          </cell>
        </row>
        <row r="2476">
          <cell r="J2476">
            <v>52</v>
          </cell>
          <cell r="K2476">
            <v>52</v>
          </cell>
          <cell r="N2476">
            <v>1857.87</v>
          </cell>
          <cell r="Q2476" t="str">
            <v>2016_01</v>
          </cell>
        </row>
        <row r="2477">
          <cell r="J2477">
            <v>52</v>
          </cell>
          <cell r="K2477">
            <v>52</v>
          </cell>
          <cell r="N2477">
            <v>1857.87</v>
          </cell>
          <cell r="Q2477" t="str">
            <v>2016_02</v>
          </cell>
        </row>
        <row r="2478">
          <cell r="J2478">
            <v>52</v>
          </cell>
          <cell r="K2478">
            <v>52</v>
          </cell>
          <cell r="N2478">
            <v>1670.31</v>
          </cell>
          <cell r="Q2478" t="str">
            <v>2016_03</v>
          </cell>
        </row>
        <row r="2479">
          <cell r="J2479">
            <v>52</v>
          </cell>
          <cell r="K2479">
            <v>52</v>
          </cell>
          <cell r="N2479">
            <v>1670.31</v>
          </cell>
          <cell r="Q2479" t="str">
            <v>2016_04</v>
          </cell>
        </row>
        <row r="2480">
          <cell r="J2480">
            <v>52</v>
          </cell>
          <cell r="K2480">
            <v>52</v>
          </cell>
          <cell r="N2480">
            <v>1857.87</v>
          </cell>
          <cell r="Q2480" t="str">
            <v>2016_05</v>
          </cell>
        </row>
        <row r="2481">
          <cell r="J2481">
            <v>52</v>
          </cell>
          <cell r="K2481">
            <v>52</v>
          </cell>
          <cell r="N2481">
            <v>1857.87</v>
          </cell>
          <cell r="Q2481" t="str">
            <v>2016_06</v>
          </cell>
        </row>
        <row r="2482">
          <cell r="J2482">
            <v>52</v>
          </cell>
          <cell r="K2482">
            <v>52</v>
          </cell>
          <cell r="N2482">
            <v>1857.87</v>
          </cell>
          <cell r="Q2482" t="str">
            <v>2016_07</v>
          </cell>
        </row>
        <row r="2483">
          <cell r="J2483">
            <v>52</v>
          </cell>
          <cell r="K2483">
            <v>52</v>
          </cell>
          <cell r="N2483">
            <v>1857.87</v>
          </cell>
          <cell r="Q2483" t="str">
            <v>2016_08</v>
          </cell>
        </row>
        <row r="2484">
          <cell r="J2484">
            <v>52</v>
          </cell>
          <cell r="K2484">
            <v>52</v>
          </cell>
          <cell r="N2484">
            <v>1857.87</v>
          </cell>
          <cell r="Q2484" t="str">
            <v>2016_09</v>
          </cell>
        </row>
        <row r="2485">
          <cell r="J2485">
            <v>53</v>
          </cell>
          <cell r="K2485">
            <v>53</v>
          </cell>
          <cell r="N2485">
            <v>1000.58</v>
          </cell>
          <cell r="Q2485" t="str">
            <v>2015_10</v>
          </cell>
        </row>
        <row r="2486">
          <cell r="J2486">
            <v>53</v>
          </cell>
          <cell r="K2486">
            <v>53</v>
          </cell>
          <cell r="N2486">
            <v>693.69</v>
          </cell>
          <cell r="Q2486" t="str">
            <v>2015_11</v>
          </cell>
        </row>
        <row r="2487">
          <cell r="J2487">
            <v>53</v>
          </cell>
          <cell r="K2487">
            <v>53</v>
          </cell>
          <cell r="N2487">
            <v>674.18</v>
          </cell>
          <cell r="Q2487" t="str">
            <v>2015_12</v>
          </cell>
        </row>
        <row r="2488">
          <cell r="J2488">
            <v>53</v>
          </cell>
          <cell r="K2488">
            <v>53</v>
          </cell>
          <cell r="N2488">
            <v>720.54</v>
          </cell>
          <cell r="Q2488" t="str">
            <v>2016_01</v>
          </cell>
        </row>
        <row r="2489">
          <cell r="J2489">
            <v>53</v>
          </cell>
          <cell r="K2489">
            <v>53</v>
          </cell>
          <cell r="N2489">
            <v>719.27</v>
          </cell>
          <cell r="Q2489" t="str">
            <v>2016_02</v>
          </cell>
        </row>
        <row r="2490">
          <cell r="J2490">
            <v>53</v>
          </cell>
          <cell r="K2490">
            <v>53</v>
          </cell>
          <cell r="N2490">
            <v>724.03</v>
          </cell>
          <cell r="Q2490" t="str">
            <v>2016_03</v>
          </cell>
        </row>
        <row r="2491">
          <cell r="J2491">
            <v>53</v>
          </cell>
          <cell r="K2491">
            <v>53</v>
          </cell>
          <cell r="N2491">
            <v>1079.7</v>
          </cell>
          <cell r="Q2491" t="str">
            <v>2016_04</v>
          </cell>
        </row>
        <row r="2492">
          <cell r="J2492">
            <v>53</v>
          </cell>
          <cell r="K2492">
            <v>53</v>
          </cell>
          <cell r="N2492">
            <v>706.69</v>
          </cell>
          <cell r="Q2492" t="str">
            <v>2016_05</v>
          </cell>
        </row>
        <row r="2493">
          <cell r="J2493">
            <v>53</v>
          </cell>
          <cell r="K2493">
            <v>53</v>
          </cell>
          <cell r="N2493">
            <v>740.78</v>
          </cell>
          <cell r="Q2493" t="str">
            <v>2016_06</v>
          </cell>
        </row>
        <row r="2494">
          <cell r="J2494">
            <v>53</v>
          </cell>
          <cell r="K2494">
            <v>53</v>
          </cell>
          <cell r="N2494">
            <v>773.56</v>
          </cell>
          <cell r="Q2494" t="str">
            <v>2016_07</v>
          </cell>
        </row>
        <row r="2495">
          <cell r="J2495">
            <v>53</v>
          </cell>
          <cell r="K2495">
            <v>53</v>
          </cell>
          <cell r="N2495">
            <v>769.11</v>
          </cell>
          <cell r="Q2495" t="str">
            <v>2016_08</v>
          </cell>
        </row>
        <row r="2496">
          <cell r="J2496">
            <v>53</v>
          </cell>
          <cell r="K2496">
            <v>53</v>
          </cell>
          <cell r="N2496">
            <v>1170.21</v>
          </cell>
          <cell r="Q2496" t="str">
            <v>2016_09</v>
          </cell>
        </row>
        <row r="2497">
          <cell r="J2497">
            <v>53</v>
          </cell>
          <cell r="K2497">
            <v>53</v>
          </cell>
          <cell r="N2497">
            <v>-67.73</v>
          </cell>
          <cell r="Q2497" t="str">
            <v>2015_10</v>
          </cell>
        </row>
        <row r="2498">
          <cell r="J2498">
            <v>53</v>
          </cell>
          <cell r="K2498">
            <v>53</v>
          </cell>
          <cell r="N2498">
            <v>75.25</v>
          </cell>
          <cell r="Q2498" t="str">
            <v>2015_11</v>
          </cell>
        </row>
        <row r="2499">
          <cell r="J2499">
            <v>53</v>
          </cell>
          <cell r="K2499">
            <v>53</v>
          </cell>
          <cell r="N2499">
            <v>75.25</v>
          </cell>
          <cell r="Q2499" t="str">
            <v>2015_12</v>
          </cell>
        </row>
        <row r="2500">
          <cell r="J2500">
            <v>53</v>
          </cell>
          <cell r="K2500">
            <v>53</v>
          </cell>
          <cell r="N2500">
            <v>75.25</v>
          </cell>
          <cell r="Q2500" t="str">
            <v>2016_01</v>
          </cell>
        </row>
        <row r="2501">
          <cell r="J2501">
            <v>53</v>
          </cell>
          <cell r="K2501">
            <v>53</v>
          </cell>
          <cell r="N2501">
            <v>75.25</v>
          </cell>
          <cell r="Q2501" t="str">
            <v>2016_02</v>
          </cell>
        </row>
        <row r="2502">
          <cell r="J2502">
            <v>53</v>
          </cell>
          <cell r="K2502">
            <v>53</v>
          </cell>
          <cell r="N2502">
            <v>75.25</v>
          </cell>
          <cell r="Q2502" t="str">
            <v>2016_03</v>
          </cell>
        </row>
        <row r="2503">
          <cell r="J2503">
            <v>53</v>
          </cell>
          <cell r="K2503">
            <v>53</v>
          </cell>
          <cell r="N2503">
            <v>75.25</v>
          </cell>
          <cell r="Q2503" t="str">
            <v>2016_04</v>
          </cell>
        </row>
        <row r="2504">
          <cell r="J2504">
            <v>53</v>
          </cell>
          <cell r="K2504">
            <v>53</v>
          </cell>
          <cell r="N2504">
            <v>75.25</v>
          </cell>
          <cell r="Q2504" t="str">
            <v>2016_05</v>
          </cell>
        </row>
        <row r="2505">
          <cell r="J2505">
            <v>53</v>
          </cell>
          <cell r="K2505">
            <v>53</v>
          </cell>
          <cell r="N2505">
            <v>75.25</v>
          </cell>
          <cell r="Q2505" t="str">
            <v>2016_06</v>
          </cell>
        </row>
        <row r="2506">
          <cell r="J2506">
            <v>53</v>
          </cell>
          <cell r="K2506">
            <v>53</v>
          </cell>
          <cell r="N2506">
            <v>75.25</v>
          </cell>
          <cell r="Q2506" t="str">
            <v>2016_07</v>
          </cell>
        </row>
        <row r="2507">
          <cell r="J2507">
            <v>53</v>
          </cell>
          <cell r="K2507">
            <v>53</v>
          </cell>
          <cell r="N2507">
            <v>75.25</v>
          </cell>
          <cell r="Q2507" t="str">
            <v>2016_08</v>
          </cell>
        </row>
        <row r="2508">
          <cell r="J2508">
            <v>53</v>
          </cell>
          <cell r="K2508">
            <v>53</v>
          </cell>
          <cell r="N2508">
            <v>75.25</v>
          </cell>
          <cell r="Q2508" t="str">
            <v>2016_09</v>
          </cell>
        </row>
        <row r="2509">
          <cell r="J2509">
            <v>51</v>
          </cell>
          <cell r="K2509">
            <v>51</v>
          </cell>
          <cell r="N2509">
            <v>1783.2</v>
          </cell>
          <cell r="Q2509" t="str">
            <v>2015_10</v>
          </cell>
        </row>
        <row r="2510">
          <cell r="J2510">
            <v>51</v>
          </cell>
          <cell r="K2510">
            <v>51</v>
          </cell>
          <cell r="N2510">
            <v>2228.4</v>
          </cell>
          <cell r="Q2510" t="str">
            <v>2015_11</v>
          </cell>
        </row>
        <row r="2511">
          <cell r="J2511">
            <v>51</v>
          </cell>
          <cell r="K2511">
            <v>51</v>
          </cell>
          <cell r="N2511">
            <v>356.64</v>
          </cell>
          <cell r="Q2511" t="str">
            <v>2015_12</v>
          </cell>
        </row>
        <row r="2512">
          <cell r="J2512">
            <v>51</v>
          </cell>
          <cell r="K2512">
            <v>51</v>
          </cell>
          <cell r="N2512">
            <v>1140.69</v>
          </cell>
          <cell r="Q2512" t="str">
            <v>2016_01</v>
          </cell>
        </row>
        <row r="2513">
          <cell r="J2513">
            <v>51</v>
          </cell>
          <cell r="K2513">
            <v>51</v>
          </cell>
          <cell r="N2513">
            <v>1140.69</v>
          </cell>
          <cell r="Q2513" t="str">
            <v>2016_02</v>
          </cell>
        </row>
        <row r="2514">
          <cell r="J2514">
            <v>51</v>
          </cell>
          <cell r="K2514">
            <v>51</v>
          </cell>
          <cell r="N2514">
            <v>1140.69</v>
          </cell>
          <cell r="Q2514" t="str">
            <v>2016_03</v>
          </cell>
        </row>
        <row r="2515">
          <cell r="J2515">
            <v>51</v>
          </cell>
          <cell r="K2515">
            <v>51</v>
          </cell>
          <cell r="N2515">
            <v>1140.69</v>
          </cell>
          <cell r="Q2515" t="str">
            <v>2016_04</v>
          </cell>
        </row>
        <row r="2516">
          <cell r="J2516">
            <v>51</v>
          </cell>
          <cell r="K2516">
            <v>51</v>
          </cell>
          <cell r="N2516">
            <v>1140.69</v>
          </cell>
          <cell r="Q2516" t="str">
            <v>2016_05</v>
          </cell>
        </row>
        <row r="2517">
          <cell r="J2517">
            <v>51</v>
          </cell>
          <cell r="K2517">
            <v>51</v>
          </cell>
          <cell r="N2517">
            <v>1140.69</v>
          </cell>
          <cell r="Q2517" t="str">
            <v>2016_06</v>
          </cell>
        </row>
        <row r="2518">
          <cell r="J2518">
            <v>51</v>
          </cell>
          <cell r="K2518">
            <v>51</v>
          </cell>
          <cell r="N2518">
            <v>1140.69</v>
          </cell>
          <cell r="Q2518" t="str">
            <v>2016_07</v>
          </cell>
        </row>
        <row r="2519">
          <cell r="J2519">
            <v>51</v>
          </cell>
          <cell r="K2519">
            <v>51</v>
          </cell>
          <cell r="N2519">
            <v>1140.69</v>
          </cell>
          <cell r="Q2519" t="str">
            <v>2016_08</v>
          </cell>
        </row>
        <row r="2520">
          <cell r="J2520">
            <v>51</v>
          </cell>
          <cell r="K2520">
            <v>51</v>
          </cell>
          <cell r="N2520">
            <v>1140.69</v>
          </cell>
          <cell r="Q2520" t="str">
            <v>2016_09</v>
          </cell>
        </row>
        <row r="2521">
          <cell r="J2521">
            <v>55</v>
          </cell>
          <cell r="K2521">
            <v>55</v>
          </cell>
          <cell r="N2521">
            <v>1240.75</v>
          </cell>
          <cell r="Q2521" t="str">
            <v>2015_10</v>
          </cell>
        </row>
        <row r="2522">
          <cell r="J2522">
            <v>55</v>
          </cell>
          <cell r="K2522">
            <v>55</v>
          </cell>
          <cell r="N2522">
            <v>860.19</v>
          </cell>
          <cell r="Q2522" t="str">
            <v>2015_11</v>
          </cell>
        </row>
        <row r="2523">
          <cell r="J2523">
            <v>55</v>
          </cell>
          <cell r="K2523">
            <v>55</v>
          </cell>
          <cell r="N2523">
            <v>1145.98</v>
          </cell>
          <cell r="Q2523" t="str">
            <v>2015_12</v>
          </cell>
        </row>
        <row r="2524">
          <cell r="J2524">
            <v>55</v>
          </cell>
          <cell r="K2524">
            <v>55</v>
          </cell>
          <cell r="N2524">
            <v>893.48</v>
          </cell>
          <cell r="Q2524" t="str">
            <v>2016_01</v>
          </cell>
        </row>
        <row r="2525">
          <cell r="J2525">
            <v>55</v>
          </cell>
          <cell r="K2525">
            <v>55</v>
          </cell>
          <cell r="N2525">
            <v>891.89</v>
          </cell>
          <cell r="Q2525" t="str">
            <v>2016_02</v>
          </cell>
        </row>
        <row r="2526">
          <cell r="J2526">
            <v>55</v>
          </cell>
          <cell r="K2526">
            <v>55</v>
          </cell>
          <cell r="N2526">
            <v>897.81</v>
          </cell>
          <cell r="Q2526" t="str">
            <v>2016_03</v>
          </cell>
        </row>
        <row r="2527">
          <cell r="J2527">
            <v>55</v>
          </cell>
          <cell r="K2527">
            <v>55</v>
          </cell>
          <cell r="N2527">
            <v>1338.82</v>
          </cell>
          <cell r="Q2527" t="str">
            <v>2016_04</v>
          </cell>
        </row>
        <row r="2528">
          <cell r="J2528">
            <v>55</v>
          </cell>
          <cell r="K2528">
            <v>55</v>
          </cell>
          <cell r="N2528">
            <v>876.3</v>
          </cell>
          <cell r="Q2528" t="str">
            <v>2016_05</v>
          </cell>
        </row>
        <row r="2529">
          <cell r="J2529">
            <v>55</v>
          </cell>
          <cell r="K2529">
            <v>55</v>
          </cell>
          <cell r="N2529">
            <v>918.58</v>
          </cell>
          <cell r="Q2529" t="str">
            <v>2016_06</v>
          </cell>
        </row>
        <row r="2530">
          <cell r="J2530">
            <v>55</v>
          </cell>
          <cell r="K2530">
            <v>55</v>
          </cell>
          <cell r="N2530">
            <v>959.21</v>
          </cell>
          <cell r="Q2530" t="str">
            <v>2016_07</v>
          </cell>
        </row>
        <row r="2531">
          <cell r="J2531">
            <v>55</v>
          </cell>
          <cell r="K2531">
            <v>55</v>
          </cell>
          <cell r="N2531">
            <v>953.7</v>
          </cell>
          <cell r="Q2531" t="str">
            <v>2016_08</v>
          </cell>
        </row>
        <row r="2532">
          <cell r="J2532">
            <v>55</v>
          </cell>
          <cell r="K2532">
            <v>55</v>
          </cell>
          <cell r="N2532">
            <v>1451.03</v>
          </cell>
          <cell r="Q2532" t="str">
            <v>2016_09</v>
          </cell>
        </row>
        <row r="2533">
          <cell r="J2533">
            <v>55</v>
          </cell>
          <cell r="K2533">
            <v>55</v>
          </cell>
          <cell r="N2533">
            <v>290.17</v>
          </cell>
          <cell r="Q2533" t="str">
            <v>2015_10</v>
          </cell>
        </row>
        <row r="2534">
          <cell r="J2534">
            <v>55</v>
          </cell>
          <cell r="K2534">
            <v>55</v>
          </cell>
          <cell r="N2534">
            <v>201.18</v>
          </cell>
          <cell r="Q2534" t="str">
            <v>2015_11</v>
          </cell>
        </row>
        <row r="2535">
          <cell r="J2535">
            <v>55</v>
          </cell>
          <cell r="K2535">
            <v>55</v>
          </cell>
          <cell r="N2535">
            <v>268.01</v>
          </cell>
          <cell r="Q2535" t="str">
            <v>2015_12</v>
          </cell>
        </row>
        <row r="2536">
          <cell r="J2536">
            <v>55</v>
          </cell>
          <cell r="K2536">
            <v>55</v>
          </cell>
          <cell r="N2536">
            <v>208.96</v>
          </cell>
          <cell r="Q2536" t="str">
            <v>2016_01</v>
          </cell>
        </row>
        <row r="2537">
          <cell r="J2537">
            <v>55</v>
          </cell>
          <cell r="K2537">
            <v>55</v>
          </cell>
          <cell r="N2537">
            <v>208.59</v>
          </cell>
          <cell r="Q2537" t="str">
            <v>2016_02</v>
          </cell>
        </row>
        <row r="2538">
          <cell r="J2538">
            <v>55</v>
          </cell>
          <cell r="K2538">
            <v>55</v>
          </cell>
          <cell r="N2538">
            <v>209.97</v>
          </cell>
          <cell r="Q2538" t="str">
            <v>2016_03</v>
          </cell>
        </row>
        <row r="2539">
          <cell r="J2539">
            <v>55</v>
          </cell>
          <cell r="K2539">
            <v>55</v>
          </cell>
          <cell r="N2539">
            <v>313.11</v>
          </cell>
          <cell r="Q2539" t="str">
            <v>2016_04</v>
          </cell>
        </row>
        <row r="2540">
          <cell r="J2540">
            <v>55</v>
          </cell>
          <cell r="K2540">
            <v>55</v>
          </cell>
          <cell r="N2540">
            <v>204.94</v>
          </cell>
          <cell r="Q2540" t="str">
            <v>2016_05</v>
          </cell>
        </row>
        <row r="2541">
          <cell r="J2541">
            <v>55</v>
          </cell>
          <cell r="K2541">
            <v>55</v>
          </cell>
          <cell r="N2541">
            <v>214.83</v>
          </cell>
          <cell r="Q2541" t="str">
            <v>2016_06</v>
          </cell>
        </row>
        <row r="2542">
          <cell r="J2542">
            <v>55</v>
          </cell>
          <cell r="K2542">
            <v>55</v>
          </cell>
          <cell r="N2542">
            <v>224.33</v>
          </cell>
          <cell r="Q2542" t="str">
            <v>2016_07</v>
          </cell>
        </row>
        <row r="2543">
          <cell r="J2543">
            <v>55</v>
          </cell>
          <cell r="K2543">
            <v>55</v>
          </cell>
          <cell r="N2543">
            <v>223.04</v>
          </cell>
          <cell r="Q2543" t="str">
            <v>2016_08</v>
          </cell>
        </row>
        <row r="2544">
          <cell r="J2544">
            <v>55</v>
          </cell>
          <cell r="K2544">
            <v>55</v>
          </cell>
          <cell r="N2544">
            <v>339.36</v>
          </cell>
          <cell r="Q2544" t="str">
            <v>2016_09</v>
          </cell>
        </row>
        <row r="2545">
          <cell r="J2545">
            <v>55</v>
          </cell>
          <cell r="K2545">
            <v>55</v>
          </cell>
          <cell r="N2545">
            <v>0</v>
          </cell>
          <cell r="Q2545" t="str">
            <v>2015_10</v>
          </cell>
        </row>
        <row r="2546">
          <cell r="J2546">
            <v>55</v>
          </cell>
          <cell r="K2546">
            <v>55</v>
          </cell>
          <cell r="N2546">
            <v>0</v>
          </cell>
          <cell r="Q2546" t="str">
            <v>2015_11</v>
          </cell>
        </row>
        <row r="2547">
          <cell r="J2547">
            <v>55</v>
          </cell>
          <cell r="K2547">
            <v>55</v>
          </cell>
          <cell r="N2547">
            <v>0</v>
          </cell>
          <cell r="Q2547" t="str">
            <v>2015_12</v>
          </cell>
        </row>
        <row r="2548">
          <cell r="J2548">
            <v>55</v>
          </cell>
          <cell r="K2548">
            <v>55</v>
          </cell>
          <cell r="N2548">
            <v>86.47</v>
          </cell>
          <cell r="Q2548" t="str">
            <v>2016_01</v>
          </cell>
        </row>
        <row r="2549">
          <cell r="J2549">
            <v>55</v>
          </cell>
          <cell r="K2549">
            <v>55</v>
          </cell>
          <cell r="N2549">
            <v>39.520000000000003</v>
          </cell>
          <cell r="Q2549" t="str">
            <v>2016_02</v>
          </cell>
        </row>
        <row r="2550">
          <cell r="J2550">
            <v>55</v>
          </cell>
          <cell r="K2550">
            <v>55</v>
          </cell>
          <cell r="N2550">
            <v>0</v>
          </cell>
          <cell r="Q2550" t="str">
            <v>2016_03</v>
          </cell>
        </row>
        <row r="2551">
          <cell r="J2551">
            <v>55</v>
          </cell>
          <cell r="K2551">
            <v>55</v>
          </cell>
          <cell r="N2551">
            <v>0</v>
          </cell>
          <cell r="Q2551" t="str">
            <v>2016_04</v>
          </cell>
        </row>
        <row r="2552">
          <cell r="J2552">
            <v>55</v>
          </cell>
          <cell r="K2552">
            <v>55</v>
          </cell>
          <cell r="N2552">
            <v>0</v>
          </cell>
          <cell r="Q2552" t="str">
            <v>2016_05</v>
          </cell>
        </row>
        <row r="2553">
          <cell r="J2553">
            <v>55</v>
          </cell>
          <cell r="K2553">
            <v>55</v>
          </cell>
          <cell r="N2553">
            <v>0</v>
          </cell>
          <cell r="Q2553" t="str">
            <v>2016_06</v>
          </cell>
        </row>
        <row r="2554">
          <cell r="J2554">
            <v>55</v>
          </cell>
          <cell r="K2554">
            <v>55</v>
          </cell>
          <cell r="N2554">
            <v>0</v>
          </cell>
          <cell r="Q2554" t="str">
            <v>2016_07</v>
          </cell>
        </row>
        <row r="2555">
          <cell r="J2555">
            <v>55</v>
          </cell>
          <cell r="K2555">
            <v>55</v>
          </cell>
          <cell r="N2555">
            <v>0</v>
          </cell>
          <cell r="Q2555" t="str">
            <v>2016_08</v>
          </cell>
        </row>
        <row r="2556">
          <cell r="J2556">
            <v>55</v>
          </cell>
          <cell r="K2556">
            <v>55</v>
          </cell>
          <cell r="N2556">
            <v>0</v>
          </cell>
          <cell r="Q2556" t="str">
            <v>2016_09</v>
          </cell>
        </row>
        <row r="2557">
          <cell r="J2557">
            <v>55</v>
          </cell>
          <cell r="K2557">
            <v>55</v>
          </cell>
          <cell r="N2557">
            <v>8.81</v>
          </cell>
          <cell r="Q2557" t="str">
            <v>2015_10</v>
          </cell>
        </row>
        <row r="2558">
          <cell r="J2558">
            <v>55</v>
          </cell>
          <cell r="K2558">
            <v>55</v>
          </cell>
          <cell r="N2558">
            <v>0</v>
          </cell>
          <cell r="Q2558" t="str">
            <v>2015_11</v>
          </cell>
        </row>
        <row r="2559">
          <cell r="J2559">
            <v>55</v>
          </cell>
          <cell r="K2559">
            <v>55</v>
          </cell>
          <cell r="N2559">
            <v>0</v>
          </cell>
          <cell r="Q2559" t="str">
            <v>2015_12</v>
          </cell>
        </row>
        <row r="2560">
          <cell r="J2560">
            <v>55</v>
          </cell>
          <cell r="K2560">
            <v>55</v>
          </cell>
          <cell r="N2560">
            <v>57.03</v>
          </cell>
          <cell r="Q2560" t="str">
            <v>2016_01</v>
          </cell>
        </row>
        <row r="2561">
          <cell r="J2561">
            <v>55</v>
          </cell>
          <cell r="K2561">
            <v>55</v>
          </cell>
          <cell r="N2561">
            <v>53.23</v>
          </cell>
          <cell r="Q2561" t="str">
            <v>2016_02</v>
          </cell>
        </row>
        <row r="2562">
          <cell r="J2562">
            <v>55</v>
          </cell>
          <cell r="K2562">
            <v>55</v>
          </cell>
          <cell r="N2562">
            <v>53.6</v>
          </cell>
          <cell r="Q2562" t="str">
            <v>2016_03</v>
          </cell>
        </row>
        <row r="2563">
          <cell r="J2563">
            <v>55</v>
          </cell>
          <cell r="K2563">
            <v>55</v>
          </cell>
          <cell r="N2563">
            <v>79.900000000000006</v>
          </cell>
          <cell r="Q2563" t="str">
            <v>2016_04</v>
          </cell>
        </row>
        <row r="2564">
          <cell r="J2564">
            <v>55</v>
          </cell>
          <cell r="K2564">
            <v>55</v>
          </cell>
          <cell r="N2564">
            <v>52.31</v>
          </cell>
          <cell r="Q2564" t="str">
            <v>2016_05</v>
          </cell>
        </row>
        <row r="2565">
          <cell r="J2565">
            <v>55</v>
          </cell>
          <cell r="K2565">
            <v>55</v>
          </cell>
          <cell r="N2565">
            <v>54.82</v>
          </cell>
          <cell r="Q2565" t="str">
            <v>2016_06</v>
          </cell>
        </row>
        <row r="2566">
          <cell r="J2566">
            <v>55</v>
          </cell>
          <cell r="K2566">
            <v>55</v>
          </cell>
          <cell r="N2566">
            <v>57.25</v>
          </cell>
          <cell r="Q2566" t="str">
            <v>2016_07</v>
          </cell>
        </row>
        <row r="2567">
          <cell r="J2567">
            <v>55</v>
          </cell>
          <cell r="K2567">
            <v>55</v>
          </cell>
          <cell r="N2567">
            <v>42.86</v>
          </cell>
          <cell r="Q2567" t="str">
            <v>2016_08</v>
          </cell>
        </row>
        <row r="2568">
          <cell r="J2568">
            <v>55</v>
          </cell>
          <cell r="K2568">
            <v>55</v>
          </cell>
          <cell r="N2568">
            <v>41.18</v>
          </cell>
          <cell r="Q2568" t="str">
            <v>2016_09</v>
          </cell>
        </row>
        <row r="2569">
          <cell r="J2569">
            <v>54</v>
          </cell>
          <cell r="K2569">
            <v>54</v>
          </cell>
          <cell r="N2569">
            <v>1232.43</v>
          </cell>
          <cell r="Q2569" t="str">
            <v>2015_10</v>
          </cell>
        </row>
        <row r="2570">
          <cell r="J2570">
            <v>54</v>
          </cell>
          <cell r="K2570">
            <v>54</v>
          </cell>
          <cell r="N2570">
            <v>759.88</v>
          </cell>
          <cell r="Q2570" t="str">
            <v>2015_11</v>
          </cell>
        </row>
        <row r="2571">
          <cell r="J2571">
            <v>54</v>
          </cell>
          <cell r="K2571">
            <v>54</v>
          </cell>
          <cell r="N2571">
            <v>888.91</v>
          </cell>
          <cell r="Q2571" t="str">
            <v>2015_12</v>
          </cell>
        </row>
        <row r="2572">
          <cell r="J2572">
            <v>54</v>
          </cell>
          <cell r="K2572">
            <v>54</v>
          </cell>
          <cell r="N2572">
            <v>942.4</v>
          </cell>
          <cell r="Q2572" t="str">
            <v>2016_01</v>
          </cell>
        </row>
        <row r="2573">
          <cell r="J2573">
            <v>54</v>
          </cell>
          <cell r="K2573">
            <v>54</v>
          </cell>
          <cell r="N2573">
            <v>1032.53</v>
          </cell>
          <cell r="Q2573" t="str">
            <v>2016_02</v>
          </cell>
        </row>
        <row r="2574">
          <cell r="J2574">
            <v>54</v>
          </cell>
          <cell r="K2574">
            <v>54</v>
          </cell>
          <cell r="N2574">
            <v>1063.19</v>
          </cell>
          <cell r="Q2574" t="str">
            <v>2016_03</v>
          </cell>
        </row>
        <row r="2575">
          <cell r="J2575">
            <v>54</v>
          </cell>
          <cell r="K2575">
            <v>54</v>
          </cell>
          <cell r="N2575">
            <v>1516.06</v>
          </cell>
          <cell r="Q2575" t="str">
            <v>2016_04</v>
          </cell>
        </row>
        <row r="2576">
          <cell r="J2576">
            <v>54</v>
          </cell>
          <cell r="K2576">
            <v>54</v>
          </cell>
          <cell r="N2576">
            <v>1041.19</v>
          </cell>
          <cell r="Q2576" t="str">
            <v>2016_05</v>
          </cell>
        </row>
        <row r="2577">
          <cell r="J2577">
            <v>54</v>
          </cell>
          <cell r="K2577">
            <v>54</v>
          </cell>
          <cell r="N2577">
            <v>318.17</v>
          </cell>
          <cell r="Q2577" t="str">
            <v>2016_06</v>
          </cell>
        </row>
        <row r="2578">
          <cell r="J2578">
            <v>54</v>
          </cell>
          <cell r="K2578">
            <v>54</v>
          </cell>
          <cell r="N2578">
            <v>956.8</v>
          </cell>
          <cell r="Q2578" t="str">
            <v>2016_07</v>
          </cell>
        </row>
        <row r="2579">
          <cell r="J2579">
            <v>54</v>
          </cell>
          <cell r="K2579">
            <v>54</v>
          </cell>
          <cell r="N2579">
            <v>1037.98</v>
          </cell>
          <cell r="Q2579" t="str">
            <v>2016_08</v>
          </cell>
        </row>
        <row r="2580">
          <cell r="J2580">
            <v>54</v>
          </cell>
          <cell r="K2580">
            <v>54</v>
          </cell>
          <cell r="N2580">
            <v>1491.36</v>
          </cell>
          <cell r="Q2580" t="str">
            <v>2016_09</v>
          </cell>
        </row>
        <row r="2581">
          <cell r="J2581">
            <v>56</v>
          </cell>
          <cell r="K2581">
            <v>56</v>
          </cell>
          <cell r="N2581">
            <v>0</v>
          </cell>
          <cell r="Q2581" t="str">
            <v>2015_10</v>
          </cell>
        </row>
        <row r="2582">
          <cell r="J2582">
            <v>56</v>
          </cell>
          <cell r="K2582">
            <v>56</v>
          </cell>
          <cell r="N2582">
            <v>0</v>
          </cell>
          <cell r="Q2582" t="str">
            <v>2015_11</v>
          </cell>
        </row>
        <row r="2583">
          <cell r="J2583">
            <v>56</v>
          </cell>
          <cell r="K2583">
            <v>56</v>
          </cell>
          <cell r="N2583">
            <v>0</v>
          </cell>
          <cell r="Q2583" t="str">
            <v>2015_12</v>
          </cell>
        </row>
        <row r="2584">
          <cell r="J2584">
            <v>56</v>
          </cell>
          <cell r="K2584">
            <v>56</v>
          </cell>
          <cell r="N2584">
            <v>4263</v>
          </cell>
          <cell r="Q2584" t="str">
            <v>2016_07</v>
          </cell>
        </row>
        <row r="2585">
          <cell r="J2585">
            <v>56</v>
          </cell>
          <cell r="K2585">
            <v>56</v>
          </cell>
          <cell r="N2585">
            <v>0</v>
          </cell>
          <cell r="Q2585" t="str">
            <v>2016_08</v>
          </cell>
        </row>
        <row r="2586">
          <cell r="J2586">
            <v>56</v>
          </cell>
          <cell r="K2586">
            <v>56</v>
          </cell>
          <cell r="N2586">
            <v>500</v>
          </cell>
          <cell r="Q2586" t="str">
            <v>2016_09</v>
          </cell>
        </row>
        <row r="2587">
          <cell r="J2587">
            <v>52</v>
          </cell>
          <cell r="K2587">
            <v>52</v>
          </cell>
          <cell r="N2587">
            <v>178.34</v>
          </cell>
          <cell r="Q2587" t="str">
            <v>2015_10</v>
          </cell>
        </row>
        <row r="2588">
          <cell r="J2588">
            <v>52</v>
          </cell>
          <cell r="K2588">
            <v>52</v>
          </cell>
          <cell r="N2588">
            <v>367.24</v>
          </cell>
          <cell r="Q2588" t="str">
            <v>2015_11</v>
          </cell>
        </row>
        <row r="2589">
          <cell r="J2589">
            <v>52</v>
          </cell>
          <cell r="K2589">
            <v>52</v>
          </cell>
          <cell r="N2589">
            <v>1092.71</v>
          </cell>
          <cell r="Q2589" t="str">
            <v>2015_12</v>
          </cell>
        </row>
        <row r="2590">
          <cell r="J2590">
            <v>52</v>
          </cell>
          <cell r="K2590">
            <v>52</v>
          </cell>
          <cell r="N2590">
            <v>557.55999999999995</v>
          </cell>
          <cell r="Q2590" t="str">
            <v>2016_01</v>
          </cell>
        </row>
        <row r="2591">
          <cell r="J2591">
            <v>52</v>
          </cell>
          <cell r="K2591">
            <v>52</v>
          </cell>
          <cell r="N2591">
            <v>557.55999999999995</v>
          </cell>
          <cell r="Q2591" t="str">
            <v>2016_02</v>
          </cell>
        </row>
        <row r="2592">
          <cell r="J2592">
            <v>52</v>
          </cell>
          <cell r="K2592">
            <v>52</v>
          </cell>
          <cell r="N2592">
            <v>557.55999999999995</v>
          </cell>
          <cell r="Q2592" t="str">
            <v>2016_03</v>
          </cell>
        </row>
        <row r="2593">
          <cell r="J2593">
            <v>52</v>
          </cell>
          <cell r="K2593">
            <v>52</v>
          </cell>
          <cell r="N2593">
            <v>557.55999999999995</v>
          </cell>
          <cell r="Q2593" t="str">
            <v>2016_04</v>
          </cell>
        </row>
        <row r="2594">
          <cell r="J2594">
            <v>52</v>
          </cell>
          <cell r="K2594">
            <v>52</v>
          </cell>
          <cell r="N2594">
            <v>557.55999999999995</v>
          </cell>
          <cell r="Q2594" t="str">
            <v>2016_05</v>
          </cell>
        </row>
        <row r="2595">
          <cell r="J2595">
            <v>52</v>
          </cell>
          <cell r="K2595">
            <v>52</v>
          </cell>
          <cell r="N2595">
            <v>557.55999999999995</v>
          </cell>
          <cell r="Q2595" t="str">
            <v>2016_06</v>
          </cell>
        </row>
        <row r="2596">
          <cell r="J2596">
            <v>52</v>
          </cell>
          <cell r="K2596">
            <v>52</v>
          </cell>
          <cell r="N2596">
            <v>557.55999999999995</v>
          </cell>
          <cell r="Q2596" t="str">
            <v>2016_07</v>
          </cell>
        </row>
        <row r="2597">
          <cell r="J2597">
            <v>52</v>
          </cell>
          <cell r="K2597">
            <v>52</v>
          </cell>
          <cell r="N2597">
            <v>557.55999999999995</v>
          </cell>
          <cell r="Q2597" t="str">
            <v>2016_08</v>
          </cell>
        </row>
        <row r="2598">
          <cell r="J2598">
            <v>52</v>
          </cell>
          <cell r="K2598">
            <v>52</v>
          </cell>
          <cell r="N2598">
            <v>557.55999999999995</v>
          </cell>
          <cell r="Q2598" t="str">
            <v>2016_09</v>
          </cell>
        </row>
        <row r="2599">
          <cell r="J2599">
            <v>53</v>
          </cell>
          <cell r="K2599">
            <v>53</v>
          </cell>
          <cell r="N2599">
            <v>316.70999999999998</v>
          </cell>
          <cell r="Q2599" t="str">
            <v>2015_10</v>
          </cell>
        </row>
        <row r="2600">
          <cell r="J2600">
            <v>53</v>
          </cell>
          <cell r="K2600">
            <v>53</v>
          </cell>
          <cell r="N2600">
            <v>213.87</v>
          </cell>
          <cell r="Q2600" t="str">
            <v>2015_11</v>
          </cell>
        </row>
        <row r="2601">
          <cell r="J2601">
            <v>53</v>
          </cell>
          <cell r="K2601">
            <v>53</v>
          </cell>
          <cell r="N2601">
            <v>198.39</v>
          </cell>
          <cell r="Q2601" t="str">
            <v>2015_12</v>
          </cell>
        </row>
        <row r="2602">
          <cell r="J2602">
            <v>53</v>
          </cell>
          <cell r="K2602">
            <v>53</v>
          </cell>
          <cell r="N2602">
            <v>252.89</v>
          </cell>
          <cell r="Q2602" t="str">
            <v>2016_01</v>
          </cell>
        </row>
        <row r="2603">
          <cell r="J2603">
            <v>53</v>
          </cell>
          <cell r="K2603">
            <v>53</v>
          </cell>
          <cell r="N2603">
            <v>216.54</v>
          </cell>
          <cell r="Q2603" t="str">
            <v>2016_02</v>
          </cell>
        </row>
        <row r="2604">
          <cell r="J2604">
            <v>53</v>
          </cell>
          <cell r="K2604">
            <v>53</v>
          </cell>
          <cell r="N2604">
            <v>215.46</v>
          </cell>
          <cell r="Q2604" t="str">
            <v>2016_03</v>
          </cell>
        </row>
        <row r="2605">
          <cell r="J2605">
            <v>53</v>
          </cell>
          <cell r="K2605">
            <v>53</v>
          </cell>
          <cell r="N2605">
            <v>321.11</v>
          </cell>
          <cell r="Q2605" t="str">
            <v>2016_04</v>
          </cell>
        </row>
        <row r="2606">
          <cell r="J2606">
            <v>53</v>
          </cell>
          <cell r="K2606">
            <v>53</v>
          </cell>
          <cell r="N2606">
            <v>217.15</v>
          </cell>
          <cell r="Q2606" t="str">
            <v>2016_05</v>
          </cell>
        </row>
        <row r="2607">
          <cell r="J2607">
            <v>53</v>
          </cell>
          <cell r="K2607">
            <v>53</v>
          </cell>
          <cell r="N2607">
            <v>221.95</v>
          </cell>
          <cell r="Q2607" t="str">
            <v>2016_06</v>
          </cell>
        </row>
        <row r="2608">
          <cell r="J2608">
            <v>53</v>
          </cell>
          <cell r="K2608">
            <v>53</v>
          </cell>
          <cell r="N2608">
            <v>235.16</v>
          </cell>
          <cell r="Q2608" t="str">
            <v>2016_07</v>
          </cell>
        </row>
        <row r="2609">
          <cell r="J2609">
            <v>53</v>
          </cell>
          <cell r="K2609">
            <v>53</v>
          </cell>
          <cell r="N2609">
            <v>238.25</v>
          </cell>
          <cell r="Q2609" t="str">
            <v>2016_08</v>
          </cell>
        </row>
        <row r="2610">
          <cell r="J2610">
            <v>53</v>
          </cell>
          <cell r="K2610">
            <v>53</v>
          </cell>
          <cell r="N2610">
            <v>351.41</v>
          </cell>
          <cell r="Q2610" t="str">
            <v>2016_09</v>
          </cell>
        </row>
        <row r="2611">
          <cell r="J2611">
            <v>53</v>
          </cell>
          <cell r="K2611">
            <v>53</v>
          </cell>
          <cell r="N2611">
            <v>21.5</v>
          </cell>
          <cell r="Q2611" t="str">
            <v>2015_10</v>
          </cell>
        </row>
        <row r="2612">
          <cell r="J2612">
            <v>53</v>
          </cell>
          <cell r="K2612">
            <v>53</v>
          </cell>
          <cell r="N2612">
            <v>21.5</v>
          </cell>
          <cell r="Q2612" t="str">
            <v>2015_11</v>
          </cell>
        </row>
        <row r="2613">
          <cell r="J2613">
            <v>53</v>
          </cell>
          <cell r="K2613">
            <v>53</v>
          </cell>
          <cell r="N2613">
            <v>21.5</v>
          </cell>
          <cell r="Q2613" t="str">
            <v>2015_12</v>
          </cell>
        </row>
        <row r="2614">
          <cell r="J2614">
            <v>53</v>
          </cell>
          <cell r="K2614">
            <v>53</v>
          </cell>
          <cell r="N2614">
            <v>21.5</v>
          </cell>
          <cell r="Q2614" t="str">
            <v>2016_01</v>
          </cell>
        </row>
        <row r="2615">
          <cell r="J2615">
            <v>53</v>
          </cell>
          <cell r="K2615">
            <v>53</v>
          </cell>
          <cell r="N2615">
            <v>21.5</v>
          </cell>
          <cell r="Q2615" t="str">
            <v>2016_02</v>
          </cell>
        </row>
        <row r="2616">
          <cell r="J2616">
            <v>53</v>
          </cell>
          <cell r="K2616">
            <v>53</v>
          </cell>
          <cell r="N2616">
            <v>21.5</v>
          </cell>
          <cell r="Q2616" t="str">
            <v>2016_03</v>
          </cell>
        </row>
        <row r="2617">
          <cell r="J2617">
            <v>53</v>
          </cell>
          <cell r="K2617">
            <v>53</v>
          </cell>
          <cell r="N2617">
            <v>21.5</v>
          </cell>
          <cell r="Q2617" t="str">
            <v>2016_04</v>
          </cell>
        </row>
        <row r="2618">
          <cell r="J2618">
            <v>53</v>
          </cell>
          <cell r="K2618">
            <v>53</v>
          </cell>
          <cell r="N2618">
            <v>21.5</v>
          </cell>
          <cell r="Q2618" t="str">
            <v>2016_05</v>
          </cell>
        </row>
        <row r="2619">
          <cell r="J2619">
            <v>53</v>
          </cell>
          <cell r="K2619">
            <v>53</v>
          </cell>
          <cell r="N2619">
            <v>21.5</v>
          </cell>
          <cell r="Q2619" t="str">
            <v>2016_06</v>
          </cell>
        </row>
        <row r="2620">
          <cell r="J2620">
            <v>53</v>
          </cell>
          <cell r="K2620">
            <v>53</v>
          </cell>
          <cell r="N2620">
            <v>21.5</v>
          </cell>
          <cell r="Q2620" t="str">
            <v>2016_07</v>
          </cell>
        </row>
        <row r="2621">
          <cell r="J2621">
            <v>53</v>
          </cell>
          <cell r="K2621">
            <v>53</v>
          </cell>
          <cell r="N2621">
            <v>21.5</v>
          </cell>
          <cell r="Q2621" t="str">
            <v>2016_08</v>
          </cell>
        </row>
        <row r="2622">
          <cell r="J2622">
            <v>53</v>
          </cell>
          <cell r="K2622">
            <v>53</v>
          </cell>
          <cell r="N2622">
            <v>21.5</v>
          </cell>
          <cell r="Q2622" t="str">
            <v>2016_09</v>
          </cell>
        </row>
        <row r="2623">
          <cell r="J2623">
            <v>51</v>
          </cell>
          <cell r="K2623">
            <v>51</v>
          </cell>
          <cell r="N2623">
            <v>180.8</v>
          </cell>
          <cell r="Q2623" t="str">
            <v>2015_10</v>
          </cell>
        </row>
        <row r="2624">
          <cell r="J2624">
            <v>51</v>
          </cell>
          <cell r="K2624">
            <v>51</v>
          </cell>
          <cell r="N2624">
            <v>0</v>
          </cell>
          <cell r="Q2624" t="str">
            <v>2015_11</v>
          </cell>
        </row>
        <row r="2625">
          <cell r="J2625">
            <v>51</v>
          </cell>
          <cell r="K2625">
            <v>51</v>
          </cell>
          <cell r="N2625">
            <v>904</v>
          </cell>
          <cell r="Q2625" t="str">
            <v>2015_12</v>
          </cell>
        </row>
        <row r="2626">
          <cell r="J2626">
            <v>51</v>
          </cell>
          <cell r="K2626">
            <v>51</v>
          </cell>
          <cell r="N2626">
            <v>330.53</v>
          </cell>
          <cell r="Q2626" t="str">
            <v>2016_01</v>
          </cell>
        </row>
        <row r="2627">
          <cell r="J2627">
            <v>51</v>
          </cell>
          <cell r="K2627">
            <v>51</v>
          </cell>
          <cell r="N2627">
            <v>330.53</v>
          </cell>
          <cell r="Q2627" t="str">
            <v>2016_02</v>
          </cell>
        </row>
        <row r="2628">
          <cell r="J2628">
            <v>51</v>
          </cell>
          <cell r="K2628">
            <v>51</v>
          </cell>
          <cell r="N2628">
            <v>330.53</v>
          </cell>
          <cell r="Q2628" t="str">
            <v>2016_03</v>
          </cell>
        </row>
        <row r="2629">
          <cell r="J2629">
            <v>51</v>
          </cell>
          <cell r="K2629">
            <v>51</v>
          </cell>
          <cell r="N2629">
            <v>330.53</v>
          </cell>
          <cell r="Q2629" t="str">
            <v>2016_04</v>
          </cell>
        </row>
        <row r="2630">
          <cell r="J2630">
            <v>51</v>
          </cell>
          <cell r="K2630">
            <v>51</v>
          </cell>
          <cell r="N2630">
            <v>330.53</v>
          </cell>
          <cell r="Q2630" t="str">
            <v>2016_05</v>
          </cell>
        </row>
        <row r="2631">
          <cell r="J2631">
            <v>51</v>
          </cell>
          <cell r="K2631">
            <v>51</v>
          </cell>
          <cell r="N2631">
            <v>330.53</v>
          </cell>
          <cell r="Q2631" t="str">
            <v>2016_06</v>
          </cell>
        </row>
        <row r="2632">
          <cell r="J2632">
            <v>51</v>
          </cell>
          <cell r="K2632">
            <v>51</v>
          </cell>
          <cell r="N2632">
            <v>330.53</v>
          </cell>
          <cell r="Q2632" t="str">
            <v>2016_07</v>
          </cell>
        </row>
        <row r="2633">
          <cell r="J2633">
            <v>51</v>
          </cell>
          <cell r="K2633">
            <v>51</v>
          </cell>
          <cell r="N2633">
            <v>330.53</v>
          </cell>
          <cell r="Q2633" t="str">
            <v>2016_08</v>
          </cell>
        </row>
        <row r="2634">
          <cell r="J2634">
            <v>51</v>
          </cell>
          <cell r="K2634">
            <v>51</v>
          </cell>
          <cell r="N2634">
            <v>330.53</v>
          </cell>
          <cell r="Q2634" t="str">
            <v>2016_09</v>
          </cell>
        </row>
        <row r="2635">
          <cell r="J2635">
            <v>55</v>
          </cell>
          <cell r="K2635">
            <v>55</v>
          </cell>
          <cell r="N2635">
            <v>392.72</v>
          </cell>
          <cell r="Q2635" t="str">
            <v>2015_10</v>
          </cell>
        </row>
        <row r="2636">
          <cell r="J2636">
            <v>55</v>
          </cell>
          <cell r="K2636">
            <v>55</v>
          </cell>
          <cell r="N2636">
            <v>265.2</v>
          </cell>
          <cell r="Q2636" t="str">
            <v>2015_11</v>
          </cell>
        </row>
        <row r="2637">
          <cell r="J2637">
            <v>55</v>
          </cell>
          <cell r="K2637">
            <v>55</v>
          </cell>
          <cell r="N2637">
            <v>246</v>
          </cell>
          <cell r="Q2637" t="str">
            <v>2015_12</v>
          </cell>
        </row>
        <row r="2638">
          <cell r="J2638">
            <v>55</v>
          </cell>
          <cell r="K2638">
            <v>55</v>
          </cell>
          <cell r="N2638">
            <v>313.57</v>
          </cell>
          <cell r="Q2638" t="str">
            <v>2016_01</v>
          </cell>
        </row>
        <row r="2639">
          <cell r="J2639">
            <v>55</v>
          </cell>
          <cell r="K2639">
            <v>55</v>
          </cell>
          <cell r="N2639">
            <v>268.51</v>
          </cell>
          <cell r="Q2639" t="str">
            <v>2016_02</v>
          </cell>
        </row>
        <row r="2640">
          <cell r="J2640">
            <v>55</v>
          </cell>
          <cell r="K2640">
            <v>55</v>
          </cell>
          <cell r="N2640">
            <v>267.17</v>
          </cell>
          <cell r="Q2640" t="str">
            <v>2016_03</v>
          </cell>
        </row>
        <row r="2641">
          <cell r="J2641">
            <v>55</v>
          </cell>
          <cell r="K2641">
            <v>55</v>
          </cell>
          <cell r="N2641">
            <v>398.18</v>
          </cell>
          <cell r="Q2641" t="str">
            <v>2016_04</v>
          </cell>
        </row>
        <row r="2642">
          <cell r="J2642">
            <v>55</v>
          </cell>
          <cell r="K2642">
            <v>55</v>
          </cell>
          <cell r="N2642">
            <v>269.25</v>
          </cell>
          <cell r="Q2642" t="str">
            <v>2016_05</v>
          </cell>
        </row>
        <row r="2643">
          <cell r="J2643">
            <v>55</v>
          </cell>
          <cell r="K2643">
            <v>55</v>
          </cell>
          <cell r="N2643">
            <v>275.22000000000003</v>
          </cell>
          <cell r="Q2643" t="str">
            <v>2016_06</v>
          </cell>
        </row>
        <row r="2644">
          <cell r="J2644">
            <v>55</v>
          </cell>
          <cell r="K2644">
            <v>55</v>
          </cell>
          <cell r="N2644">
            <v>291.60000000000002</v>
          </cell>
          <cell r="Q2644" t="str">
            <v>2016_07</v>
          </cell>
        </row>
        <row r="2645">
          <cell r="J2645">
            <v>55</v>
          </cell>
          <cell r="K2645">
            <v>55</v>
          </cell>
          <cell r="N2645">
            <v>295.44</v>
          </cell>
          <cell r="Q2645" t="str">
            <v>2016_08</v>
          </cell>
        </row>
        <row r="2646">
          <cell r="J2646">
            <v>55</v>
          </cell>
          <cell r="K2646">
            <v>55</v>
          </cell>
          <cell r="N2646">
            <v>435.74</v>
          </cell>
          <cell r="Q2646" t="str">
            <v>2016_09</v>
          </cell>
        </row>
        <row r="2647">
          <cell r="J2647">
            <v>55</v>
          </cell>
          <cell r="K2647">
            <v>55</v>
          </cell>
          <cell r="N2647">
            <v>91.85</v>
          </cell>
          <cell r="Q2647" t="str">
            <v>2015_10</v>
          </cell>
        </row>
        <row r="2648">
          <cell r="J2648">
            <v>55</v>
          </cell>
          <cell r="K2648">
            <v>55</v>
          </cell>
          <cell r="N2648">
            <v>62.02</v>
          </cell>
          <cell r="Q2648" t="str">
            <v>2015_11</v>
          </cell>
        </row>
        <row r="2649">
          <cell r="J2649">
            <v>55</v>
          </cell>
          <cell r="K2649">
            <v>55</v>
          </cell>
          <cell r="N2649">
            <v>57.54</v>
          </cell>
          <cell r="Q2649" t="str">
            <v>2015_12</v>
          </cell>
        </row>
        <row r="2650">
          <cell r="J2650">
            <v>55</v>
          </cell>
          <cell r="K2650">
            <v>55</v>
          </cell>
          <cell r="N2650">
            <v>73.34</v>
          </cell>
          <cell r="Q2650" t="str">
            <v>2016_01</v>
          </cell>
        </row>
        <row r="2651">
          <cell r="J2651">
            <v>55</v>
          </cell>
          <cell r="K2651">
            <v>55</v>
          </cell>
          <cell r="N2651">
            <v>62.79</v>
          </cell>
          <cell r="Q2651" t="str">
            <v>2016_02</v>
          </cell>
        </row>
        <row r="2652">
          <cell r="J2652">
            <v>55</v>
          </cell>
          <cell r="K2652">
            <v>55</v>
          </cell>
          <cell r="N2652">
            <v>62.48</v>
          </cell>
          <cell r="Q2652" t="str">
            <v>2016_03</v>
          </cell>
        </row>
        <row r="2653">
          <cell r="J2653">
            <v>55</v>
          </cell>
          <cell r="K2653">
            <v>55</v>
          </cell>
          <cell r="N2653">
            <v>93.13</v>
          </cell>
          <cell r="Q2653" t="str">
            <v>2016_04</v>
          </cell>
        </row>
        <row r="2654">
          <cell r="J2654">
            <v>55</v>
          </cell>
          <cell r="K2654">
            <v>55</v>
          </cell>
          <cell r="N2654">
            <v>62.97</v>
          </cell>
          <cell r="Q2654" t="str">
            <v>2016_05</v>
          </cell>
        </row>
        <row r="2655">
          <cell r="J2655">
            <v>55</v>
          </cell>
          <cell r="K2655">
            <v>55</v>
          </cell>
          <cell r="N2655">
            <v>64.36</v>
          </cell>
          <cell r="Q2655" t="str">
            <v>2016_06</v>
          </cell>
        </row>
        <row r="2656">
          <cell r="J2656">
            <v>55</v>
          </cell>
          <cell r="K2656">
            <v>55</v>
          </cell>
          <cell r="N2656">
            <v>68.2</v>
          </cell>
          <cell r="Q2656" t="str">
            <v>2016_07</v>
          </cell>
        </row>
        <row r="2657">
          <cell r="J2657">
            <v>55</v>
          </cell>
          <cell r="K2657">
            <v>55</v>
          </cell>
          <cell r="N2657">
            <v>69.09</v>
          </cell>
          <cell r="Q2657" t="str">
            <v>2016_08</v>
          </cell>
        </row>
        <row r="2658">
          <cell r="J2658">
            <v>55</v>
          </cell>
          <cell r="K2658">
            <v>55</v>
          </cell>
          <cell r="N2658">
            <v>101.91</v>
          </cell>
          <cell r="Q2658" t="str">
            <v>2016_09</v>
          </cell>
        </row>
        <row r="2659">
          <cell r="J2659">
            <v>55</v>
          </cell>
          <cell r="K2659">
            <v>55</v>
          </cell>
          <cell r="N2659">
            <v>0</v>
          </cell>
          <cell r="Q2659" t="str">
            <v>2015_10</v>
          </cell>
        </row>
        <row r="2660">
          <cell r="J2660">
            <v>55</v>
          </cell>
          <cell r="K2660">
            <v>55</v>
          </cell>
          <cell r="N2660">
            <v>0</v>
          </cell>
          <cell r="Q2660" t="str">
            <v>2015_11</v>
          </cell>
        </row>
        <row r="2661">
          <cell r="J2661">
            <v>55</v>
          </cell>
          <cell r="K2661">
            <v>55</v>
          </cell>
          <cell r="N2661">
            <v>0</v>
          </cell>
          <cell r="Q2661" t="str">
            <v>2015_12</v>
          </cell>
        </row>
        <row r="2662">
          <cell r="J2662">
            <v>55</v>
          </cell>
          <cell r="K2662">
            <v>55</v>
          </cell>
          <cell r="N2662">
            <v>30.35</v>
          </cell>
          <cell r="Q2662" t="str">
            <v>2016_01</v>
          </cell>
        </row>
        <row r="2663">
          <cell r="J2663">
            <v>55</v>
          </cell>
          <cell r="K2663">
            <v>55</v>
          </cell>
          <cell r="N2663">
            <v>11.65</v>
          </cell>
          <cell r="Q2663" t="str">
            <v>2016_02</v>
          </cell>
        </row>
        <row r="2664">
          <cell r="J2664">
            <v>55</v>
          </cell>
          <cell r="K2664">
            <v>55</v>
          </cell>
          <cell r="N2664">
            <v>0</v>
          </cell>
          <cell r="Q2664" t="str">
            <v>2016_03</v>
          </cell>
        </row>
        <row r="2665">
          <cell r="J2665">
            <v>55</v>
          </cell>
          <cell r="K2665">
            <v>55</v>
          </cell>
          <cell r="N2665">
            <v>0</v>
          </cell>
          <cell r="Q2665" t="str">
            <v>2016_04</v>
          </cell>
        </row>
        <row r="2666">
          <cell r="J2666">
            <v>55</v>
          </cell>
          <cell r="K2666">
            <v>55</v>
          </cell>
          <cell r="N2666">
            <v>0</v>
          </cell>
          <cell r="Q2666" t="str">
            <v>2016_05</v>
          </cell>
        </row>
        <row r="2667">
          <cell r="J2667">
            <v>55</v>
          </cell>
          <cell r="K2667">
            <v>55</v>
          </cell>
          <cell r="N2667">
            <v>0</v>
          </cell>
          <cell r="Q2667" t="str">
            <v>2016_06</v>
          </cell>
        </row>
        <row r="2668">
          <cell r="J2668">
            <v>55</v>
          </cell>
          <cell r="K2668">
            <v>55</v>
          </cell>
          <cell r="N2668">
            <v>0</v>
          </cell>
          <cell r="Q2668" t="str">
            <v>2016_07</v>
          </cell>
        </row>
        <row r="2669">
          <cell r="J2669">
            <v>55</v>
          </cell>
          <cell r="K2669">
            <v>55</v>
          </cell>
          <cell r="N2669">
            <v>0</v>
          </cell>
          <cell r="Q2669" t="str">
            <v>2016_08</v>
          </cell>
        </row>
        <row r="2670">
          <cell r="J2670">
            <v>55</v>
          </cell>
          <cell r="K2670">
            <v>55</v>
          </cell>
          <cell r="N2670">
            <v>0</v>
          </cell>
          <cell r="Q2670" t="str">
            <v>2016_09</v>
          </cell>
        </row>
        <row r="2671">
          <cell r="J2671">
            <v>55</v>
          </cell>
          <cell r="K2671">
            <v>55</v>
          </cell>
          <cell r="N2671">
            <v>11.39</v>
          </cell>
          <cell r="Q2671" t="str">
            <v>2015_10</v>
          </cell>
        </row>
        <row r="2672">
          <cell r="J2672">
            <v>55</v>
          </cell>
          <cell r="K2672">
            <v>55</v>
          </cell>
          <cell r="N2672">
            <v>0</v>
          </cell>
          <cell r="Q2672" t="str">
            <v>2015_11</v>
          </cell>
        </row>
        <row r="2673">
          <cell r="J2673">
            <v>55</v>
          </cell>
          <cell r="K2673">
            <v>55</v>
          </cell>
          <cell r="N2673">
            <v>0</v>
          </cell>
          <cell r="Q2673" t="str">
            <v>2015_12</v>
          </cell>
        </row>
        <row r="2674">
          <cell r="J2674">
            <v>55</v>
          </cell>
          <cell r="K2674">
            <v>55</v>
          </cell>
          <cell r="N2674">
            <v>19.68</v>
          </cell>
          <cell r="Q2674" t="str">
            <v>2016_01</v>
          </cell>
        </row>
        <row r="2675">
          <cell r="J2675">
            <v>55</v>
          </cell>
          <cell r="K2675">
            <v>55</v>
          </cell>
          <cell r="N2675">
            <v>16.02</v>
          </cell>
          <cell r="Q2675" t="str">
            <v>2016_02</v>
          </cell>
        </row>
        <row r="2676">
          <cell r="J2676">
            <v>55</v>
          </cell>
          <cell r="K2676">
            <v>55</v>
          </cell>
          <cell r="N2676">
            <v>15.94</v>
          </cell>
          <cell r="Q2676" t="str">
            <v>2016_03</v>
          </cell>
        </row>
        <row r="2677">
          <cell r="J2677">
            <v>55</v>
          </cell>
          <cell r="K2677">
            <v>55</v>
          </cell>
          <cell r="N2677">
            <v>23.75</v>
          </cell>
          <cell r="Q2677" t="str">
            <v>2016_04</v>
          </cell>
        </row>
        <row r="2678">
          <cell r="J2678">
            <v>55</v>
          </cell>
          <cell r="K2678">
            <v>55</v>
          </cell>
          <cell r="N2678">
            <v>16.07</v>
          </cell>
          <cell r="Q2678" t="str">
            <v>2016_05</v>
          </cell>
        </row>
        <row r="2679">
          <cell r="J2679">
            <v>55</v>
          </cell>
          <cell r="K2679">
            <v>55</v>
          </cell>
          <cell r="N2679">
            <v>16.43</v>
          </cell>
          <cell r="Q2679" t="str">
            <v>2016_06</v>
          </cell>
        </row>
        <row r="2680">
          <cell r="J2680">
            <v>55</v>
          </cell>
          <cell r="K2680">
            <v>55</v>
          </cell>
          <cell r="N2680">
            <v>17.399999999999999</v>
          </cell>
          <cell r="Q2680" t="str">
            <v>2016_07</v>
          </cell>
        </row>
        <row r="2681">
          <cell r="J2681">
            <v>55</v>
          </cell>
          <cell r="K2681">
            <v>55</v>
          </cell>
          <cell r="N2681">
            <v>17.63</v>
          </cell>
          <cell r="Q2681" t="str">
            <v>2016_08</v>
          </cell>
        </row>
        <row r="2682">
          <cell r="J2682">
            <v>55</v>
          </cell>
          <cell r="K2682">
            <v>55</v>
          </cell>
          <cell r="N2682">
            <v>20.82</v>
          </cell>
          <cell r="Q2682" t="str">
            <v>2016_09</v>
          </cell>
        </row>
        <row r="2683">
          <cell r="J2683">
            <v>54</v>
          </cell>
          <cell r="K2683">
            <v>54</v>
          </cell>
          <cell r="N2683">
            <v>475.31</v>
          </cell>
          <cell r="Q2683" t="str">
            <v>2015_10</v>
          </cell>
        </row>
        <row r="2684">
          <cell r="J2684">
            <v>54</v>
          </cell>
          <cell r="K2684">
            <v>54</v>
          </cell>
          <cell r="N2684">
            <v>328.09</v>
          </cell>
          <cell r="Q2684" t="str">
            <v>2015_11</v>
          </cell>
        </row>
        <row r="2685">
          <cell r="J2685">
            <v>54</v>
          </cell>
          <cell r="K2685">
            <v>54</v>
          </cell>
          <cell r="N2685">
            <v>247.78</v>
          </cell>
          <cell r="Q2685" t="str">
            <v>2015_12</v>
          </cell>
        </row>
        <row r="2686">
          <cell r="J2686">
            <v>54</v>
          </cell>
          <cell r="K2686">
            <v>54</v>
          </cell>
          <cell r="N2686">
            <v>304.68</v>
          </cell>
          <cell r="Q2686" t="str">
            <v>2016_01</v>
          </cell>
        </row>
        <row r="2687">
          <cell r="J2687">
            <v>54</v>
          </cell>
          <cell r="K2687">
            <v>54</v>
          </cell>
          <cell r="N2687">
            <v>357.45</v>
          </cell>
          <cell r="Q2687" t="str">
            <v>2016_02</v>
          </cell>
        </row>
        <row r="2688">
          <cell r="J2688">
            <v>54</v>
          </cell>
          <cell r="K2688">
            <v>54</v>
          </cell>
          <cell r="N2688">
            <v>326.51</v>
          </cell>
          <cell r="Q2688" t="str">
            <v>2016_03</v>
          </cell>
        </row>
        <row r="2689">
          <cell r="J2689">
            <v>54</v>
          </cell>
          <cell r="K2689">
            <v>54</v>
          </cell>
          <cell r="N2689">
            <v>518.14</v>
          </cell>
          <cell r="Q2689" t="str">
            <v>2016_04</v>
          </cell>
        </row>
        <row r="2690">
          <cell r="J2690">
            <v>54</v>
          </cell>
          <cell r="K2690">
            <v>54</v>
          </cell>
          <cell r="N2690">
            <v>358.15</v>
          </cell>
          <cell r="Q2690" t="str">
            <v>2016_05</v>
          </cell>
        </row>
        <row r="2691">
          <cell r="J2691">
            <v>54</v>
          </cell>
          <cell r="K2691">
            <v>54</v>
          </cell>
          <cell r="N2691">
            <v>288.33999999999997</v>
          </cell>
          <cell r="Q2691" t="str">
            <v>2016_06</v>
          </cell>
        </row>
        <row r="2692">
          <cell r="J2692">
            <v>54</v>
          </cell>
          <cell r="K2692">
            <v>54</v>
          </cell>
          <cell r="N2692">
            <v>345.65</v>
          </cell>
          <cell r="Q2692" t="str">
            <v>2016_07</v>
          </cell>
        </row>
        <row r="2693">
          <cell r="J2693">
            <v>54</v>
          </cell>
          <cell r="K2693">
            <v>54</v>
          </cell>
          <cell r="N2693">
            <v>362.39</v>
          </cell>
          <cell r="Q2693" t="str">
            <v>2016_08</v>
          </cell>
        </row>
        <row r="2694">
          <cell r="J2694">
            <v>54</v>
          </cell>
          <cell r="K2694">
            <v>54</v>
          </cell>
          <cell r="N2694">
            <v>510.6</v>
          </cell>
          <cell r="Q2694" t="str">
            <v>2016_09</v>
          </cell>
        </row>
        <row r="2695">
          <cell r="J2695">
            <v>56</v>
          </cell>
          <cell r="K2695">
            <v>56</v>
          </cell>
          <cell r="N2695">
            <v>0</v>
          </cell>
          <cell r="Q2695" t="str">
            <v>2015_10</v>
          </cell>
        </row>
        <row r="2696">
          <cell r="J2696">
            <v>56</v>
          </cell>
          <cell r="K2696">
            <v>56</v>
          </cell>
          <cell r="N2696">
            <v>0</v>
          </cell>
          <cell r="Q2696" t="str">
            <v>2015_11</v>
          </cell>
        </row>
        <row r="2697">
          <cell r="J2697">
            <v>56</v>
          </cell>
          <cell r="K2697">
            <v>56</v>
          </cell>
          <cell r="N2697">
            <v>0</v>
          </cell>
          <cell r="Q2697" t="str">
            <v>2015_12</v>
          </cell>
        </row>
        <row r="2698">
          <cell r="J2698">
            <v>29</v>
          </cell>
          <cell r="K2698">
            <v>29</v>
          </cell>
          <cell r="N2698">
            <v>694.94</v>
          </cell>
          <cell r="Q2698" t="str">
            <v>2015_10</v>
          </cell>
        </row>
        <row r="2699">
          <cell r="J2699">
            <v>29</v>
          </cell>
          <cell r="K2699">
            <v>29</v>
          </cell>
          <cell r="N2699">
            <v>553.70000000000005</v>
          </cell>
          <cell r="Q2699" t="str">
            <v>2015_11</v>
          </cell>
        </row>
        <row r="2700">
          <cell r="J2700">
            <v>29</v>
          </cell>
          <cell r="K2700">
            <v>29</v>
          </cell>
          <cell r="N2700">
            <v>1279.17</v>
          </cell>
          <cell r="Q2700" t="str">
            <v>2015_12</v>
          </cell>
        </row>
        <row r="2701">
          <cell r="J2701">
            <v>29</v>
          </cell>
          <cell r="K2701">
            <v>29</v>
          </cell>
          <cell r="N2701">
            <v>742.75</v>
          </cell>
          <cell r="Q2701" t="str">
            <v>2016_01</v>
          </cell>
        </row>
        <row r="2702">
          <cell r="J2702">
            <v>29</v>
          </cell>
          <cell r="K2702">
            <v>29</v>
          </cell>
          <cell r="N2702">
            <v>742.75</v>
          </cell>
          <cell r="Q2702" t="str">
            <v>2016_02</v>
          </cell>
        </row>
        <row r="2703">
          <cell r="J2703">
            <v>29</v>
          </cell>
          <cell r="K2703">
            <v>29</v>
          </cell>
          <cell r="N2703">
            <v>742.75</v>
          </cell>
          <cell r="Q2703" t="str">
            <v>2016_03</v>
          </cell>
        </row>
        <row r="2704">
          <cell r="J2704">
            <v>29</v>
          </cell>
          <cell r="K2704">
            <v>29</v>
          </cell>
          <cell r="N2704">
            <v>742.75</v>
          </cell>
          <cell r="Q2704" t="str">
            <v>2016_04</v>
          </cell>
        </row>
        <row r="2705">
          <cell r="J2705">
            <v>29</v>
          </cell>
          <cell r="K2705">
            <v>29</v>
          </cell>
          <cell r="N2705">
            <v>742.75</v>
          </cell>
          <cell r="Q2705" t="str">
            <v>2016_05</v>
          </cell>
        </row>
        <row r="2706">
          <cell r="J2706">
            <v>29</v>
          </cell>
          <cell r="K2706">
            <v>29</v>
          </cell>
          <cell r="N2706">
            <v>742.75</v>
          </cell>
          <cell r="Q2706" t="str">
            <v>2016_06</v>
          </cell>
        </row>
        <row r="2707">
          <cell r="J2707">
            <v>29</v>
          </cell>
          <cell r="K2707">
            <v>29</v>
          </cell>
          <cell r="N2707">
            <v>742.75</v>
          </cell>
          <cell r="Q2707" t="str">
            <v>2016_07</v>
          </cell>
        </row>
        <row r="2708">
          <cell r="J2708">
            <v>29</v>
          </cell>
          <cell r="K2708">
            <v>29</v>
          </cell>
          <cell r="N2708">
            <v>742.75</v>
          </cell>
          <cell r="Q2708" t="str">
            <v>2016_08</v>
          </cell>
        </row>
        <row r="2709">
          <cell r="J2709">
            <v>29</v>
          </cell>
          <cell r="K2709">
            <v>29</v>
          </cell>
          <cell r="N2709">
            <v>742.75</v>
          </cell>
          <cell r="Q2709" t="str">
            <v>2016_09</v>
          </cell>
        </row>
        <row r="2710">
          <cell r="J2710">
            <v>30</v>
          </cell>
          <cell r="K2710">
            <v>30</v>
          </cell>
          <cell r="N2710">
            <v>354.8</v>
          </cell>
          <cell r="Q2710" t="str">
            <v>2016_07</v>
          </cell>
        </row>
        <row r="2711">
          <cell r="J2711">
            <v>30</v>
          </cell>
          <cell r="K2711">
            <v>30</v>
          </cell>
          <cell r="N2711">
            <v>354.8</v>
          </cell>
          <cell r="Q2711" t="str">
            <v>2016_08</v>
          </cell>
        </row>
        <row r="2712">
          <cell r="J2712">
            <v>30</v>
          </cell>
          <cell r="K2712">
            <v>30</v>
          </cell>
          <cell r="N2712">
            <v>532.20000000000005</v>
          </cell>
          <cell r="Q2712" t="str">
            <v>2016_09</v>
          </cell>
        </row>
        <row r="2713">
          <cell r="J2713">
            <v>30</v>
          </cell>
          <cell r="K2713">
            <v>30</v>
          </cell>
          <cell r="N2713">
            <v>21.5</v>
          </cell>
          <cell r="Q2713" t="str">
            <v>2015_10</v>
          </cell>
        </row>
        <row r="2714">
          <cell r="J2714">
            <v>30</v>
          </cell>
          <cell r="K2714">
            <v>30</v>
          </cell>
          <cell r="N2714">
            <v>21.5</v>
          </cell>
          <cell r="Q2714" t="str">
            <v>2015_11</v>
          </cell>
        </row>
        <row r="2715">
          <cell r="J2715">
            <v>30</v>
          </cell>
          <cell r="K2715">
            <v>30</v>
          </cell>
          <cell r="N2715">
            <v>21.5</v>
          </cell>
          <cell r="Q2715" t="str">
            <v>2015_12</v>
          </cell>
        </row>
        <row r="2716">
          <cell r="J2716">
            <v>30</v>
          </cell>
          <cell r="K2716">
            <v>30</v>
          </cell>
          <cell r="N2716">
            <v>21.5</v>
          </cell>
          <cell r="Q2716" t="str">
            <v>2016_01</v>
          </cell>
        </row>
        <row r="2717">
          <cell r="J2717">
            <v>30</v>
          </cell>
          <cell r="K2717">
            <v>30</v>
          </cell>
          <cell r="N2717">
            <v>32.25</v>
          </cell>
          <cell r="Q2717" t="str">
            <v>2016_02</v>
          </cell>
        </row>
        <row r="2718">
          <cell r="J2718">
            <v>30</v>
          </cell>
          <cell r="K2718">
            <v>30</v>
          </cell>
          <cell r="N2718">
            <v>32.25</v>
          </cell>
          <cell r="Q2718" t="str">
            <v>2016_03</v>
          </cell>
        </row>
        <row r="2719">
          <cell r="J2719">
            <v>30</v>
          </cell>
          <cell r="K2719">
            <v>30</v>
          </cell>
          <cell r="N2719">
            <v>32.25</v>
          </cell>
          <cell r="Q2719" t="str">
            <v>2016_04</v>
          </cell>
        </row>
        <row r="2720">
          <cell r="J2720">
            <v>30</v>
          </cell>
          <cell r="K2720">
            <v>30</v>
          </cell>
          <cell r="N2720">
            <v>32.25</v>
          </cell>
          <cell r="Q2720" t="str">
            <v>2016_05</v>
          </cell>
        </row>
        <row r="2721">
          <cell r="J2721">
            <v>30</v>
          </cell>
          <cell r="K2721">
            <v>30</v>
          </cell>
          <cell r="N2721">
            <v>32.25</v>
          </cell>
          <cell r="Q2721" t="str">
            <v>2016_06</v>
          </cell>
        </row>
        <row r="2722">
          <cell r="J2722">
            <v>30</v>
          </cell>
          <cell r="K2722">
            <v>30</v>
          </cell>
          <cell r="N2722">
            <v>32.25</v>
          </cell>
          <cell r="Q2722" t="str">
            <v>2016_07</v>
          </cell>
        </row>
        <row r="2723">
          <cell r="J2723">
            <v>30</v>
          </cell>
          <cell r="K2723">
            <v>30</v>
          </cell>
          <cell r="N2723">
            <v>32.25</v>
          </cell>
          <cell r="Q2723" t="str">
            <v>2016_08</v>
          </cell>
        </row>
        <row r="2724">
          <cell r="J2724">
            <v>30</v>
          </cell>
          <cell r="K2724">
            <v>30</v>
          </cell>
          <cell r="N2724">
            <v>32.25</v>
          </cell>
          <cell r="Q2724" t="str">
            <v>2016_09</v>
          </cell>
        </row>
        <row r="2725">
          <cell r="J2725">
            <v>28</v>
          </cell>
          <cell r="K2725">
            <v>28</v>
          </cell>
          <cell r="N2725">
            <v>482.14</v>
          </cell>
          <cell r="Q2725" t="str">
            <v>2016_01</v>
          </cell>
        </row>
        <row r="2726">
          <cell r="J2726">
            <v>28</v>
          </cell>
          <cell r="K2726">
            <v>28</v>
          </cell>
          <cell r="N2726">
            <v>482.14</v>
          </cell>
          <cell r="Q2726" t="str">
            <v>2016_02</v>
          </cell>
        </row>
        <row r="2727">
          <cell r="J2727">
            <v>28</v>
          </cell>
          <cell r="K2727">
            <v>28</v>
          </cell>
          <cell r="N2727">
            <v>482.14</v>
          </cell>
          <cell r="Q2727" t="str">
            <v>2016_03</v>
          </cell>
        </row>
        <row r="2728">
          <cell r="J2728">
            <v>28</v>
          </cell>
          <cell r="K2728">
            <v>28</v>
          </cell>
          <cell r="N2728">
            <v>482.14</v>
          </cell>
          <cell r="Q2728" t="str">
            <v>2016_04</v>
          </cell>
        </row>
        <row r="2729">
          <cell r="J2729">
            <v>28</v>
          </cell>
          <cell r="K2729">
            <v>28</v>
          </cell>
          <cell r="N2729">
            <v>482.14</v>
          </cell>
          <cell r="Q2729" t="str">
            <v>2016_05</v>
          </cell>
        </row>
        <row r="2730">
          <cell r="J2730">
            <v>28</v>
          </cell>
          <cell r="K2730">
            <v>28</v>
          </cell>
          <cell r="N2730">
            <v>482.14</v>
          </cell>
          <cell r="Q2730" t="str">
            <v>2016_06</v>
          </cell>
        </row>
        <row r="2731">
          <cell r="J2731">
            <v>28</v>
          </cell>
          <cell r="K2731">
            <v>28</v>
          </cell>
          <cell r="N2731">
            <v>482.14</v>
          </cell>
          <cell r="Q2731" t="str">
            <v>2016_07</v>
          </cell>
        </row>
        <row r="2732">
          <cell r="J2732">
            <v>28</v>
          </cell>
          <cell r="K2732">
            <v>28</v>
          </cell>
          <cell r="N2732">
            <v>482.14</v>
          </cell>
          <cell r="Q2732" t="str">
            <v>2016_08</v>
          </cell>
        </row>
        <row r="2733">
          <cell r="J2733">
            <v>28</v>
          </cell>
          <cell r="K2733">
            <v>28</v>
          </cell>
          <cell r="N2733">
            <v>482.14</v>
          </cell>
          <cell r="Q2733" t="str">
            <v>2016_09</v>
          </cell>
        </row>
        <row r="2734">
          <cell r="J2734">
            <v>32</v>
          </cell>
          <cell r="K2734">
            <v>32</v>
          </cell>
          <cell r="N2734">
            <v>608.07000000000005</v>
          </cell>
          <cell r="Q2734" t="str">
            <v>2015_10</v>
          </cell>
        </row>
        <row r="2735">
          <cell r="J2735">
            <v>32</v>
          </cell>
          <cell r="K2735">
            <v>32</v>
          </cell>
          <cell r="N2735">
            <v>429.24</v>
          </cell>
          <cell r="Q2735" t="str">
            <v>2015_11</v>
          </cell>
        </row>
        <row r="2736">
          <cell r="J2736">
            <v>32</v>
          </cell>
          <cell r="K2736">
            <v>32</v>
          </cell>
          <cell r="N2736">
            <v>739.23</v>
          </cell>
          <cell r="Q2736" t="str">
            <v>2015_12</v>
          </cell>
        </row>
        <row r="2737">
          <cell r="J2737">
            <v>32</v>
          </cell>
          <cell r="K2737">
            <v>32</v>
          </cell>
          <cell r="N2737">
            <v>434.59</v>
          </cell>
          <cell r="Q2737" t="str">
            <v>2016_01</v>
          </cell>
        </row>
        <row r="2738">
          <cell r="J2738">
            <v>32</v>
          </cell>
          <cell r="K2738">
            <v>32</v>
          </cell>
          <cell r="N2738">
            <v>439.95</v>
          </cell>
          <cell r="Q2738" t="str">
            <v>2016_02</v>
          </cell>
        </row>
        <row r="2739">
          <cell r="J2739">
            <v>32</v>
          </cell>
          <cell r="K2739">
            <v>32</v>
          </cell>
          <cell r="N2739">
            <v>439.96</v>
          </cell>
          <cell r="Q2739" t="str">
            <v>2016_03</v>
          </cell>
        </row>
        <row r="2740">
          <cell r="J2740">
            <v>32</v>
          </cell>
          <cell r="K2740">
            <v>32</v>
          </cell>
          <cell r="N2740">
            <v>659.92</v>
          </cell>
          <cell r="Q2740" t="str">
            <v>2016_04</v>
          </cell>
        </row>
        <row r="2741">
          <cell r="J2741">
            <v>32</v>
          </cell>
          <cell r="K2741">
            <v>32</v>
          </cell>
          <cell r="N2741">
            <v>439.96</v>
          </cell>
          <cell r="Q2741" t="str">
            <v>2016_05</v>
          </cell>
        </row>
        <row r="2742">
          <cell r="J2742">
            <v>32</v>
          </cell>
          <cell r="K2742">
            <v>32</v>
          </cell>
          <cell r="N2742">
            <v>439.95</v>
          </cell>
          <cell r="Q2742" t="str">
            <v>2016_06</v>
          </cell>
        </row>
        <row r="2743">
          <cell r="J2743">
            <v>32</v>
          </cell>
          <cell r="K2743">
            <v>32</v>
          </cell>
          <cell r="N2743">
            <v>439.95</v>
          </cell>
          <cell r="Q2743" t="str">
            <v>2016_07</v>
          </cell>
        </row>
        <row r="2744">
          <cell r="J2744">
            <v>32</v>
          </cell>
          <cell r="K2744">
            <v>32</v>
          </cell>
          <cell r="N2744">
            <v>439.95</v>
          </cell>
          <cell r="Q2744" t="str">
            <v>2016_08</v>
          </cell>
        </row>
        <row r="2745">
          <cell r="J2745">
            <v>32</v>
          </cell>
          <cell r="K2745">
            <v>32</v>
          </cell>
          <cell r="N2745">
            <v>659.93</v>
          </cell>
          <cell r="Q2745" t="str">
            <v>2016_09</v>
          </cell>
        </row>
        <row r="2746">
          <cell r="J2746">
            <v>32</v>
          </cell>
          <cell r="K2746">
            <v>32</v>
          </cell>
          <cell r="N2746">
            <v>142.21</v>
          </cell>
          <cell r="Q2746" t="str">
            <v>2015_10</v>
          </cell>
        </row>
        <row r="2747">
          <cell r="J2747">
            <v>32</v>
          </cell>
          <cell r="K2747">
            <v>32</v>
          </cell>
          <cell r="N2747">
            <v>100.39</v>
          </cell>
          <cell r="Q2747" t="str">
            <v>2015_11</v>
          </cell>
        </row>
        <row r="2748">
          <cell r="J2748">
            <v>32</v>
          </cell>
          <cell r="K2748">
            <v>32</v>
          </cell>
          <cell r="N2748">
            <v>172.88</v>
          </cell>
          <cell r="Q2748" t="str">
            <v>2015_12</v>
          </cell>
        </row>
        <row r="2749">
          <cell r="J2749">
            <v>32</v>
          </cell>
          <cell r="K2749">
            <v>32</v>
          </cell>
          <cell r="N2749">
            <v>101.64</v>
          </cell>
          <cell r="Q2749" t="str">
            <v>2016_01</v>
          </cell>
        </row>
        <row r="2750">
          <cell r="J2750">
            <v>32</v>
          </cell>
          <cell r="K2750">
            <v>32</v>
          </cell>
          <cell r="N2750">
            <v>102.89</v>
          </cell>
          <cell r="Q2750" t="str">
            <v>2016_02</v>
          </cell>
        </row>
        <row r="2751">
          <cell r="J2751">
            <v>32</v>
          </cell>
          <cell r="K2751">
            <v>32</v>
          </cell>
          <cell r="N2751">
            <v>102.89</v>
          </cell>
          <cell r="Q2751" t="str">
            <v>2016_03</v>
          </cell>
        </row>
        <row r="2752">
          <cell r="J2752">
            <v>32</v>
          </cell>
          <cell r="K2752">
            <v>32</v>
          </cell>
          <cell r="N2752">
            <v>154.34</v>
          </cell>
          <cell r="Q2752" t="str">
            <v>2016_04</v>
          </cell>
        </row>
        <row r="2753">
          <cell r="J2753">
            <v>32</v>
          </cell>
          <cell r="K2753">
            <v>32</v>
          </cell>
          <cell r="N2753">
            <v>102.89</v>
          </cell>
          <cell r="Q2753" t="str">
            <v>2016_05</v>
          </cell>
        </row>
        <row r="2754">
          <cell r="J2754">
            <v>32</v>
          </cell>
          <cell r="K2754">
            <v>32</v>
          </cell>
          <cell r="N2754">
            <v>102.89</v>
          </cell>
          <cell r="Q2754" t="str">
            <v>2016_06</v>
          </cell>
        </row>
        <row r="2755">
          <cell r="J2755">
            <v>32</v>
          </cell>
          <cell r="K2755">
            <v>32</v>
          </cell>
          <cell r="N2755">
            <v>102.9</v>
          </cell>
          <cell r="Q2755" t="str">
            <v>2016_07</v>
          </cell>
        </row>
        <row r="2756">
          <cell r="J2756">
            <v>32</v>
          </cell>
          <cell r="K2756">
            <v>32</v>
          </cell>
          <cell r="N2756">
            <v>102.89</v>
          </cell>
          <cell r="Q2756" t="str">
            <v>2016_08</v>
          </cell>
        </row>
        <row r="2757">
          <cell r="J2757">
            <v>32</v>
          </cell>
          <cell r="K2757">
            <v>32</v>
          </cell>
          <cell r="N2757">
            <v>154.34</v>
          </cell>
          <cell r="Q2757" t="str">
            <v>2016_09</v>
          </cell>
        </row>
        <row r="2758">
          <cell r="J2758">
            <v>32</v>
          </cell>
          <cell r="K2758">
            <v>32</v>
          </cell>
          <cell r="N2758">
            <v>42</v>
          </cell>
          <cell r="Q2758" t="str">
            <v>2016_01</v>
          </cell>
        </row>
        <row r="2759">
          <cell r="J2759">
            <v>32</v>
          </cell>
          <cell r="K2759">
            <v>32</v>
          </cell>
          <cell r="N2759">
            <v>0</v>
          </cell>
          <cell r="Q2759" t="str">
            <v>2016_02</v>
          </cell>
        </row>
        <row r="2760">
          <cell r="J2760">
            <v>32</v>
          </cell>
          <cell r="K2760">
            <v>32</v>
          </cell>
          <cell r="N2760">
            <v>0</v>
          </cell>
          <cell r="Q2760" t="str">
            <v>2016_03</v>
          </cell>
        </row>
        <row r="2761">
          <cell r="J2761">
            <v>32</v>
          </cell>
          <cell r="K2761">
            <v>32</v>
          </cell>
          <cell r="N2761">
            <v>0</v>
          </cell>
          <cell r="Q2761" t="str">
            <v>2016_04</v>
          </cell>
        </row>
        <row r="2762">
          <cell r="J2762">
            <v>32</v>
          </cell>
          <cell r="K2762">
            <v>32</v>
          </cell>
          <cell r="N2762">
            <v>0</v>
          </cell>
          <cell r="Q2762" t="str">
            <v>2016_05</v>
          </cell>
        </row>
        <row r="2763">
          <cell r="J2763">
            <v>32</v>
          </cell>
          <cell r="K2763">
            <v>32</v>
          </cell>
          <cell r="N2763">
            <v>0</v>
          </cell>
          <cell r="Q2763" t="str">
            <v>2016_06</v>
          </cell>
        </row>
        <row r="2764">
          <cell r="J2764">
            <v>32</v>
          </cell>
          <cell r="K2764">
            <v>32</v>
          </cell>
          <cell r="N2764">
            <v>0</v>
          </cell>
          <cell r="Q2764" t="str">
            <v>2016_07</v>
          </cell>
        </row>
        <row r="2765">
          <cell r="J2765">
            <v>32</v>
          </cell>
          <cell r="K2765">
            <v>32</v>
          </cell>
          <cell r="N2765">
            <v>0</v>
          </cell>
          <cell r="Q2765" t="str">
            <v>2016_08</v>
          </cell>
        </row>
        <row r="2766">
          <cell r="J2766">
            <v>32</v>
          </cell>
          <cell r="K2766">
            <v>32</v>
          </cell>
          <cell r="N2766">
            <v>0</v>
          </cell>
          <cell r="Q2766" t="str">
            <v>2016_09</v>
          </cell>
        </row>
        <row r="2767">
          <cell r="J2767">
            <v>32</v>
          </cell>
          <cell r="K2767">
            <v>32</v>
          </cell>
          <cell r="N2767">
            <v>27.66</v>
          </cell>
          <cell r="Q2767" t="str">
            <v>2016_01</v>
          </cell>
        </row>
        <row r="2768">
          <cell r="J2768">
            <v>32</v>
          </cell>
          <cell r="K2768">
            <v>32</v>
          </cell>
          <cell r="N2768">
            <v>26.24</v>
          </cell>
          <cell r="Q2768" t="str">
            <v>2016_02</v>
          </cell>
        </row>
        <row r="2769">
          <cell r="J2769">
            <v>32</v>
          </cell>
          <cell r="K2769">
            <v>32</v>
          </cell>
          <cell r="N2769">
            <v>26.24</v>
          </cell>
          <cell r="Q2769" t="str">
            <v>2016_03</v>
          </cell>
        </row>
        <row r="2770">
          <cell r="J2770">
            <v>32</v>
          </cell>
          <cell r="K2770">
            <v>32</v>
          </cell>
          <cell r="N2770">
            <v>39.36</v>
          </cell>
          <cell r="Q2770" t="str">
            <v>2016_04</v>
          </cell>
        </row>
        <row r="2771">
          <cell r="J2771">
            <v>32</v>
          </cell>
          <cell r="K2771">
            <v>32</v>
          </cell>
          <cell r="N2771">
            <v>26.24</v>
          </cell>
          <cell r="Q2771" t="str">
            <v>2016_05</v>
          </cell>
        </row>
        <row r="2772">
          <cell r="J2772">
            <v>32</v>
          </cell>
          <cell r="K2772">
            <v>32</v>
          </cell>
          <cell r="N2772">
            <v>18.71</v>
          </cell>
          <cell r="Q2772" t="str">
            <v>2016_06</v>
          </cell>
        </row>
        <row r="2773">
          <cell r="J2773">
            <v>32</v>
          </cell>
          <cell r="K2773">
            <v>32</v>
          </cell>
          <cell r="N2773">
            <v>0</v>
          </cell>
          <cell r="Q2773" t="str">
            <v>2016_07</v>
          </cell>
        </row>
        <row r="2774">
          <cell r="J2774">
            <v>32</v>
          </cell>
          <cell r="K2774">
            <v>32</v>
          </cell>
          <cell r="N2774">
            <v>0</v>
          </cell>
          <cell r="Q2774" t="str">
            <v>2016_08</v>
          </cell>
        </row>
        <row r="2775">
          <cell r="J2775">
            <v>32</v>
          </cell>
          <cell r="K2775">
            <v>32</v>
          </cell>
          <cell r="N2775">
            <v>0</v>
          </cell>
          <cell r="Q2775" t="str">
            <v>2016_09</v>
          </cell>
        </row>
        <row r="2776">
          <cell r="J2776">
            <v>31</v>
          </cell>
          <cell r="K2776">
            <v>31</v>
          </cell>
          <cell r="N2776">
            <v>18.36</v>
          </cell>
          <cell r="Q2776" t="str">
            <v>2015_10</v>
          </cell>
        </row>
        <row r="2777">
          <cell r="J2777">
            <v>31</v>
          </cell>
          <cell r="K2777">
            <v>31</v>
          </cell>
          <cell r="N2777">
            <v>12.24</v>
          </cell>
          <cell r="Q2777" t="str">
            <v>2015_11</v>
          </cell>
        </row>
        <row r="2778">
          <cell r="J2778">
            <v>31</v>
          </cell>
          <cell r="K2778">
            <v>31</v>
          </cell>
          <cell r="N2778">
            <v>11.62</v>
          </cell>
          <cell r="Q2778" t="str">
            <v>2015_12</v>
          </cell>
        </row>
        <row r="2779">
          <cell r="J2779">
            <v>31</v>
          </cell>
          <cell r="K2779">
            <v>31</v>
          </cell>
          <cell r="N2779">
            <v>11.5</v>
          </cell>
          <cell r="Q2779" t="str">
            <v>2016_01</v>
          </cell>
        </row>
        <row r="2780">
          <cell r="J2780">
            <v>31</v>
          </cell>
          <cell r="K2780">
            <v>31</v>
          </cell>
          <cell r="N2780">
            <v>12.78</v>
          </cell>
          <cell r="Q2780" t="str">
            <v>2016_02</v>
          </cell>
        </row>
        <row r="2781">
          <cell r="J2781">
            <v>31</v>
          </cell>
          <cell r="K2781">
            <v>31</v>
          </cell>
          <cell r="N2781">
            <v>12.78</v>
          </cell>
          <cell r="Q2781" t="str">
            <v>2016_03</v>
          </cell>
        </row>
        <row r="2782">
          <cell r="J2782">
            <v>31</v>
          </cell>
          <cell r="K2782">
            <v>31</v>
          </cell>
          <cell r="N2782">
            <v>19.170000000000002</v>
          </cell>
          <cell r="Q2782" t="str">
            <v>2016_04</v>
          </cell>
        </row>
        <row r="2783">
          <cell r="J2783">
            <v>31</v>
          </cell>
          <cell r="K2783">
            <v>31</v>
          </cell>
          <cell r="N2783">
            <v>12.78</v>
          </cell>
          <cell r="Q2783" t="str">
            <v>2016_05</v>
          </cell>
        </row>
        <row r="2784">
          <cell r="J2784">
            <v>31</v>
          </cell>
          <cell r="K2784">
            <v>31</v>
          </cell>
          <cell r="N2784">
            <v>12.14</v>
          </cell>
          <cell r="Q2784" t="str">
            <v>2016_06</v>
          </cell>
        </row>
        <row r="2785">
          <cell r="J2785">
            <v>31</v>
          </cell>
          <cell r="K2785">
            <v>31</v>
          </cell>
          <cell r="N2785">
            <v>12.14</v>
          </cell>
          <cell r="Q2785" t="str">
            <v>2016_07</v>
          </cell>
        </row>
        <row r="2786">
          <cell r="J2786">
            <v>31</v>
          </cell>
          <cell r="K2786">
            <v>31</v>
          </cell>
          <cell r="N2786">
            <v>9.58</v>
          </cell>
          <cell r="Q2786" t="str">
            <v>2016_08</v>
          </cell>
        </row>
        <row r="2787">
          <cell r="J2787">
            <v>31</v>
          </cell>
          <cell r="K2787">
            <v>31</v>
          </cell>
          <cell r="N2787">
            <v>18.53</v>
          </cell>
          <cell r="Q2787" t="str">
            <v>2016_09</v>
          </cell>
        </row>
        <row r="2788">
          <cell r="J2788">
            <v>87</v>
          </cell>
          <cell r="K2788">
            <v>87.1</v>
          </cell>
          <cell r="N2788">
            <v>3050.91</v>
          </cell>
          <cell r="Q2788" t="str">
            <v>2015_10</v>
          </cell>
        </row>
        <row r="2789">
          <cell r="J2789">
            <v>87</v>
          </cell>
          <cell r="K2789">
            <v>87.1</v>
          </cell>
          <cell r="N2789">
            <v>2203.44</v>
          </cell>
          <cell r="Q2789" t="str">
            <v>2015_11</v>
          </cell>
        </row>
        <row r="2790">
          <cell r="J2790">
            <v>87</v>
          </cell>
          <cell r="K2790">
            <v>87.1</v>
          </cell>
          <cell r="N2790">
            <v>6556.27</v>
          </cell>
          <cell r="Q2790" t="str">
            <v>2015_12</v>
          </cell>
        </row>
        <row r="2791">
          <cell r="J2791">
            <v>87</v>
          </cell>
          <cell r="K2791">
            <v>87.1</v>
          </cell>
          <cell r="N2791">
            <v>3345.36</v>
          </cell>
          <cell r="Q2791" t="str">
            <v>2016_01</v>
          </cell>
        </row>
        <row r="2792">
          <cell r="J2792">
            <v>87</v>
          </cell>
          <cell r="K2792">
            <v>87.1</v>
          </cell>
          <cell r="N2792">
            <v>3345.36</v>
          </cell>
          <cell r="Q2792" t="str">
            <v>2016_02</v>
          </cell>
        </row>
        <row r="2793">
          <cell r="J2793">
            <v>87</v>
          </cell>
          <cell r="K2793">
            <v>87.1</v>
          </cell>
          <cell r="N2793">
            <v>3345.36</v>
          </cell>
          <cell r="Q2793" t="str">
            <v>2016_03</v>
          </cell>
        </row>
        <row r="2794">
          <cell r="J2794">
            <v>87</v>
          </cell>
          <cell r="K2794">
            <v>87.1</v>
          </cell>
          <cell r="N2794">
            <v>3345.36</v>
          </cell>
          <cell r="Q2794" t="str">
            <v>2016_04</v>
          </cell>
        </row>
        <row r="2795">
          <cell r="J2795">
            <v>87</v>
          </cell>
          <cell r="K2795">
            <v>87.1</v>
          </cell>
          <cell r="N2795">
            <v>3345.36</v>
          </cell>
          <cell r="Q2795" t="str">
            <v>2016_05</v>
          </cell>
        </row>
        <row r="2796">
          <cell r="J2796">
            <v>87</v>
          </cell>
          <cell r="K2796">
            <v>87.1</v>
          </cell>
          <cell r="N2796">
            <v>2787.8</v>
          </cell>
          <cell r="Q2796" t="str">
            <v>2016_06</v>
          </cell>
        </row>
        <row r="2797">
          <cell r="J2797">
            <v>87</v>
          </cell>
          <cell r="K2797">
            <v>87.1</v>
          </cell>
          <cell r="N2797">
            <v>2787.8</v>
          </cell>
          <cell r="Q2797" t="str">
            <v>2016_07</v>
          </cell>
        </row>
        <row r="2798">
          <cell r="J2798">
            <v>87</v>
          </cell>
          <cell r="K2798">
            <v>87.1</v>
          </cell>
          <cell r="N2798">
            <v>2787.8</v>
          </cell>
          <cell r="Q2798" t="str">
            <v>2016_08</v>
          </cell>
        </row>
        <row r="2799">
          <cell r="J2799">
            <v>87</v>
          </cell>
          <cell r="K2799">
            <v>87.1</v>
          </cell>
          <cell r="N2799">
            <v>2787.8</v>
          </cell>
          <cell r="Q2799" t="str">
            <v>2016_09</v>
          </cell>
        </row>
        <row r="2800">
          <cell r="J2800">
            <v>89</v>
          </cell>
          <cell r="K2800">
            <v>89.1</v>
          </cell>
          <cell r="N2800">
            <v>1610.11</v>
          </cell>
          <cell r="Q2800" t="str">
            <v>2015_10</v>
          </cell>
        </row>
        <row r="2801">
          <cell r="J2801">
            <v>89</v>
          </cell>
          <cell r="K2801">
            <v>89.1</v>
          </cell>
          <cell r="N2801">
            <v>795.1</v>
          </cell>
          <cell r="Q2801" t="str">
            <v>2015_11</v>
          </cell>
        </row>
        <row r="2802">
          <cell r="J2802">
            <v>89</v>
          </cell>
          <cell r="K2802">
            <v>89.1</v>
          </cell>
          <cell r="N2802">
            <v>1083.27</v>
          </cell>
          <cell r="Q2802" t="str">
            <v>2015_12</v>
          </cell>
        </row>
        <row r="2803">
          <cell r="J2803">
            <v>89</v>
          </cell>
          <cell r="K2803">
            <v>89.1</v>
          </cell>
          <cell r="N2803">
            <v>1045.96</v>
          </cell>
          <cell r="Q2803" t="str">
            <v>2016_01</v>
          </cell>
        </row>
        <row r="2804">
          <cell r="J2804">
            <v>89</v>
          </cell>
          <cell r="K2804">
            <v>89.1</v>
          </cell>
          <cell r="N2804">
            <v>1074.1600000000001</v>
          </cell>
          <cell r="Q2804" t="str">
            <v>2016_02</v>
          </cell>
        </row>
        <row r="2805">
          <cell r="J2805">
            <v>89</v>
          </cell>
          <cell r="K2805">
            <v>89.1</v>
          </cell>
          <cell r="N2805">
            <v>1104.8699999999999</v>
          </cell>
          <cell r="Q2805" t="str">
            <v>2016_03</v>
          </cell>
        </row>
        <row r="2806">
          <cell r="J2806">
            <v>89</v>
          </cell>
          <cell r="K2806">
            <v>89.1</v>
          </cell>
          <cell r="N2806">
            <v>1789.92</v>
          </cell>
          <cell r="Q2806" t="str">
            <v>2016_04</v>
          </cell>
        </row>
        <row r="2807">
          <cell r="J2807">
            <v>89</v>
          </cell>
          <cell r="K2807">
            <v>89.1</v>
          </cell>
          <cell r="N2807">
            <v>887.04</v>
          </cell>
          <cell r="Q2807" t="str">
            <v>2016_05</v>
          </cell>
        </row>
        <row r="2808">
          <cell r="J2808">
            <v>89</v>
          </cell>
          <cell r="K2808">
            <v>89.1</v>
          </cell>
          <cell r="N2808">
            <v>901.14</v>
          </cell>
          <cell r="Q2808" t="str">
            <v>2016_06</v>
          </cell>
        </row>
        <row r="2809">
          <cell r="J2809">
            <v>89</v>
          </cell>
          <cell r="K2809">
            <v>89.1</v>
          </cell>
          <cell r="N2809">
            <v>1022.93</v>
          </cell>
          <cell r="Q2809" t="str">
            <v>2016_07</v>
          </cell>
        </row>
        <row r="2810">
          <cell r="J2810">
            <v>89</v>
          </cell>
          <cell r="K2810">
            <v>89.1</v>
          </cell>
          <cell r="N2810">
            <v>1025.75</v>
          </cell>
          <cell r="Q2810" t="str">
            <v>2016_08</v>
          </cell>
        </row>
        <row r="2811">
          <cell r="J2811">
            <v>89</v>
          </cell>
          <cell r="K2811">
            <v>89.1</v>
          </cell>
          <cell r="N2811">
            <v>1550.15</v>
          </cell>
          <cell r="Q2811" t="str">
            <v>2016_09</v>
          </cell>
        </row>
        <row r="2812">
          <cell r="J2812">
            <v>89</v>
          </cell>
          <cell r="K2812">
            <v>89.1</v>
          </cell>
          <cell r="N2812">
            <v>142.97999999999999</v>
          </cell>
          <cell r="Q2812" t="str">
            <v>2015_10</v>
          </cell>
        </row>
        <row r="2813">
          <cell r="J2813">
            <v>89</v>
          </cell>
          <cell r="K2813">
            <v>89.1</v>
          </cell>
          <cell r="N2813">
            <v>142.97999999999999</v>
          </cell>
          <cell r="Q2813" t="str">
            <v>2015_11</v>
          </cell>
        </row>
        <row r="2814">
          <cell r="J2814">
            <v>89</v>
          </cell>
          <cell r="K2814">
            <v>89.1</v>
          </cell>
          <cell r="N2814">
            <v>142.97999999999999</v>
          </cell>
          <cell r="Q2814" t="str">
            <v>2015_12</v>
          </cell>
        </row>
        <row r="2815">
          <cell r="J2815">
            <v>89</v>
          </cell>
          <cell r="K2815">
            <v>89.1</v>
          </cell>
          <cell r="N2815">
            <v>142.97999999999999</v>
          </cell>
          <cell r="Q2815" t="str">
            <v>2016_01</v>
          </cell>
        </row>
        <row r="2816">
          <cell r="J2816">
            <v>89</v>
          </cell>
          <cell r="K2816">
            <v>89.1</v>
          </cell>
          <cell r="N2816">
            <v>142.97999999999999</v>
          </cell>
          <cell r="Q2816" t="str">
            <v>2016_02</v>
          </cell>
        </row>
        <row r="2817">
          <cell r="J2817">
            <v>89</v>
          </cell>
          <cell r="K2817">
            <v>89.1</v>
          </cell>
          <cell r="N2817">
            <v>142.97999999999999</v>
          </cell>
          <cell r="Q2817" t="str">
            <v>2016_03</v>
          </cell>
        </row>
        <row r="2818">
          <cell r="J2818">
            <v>89</v>
          </cell>
          <cell r="K2818">
            <v>89.1</v>
          </cell>
          <cell r="N2818">
            <v>142.97999999999999</v>
          </cell>
          <cell r="Q2818" t="str">
            <v>2016_04</v>
          </cell>
        </row>
        <row r="2819">
          <cell r="J2819">
            <v>89</v>
          </cell>
          <cell r="K2819">
            <v>89.1</v>
          </cell>
          <cell r="N2819">
            <v>142.97999999999999</v>
          </cell>
          <cell r="Q2819" t="str">
            <v>2016_05</v>
          </cell>
        </row>
        <row r="2820">
          <cell r="J2820">
            <v>89</v>
          </cell>
          <cell r="K2820">
            <v>89.1</v>
          </cell>
          <cell r="N2820">
            <v>121.48</v>
          </cell>
          <cell r="Q2820" t="str">
            <v>2016_06</v>
          </cell>
        </row>
        <row r="2821">
          <cell r="J2821">
            <v>89</v>
          </cell>
          <cell r="K2821">
            <v>89.1</v>
          </cell>
          <cell r="N2821">
            <v>121.48</v>
          </cell>
          <cell r="Q2821" t="str">
            <v>2016_07</v>
          </cell>
        </row>
        <row r="2822">
          <cell r="J2822">
            <v>89</v>
          </cell>
          <cell r="K2822">
            <v>89.1</v>
          </cell>
          <cell r="N2822">
            <v>121.48</v>
          </cell>
          <cell r="Q2822" t="str">
            <v>2016_08</v>
          </cell>
        </row>
        <row r="2823">
          <cell r="J2823">
            <v>89</v>
          </cell>
          <cell r="K2823">
            <v>89.1</v>
          </cell>
          <cell r="N2823">
            <v>121.48</v>
          </cell>
          <cell r="Q2823" t="str">
            <v>2016_09</v>
          </cell>
        </row>
        <row r="2824">
          <cell r="J2824">
            <v>86</v>
          </cell>
          <cell r="K2824">
            <v>85.1</v>
          </cell>
          <cell r="N2824">
            <v>1964.7</v>
          </cell>
          <cell r="Q2824" t="str">
            <v>2015_10</v>
          </cell>
        </row>
        <row r="2825">
          <cell r="J2825">
            <v>86</v>
          </cell>
          <cell r="K2825">
            <v>85.1</v>
          </cell>
          <cell r="N2825">
            <v>999.6</v>
          </cell>
          <cell r="Q2825" t="str">
            <v>2015_11</v>
          </cell>
        </row>
        <row r="2826">
          <cell r="J2826">
            <v>86</v>
          </cell>
          <cell r="K2826">
            <v>85.1</v>
          </cell>
          <cell r="N2826">
            <v>2673.84</v>
          </cell>
          <cell r="Q2826" t="str">
            <v>2015_12</v>
          </cell>
        </row>
        <row r="2827">
          <cell r="J2827">
            <v>86</v>
          </cell>
          <cell r="K2827">
            <v>85.1</v>
          </cell>
          <cell r="N2827">
            <v>3022.29</v>
          </cell>
          <cell r="Q2827" t="str">
            <v>2016_01</v>
          </cell>
        </row>
        <row r="2828">
          <cell r="J2828">
            <v>86</v>
          </cell>
          <cell r="K2828">
            <v>85.1</v>
          </cell>
          <cell r="N2828">
            <v>3022.29</v>
          </cell>
          <cell r="Q2828" t="str">
            <v>2016_02</v>
          </cell>
        </row>
        <row r="2829">
          <cell r="J2829">
            <v>86</v>
          </cell>
          <cell r="K2829">
            <v>85.1</v>
          </cell>
          <cell r="N2829">
            <v>3022.29</v>
          </cell>
          <cell r="Q2829" t="str">
            <v>2016_03</v>
          </cell>
        </row>
        <row r="2830">
          <cell r="J2830">
            <v>86</v>
          </cell>
          <cell r="K2830">
            <v>85.1</v>
          </cell>
          <cell r="N2830">
            <v>3022.29</v>
          </cell>
          <cell r="Q2830" t="str">
            <v>2016_04</v>
          </cell>
        </row>
        <row r="2831">
          <cell r="J2831">
            <v>86</v>
          </cell>
          <cell r="K2831">
            <v>85.1</v>
          </cell>
          <cell r="N2831">
            <v>3022.29</v>
          </cell>
          <cell r="Q2831" t="str">
            <v>2016_05</v>
          </cell>
        </row>
        <row r="2832">
          <cell r="J2832">
            <v>86</v>
          </cell>
          <cell r="K2832">
            <v>85.1</v>
          </cell>
          <cell r="N2832">
            <v>3022.29</v>
          </cell>
          <cell r="Q2832" t="str">
            <v>2016_06</v>
          </cell>
        </row>
        <row r="2833">
          <cell r="J2833">
            <v>86</v>
          </cell>
          <cell r="K2833">
            <v>85.1</v>
          </cell>
          <cell r="N2833">
            <v>3022.29</v>
          </cell>
          <cell r="Q2833" t="str">
            <v>2016_07</v>
          </cell>
        </row>
        <row r="2834">
          <cell r="J2834">
            <v>86</v>
          </cell>
          <cell r="K2834">
            <v>85.1</v>
          </cell>
          <cell r="N2834">
            <v>3022.29</v>
          </cell>
          <cell r="Q2834" t="str">
            <v>2016_08</v>
          </cell>
        </row>
        <row r="2835">
          <cell r="J2835">
            <v>86</v>
          </cell>
          <cell r="K2835">
            <v>85.1</v>
          </cell>
          <cell r="N2835">
            <v>3022.29</v>
          </cell>
          <cell r="Q2835" t="str">
            <v>2016_09</v>
          </cell>
        </row>
        <row r="2836">
          <cell r="J2836">
            <v>90</v>
          </cell>
          <cell r="K2836">
            <v>90.1</v>
          </cell>
          <cell r="N2836">
            <v>2265.1999999999998</v>
          </cell>
          <cell r="Q2836" t="str">
            <v>2015_10</v>
          </cell>
        </row>
        <row r="2837">
          <cell r="J2837">
            <v>90</v>
          </cell>
          <cell r="K2837">
            <v>90.1</v>
          </cell>
          <cell r="N2837">
            <v>1580.57</v>
          </cell>
          <cell r="Q2837" t="str">
            <v>2015_11</v>
          </cell>
        </row>
        <row r="2838">
          <cell r="J2838">
            <v>90</v>
          </cell>
          <cell r="K2838">
            <v>90.1</v>
          </cell>
          <cell r="N2838">
            <v>1563.49</v>
          </cell>
          <cell r="Q2838" t="str">
            <v>2015_12</v>
          </cell>
        </row>
        <row r="2839">
          <cell r="J2839">
            <v>90</v>
          </cell>
          <cell r="K2839">
            <v>90.1</v>
          </cell>
          <cell r="N2839">
            <v>1460.94</v>
          </cell>
          <cell r="Q2839" t="str">
            <v>2016_01</v>
          </cell>
        </row>
        <row r="2840">
          <cell r="J2840">
            <v>90</v>
          </cell>
          <cell r="K2840">
            <v>90.1</v>
          </cell>
          <cell r="N2840">
            <v>1513.18</v>
          </cell>
          <cell r="Q2840" t="str">
            <v>2016_02</v>
          </cell>
        </row>
        <row r="2841">
          <cell r="J2841">
            <v>90</v>
          </cell>
          <cell r="K2841">
            <v>90.1</v>
          </cell>
          <cell r="N2841">
            <v>1662.31</v>
          </cell>
          <cell r="Q2841" t="str">
            <v>2016_03</v>
          </cell>
        </row>
        <row r="2842">
          <cell r="J2842">
            <v>90</v>
          </cell>
          <cell r="K2842">
            <v>90.1</v>
          </cell>
          <cell r="N2842">
            <v>2637.63</v>
          </cell>
          <cell r="Q2842" t="str">
            <v>2016_04</v>
          </cell>
        </row>
        <row r="2843">
          <cell r="J2843">
            <v>90</v>
          </cell>
          <cell r="K2843">
            <v>90.1</v>
          </cell>
          <cell r="N2843">
            <v>1285.6099999999999</v>
          </cell>
          <cell r="Q2843" t="str">
            <v>2016_05</v>
          </cell>
        </row>
        <row r="2844">
          <cell r="J2844">
            <v>90</v>
          </cell>
          <cell r="K2844">
            <v>90.1</v>
          </cell>
          <cell r="N2844">
            <v>1301.33</v>
          </cell>
          <cell r="Q2844" t="str">
            <v>2016_06</v>
          </cell>
        </row>
        <row r="2845">
          <cell r="J2845">
            <v>90</v>
          </cell>
          <cell r="K2845">
            <v>90.1</v>
          </cell>
          <cell r="N2845">
            <v>1429.74</v>
          </cell>
          <cell r="Q2845" t="str">
            <v>2016_07</v>
          </cell>
        </row>
        <row r="2846">
          <cell r="J2846">
            <v>90</v>
          </cell>
          <cell r="K2846">
            <v>90.1</v>
          </cell>
          <cell r="N2846">
            <v>1617.32</v>
          </cell>
          <cell r="Q2846" t="str">
            <v>2016_08</v>
          </cell>
        </row>
        <row r="2847">
          <cell r="J2847">
            <v>90</v>
          </cell>
          <cell r="K2847">
            <v>90.1</v>
          </cell>
          <cell r="N2847">
            <v>2442.86</v>
          </cell>
          <cell r="Q2847" t="str">
            <v>2016_09</v>
          </cell>
        </row>
        <row r="2848">
          <cell r="J2848">
            <v>90</v>
          </cell>
          <cell r="K2848">
            <v>90.1</v>
          </cell>
          <cell r="N2848">
            <v>529.76</v>
          </cell>
          <cell r="Q2848" t="str">
            <v>2015_10</v>
          </cell>
        </row>
        <row r="2849">
          <cell r="J2849">
            <v>90</v>
          </cell>
          <cell r="K2849">
            <v>90.1</v>
          </cell>
          <cell r="N2849">
            <v>369.64</v>
          </cell>
          <cell r="Q2849" t="str">
            <v>2015_11</v>
          </cell>
        </row>
        <row r="2850">
          <cell r="J2850">
            <v>90</v>
          </cell>
          <cell r="K2850">
            <v>90.1</v>
          </cell>
          <cell r="N2850">
            <v>365.65</v>
          </cell>
          <cell r="Q2850" t="str">
            <v>2015_12</v>
          </cell>
        </row>
        <row r="2851">
          <cell r="J2851">
            <v>90</v>
          </cell>
          <cell r="K2851">
            <v>90.1</v>
          </cell>
          <cell r="N2851">
            <v>341.67</v>
          </cell>
          <cell r="Q2851" t="str">
            <v>2016_01</v>
          </cell>
        </row>
        <row r="2852">
          <cell r="J2852">
            <v>90</v>
          </cell>
          <cell r="K2852">
            <v>90.1</v>
          </cell>
          <cell r="N2852">
            <v>353.9</v>
          </cell>
          <cell r="Q2852" t="str">
            <v>2016_02</v>
          </cell>
        </row>
        <row r="2853">
          <cell r="J2853">
            <v>90</v>
          </cell>
          <cell r="K2853">
            <v>90.1</v>
          </cell>
          <cell r="N2853">
            <v>388.76</v>
          </cell>
          <cell r="Q2853" t="str">
            <v>2016_03</v>
          </cell>
        </row>
        <row r="2854">
          <cell r="J2854">
            <v>90</v>
          </cell>
          <cell r="K2854">
            <v>90.1</v>
          </cell>
          <cell r="N2854">
            <v>616.86</v>
          </cell>
          <cell r="Q2854" t="str">
            <v>2016_04</v>
          </cell>
        </row>
        <row r="2855">
          <cell r="J2855">
            <v>90</v>
          </cell>
          <cell r="K2855">
            <v>90.1</v>
          </cell>
          <cell r="N2855">
            <v>300.67</v>
          </cell>
          <cell r="Q2855" t="str">
            <v>2016_05</v>
          </cell>
        </row>
        <row r="2856">
          <cell r="J2856">
            <v>90</v>
          </cell>
          <cell r="K2856">
            <v>90.1</v>
          </cell>
          <cell r="N2856">
            <v>304.33999999999997</v>
          </cell>
          <cell r="Q2856" t="str">
            <v>2016_06</v>
          </cell>
        </row>
        <row r="2857">
          <cell r="J2857">
            <v>90</v>
          </cell>
          <cell r="K2857">
            <v>90.1</v>
          </cell>
          <cell r="N2857">
            <v>334.37</v>
          </cell>
          <cell r="Q2857" t="str">
            <v>2016_07</v>
          </cell>
        </row>
        <row r="2858">
          <cell r="J2858">
            <v>90</v>
          </cell>
          <cell r="K2858">
            <v>90.1</v>
          </cell>
          <cell r="N2858">
            <v>378.25</v>
          </cell>
          <cell r="Q2858" t="str">
            <v>2016_08</v>
          </cell>
        </row>
        <row r="2859">
          <cell r="J2859">
            <v>90</v>
          </cell>
          <cell r="K2859">
            <v>90.1</v>
          </cell>
          <cell r="N2859">
            <v>571.29999999999995</v>
          </cell>
          <cell r="Q2859" t="str">
            <v>2016_09</v>
          </cell>
        </row>
        <row r="2860">
          <cell r="J2860">
            <v>90</v>
          </cell>
          <cell r="K2860">
            <v>90.1</v>
          </cell>
          <cell r="N2860">
            <v>0</v>
          </cell>
          <cell r="Q2860" t="str">
            <v>2015_10</v>
          </cell>
        </row>
        <row r="2861">
          <cell r="J2861">
            <v>90</v>
          </cell>
          <cell r="K2861">
            <v>90.1</v>
          </cell>
          <cell r="N2861">
            <v>0</v>
          </cell>
          <cell r="Q2861" t="str">
            <v>2015_11</v>
          </cell>
        </row>
        <row r="2862">
          <cell r="J2862">
            <v>90</v>
          </cell>
          <cell r="K2862">
            <v>90.1</v>
          </cell>
          <cell r="N2862">
            <v>0</v>
          </cell>
          <cell r="Q2862" t="str">
            <v>2015_12</v>
          </cell>
        </row>
        <row r="2863">
          <cell r="J2863">
            <v>90</v>
          </cell>
          <cell r="K2863">
            <v>90.1</v>
          </cell>
          <cell r="N2863">
            <v>141.38</v>
          </cell>
          <cell r="Q2863" t="str">
            <v>2016_01</v>
          </cell>
        </row>
        <row r="2864">
          <cell r="J2864">
            <v>90</v>
          </cell>
          <cell r="K2864">
            <v>90.1</v>
          </cell>
          <cell r="N2864">
            <v>134.05000000000001</v>
          </cell>
          <cell r="Q2864" t="str">
            <v>2016_02</v>
          </cell>
        </row>
        <row r="2865">
          <cell r="J2865">
            <v>90</v>
          </cell>
          <cell r="K2865">
            <v>90.1</v>
          </cell>
          <cell r="N2865">
            <v>18.57</v>
          </cell>
          <cell r="Q2865" t="str">
            <v>2016_03</v>
          </cell>
        </row>
        <row r="2866">
          <cell r="J2866">
            <v>90</v>
          </cell>
          <cell r="K2866">
            <v>90.1</v>
          </cell>
          <cell r="N2866">
            <v>0</v>
          </cell>
          <cell r="Q2866" t="str">
            <v>2016_04</v>
          </cell>
        </row>
        <row r="2867">
          <cell r="J2867">
            <v>90</v>
          </cell>
          <cell r="K2867">
            <v>90.1</v>
          </cell>
          <cell r="N2867">
            <v>0</v>
          </cell>
          <cell r="Q2867" t="str">
            <v>2016_05</v>
          </cell>
        </row>
        <row r="2868">
          <cell r="J2868">
            <v>90</v>
          </cell>
          <cell r="K2868">
            <v>90.1</v>
          </cell>
          <cell r="N2868">
            <v>0</v>
          </cell>
          <cell r="Q2868" t="str">
            <v>2016_06</v>
          </cell>
        </row>
        <row r="2869">
          <cell r="J2869">
            <v>90</v>
          </cell>
          <cell r="K2869">
            <v>90.1</v>
          </cell>
          <cell r="N2869">
            <v>13.74</v>
          </cell>
          <cell r="Q2869" t="str">
            <v>2016_07</v>
          </cell>
        </row>
        <row r="2870">
          <cell r="J2870">
            <v>90</v>
          </cell>
          <cell r="K2870">
            <v>90.1</v>
          </cell>
          <cell r="N2870">
            <v>33.42</v>
          </cell>
          <cell r="Q2870" t="str">
            <v>2016_08</v>
          </cell>
        </row>
        <row r="2871">
          <cell r="J2871">
            <v>90</v>
          </cell>
          <cell r="K2871">
            <v>90.1</v>
          </cell>
          <cell r="N2871">
            <v>36.83</v>
          </cell>
          <cell r="Q2871" t="str">
            <v>2016_09</v>
          </cell>
        </row>
        <row r="2872">
          <cell r="J2872">
            <v>90</v>
          </cell>
          <cell r="K2872">
            <v>90.1</v>
          </cell>
          <cell r="N2872">
            <v>145.34</v>
          </cell>
          <cell r="Q2872" t="str">
            <v>2015_10</v>
          </cell>
        </row>
        <row r="2873">
          <cell r="J2873">
            <v>90</v>
          </cell>
          <cell r="K2873">
            <v>90.1</v>
          </cell>
          <cell r="N2873">
            <v>67.290000000000006</v>
          </cell>
          <cell r="Q2873" t="str">
            <v>2015_11</v>
          </cell>
        </row>
        <row r="2874">
          <cell r="J2874">
            <v>90</v>
          </cell>
          <cell r="K2874">
            <v>90.1</v>
          </cell>
          <cell r="N2874">
            <v>44.43</v>
          </cell>
          <cell r="Q2874" t="str">
            <v>2015_12</v>
          </cell>
        </row>
        <row r="2875">
          <cell r="J2875">
            <v>90</v>
          </cell>
          <cell r="K2875">
            <v>90.1</v>
          </cell>
          <cell r="N2875">
            <v>90.61</v>
          </cell>
          <cell r="Q2875" t="str">
            <v>2016_01</v>
          </cell>
        </row>
        <row r="2876">
          <cell r="J2876">
            <v>90</v>
          </cell>
          <cell r="K2876">
            <v>90.1</v>
          </cell>
          <cell r="N2876">
            <v>86.91</v>
          </cell>
          <cell r="Q2876" t="str">
            <v>2016_02</v>
          </cell>
        </row>
        <row r="2877">
          <cell r="J2877">
            <v>90</v>
          </cell>
          <cell r="K2877">
            <v>90.1</v>
          </cell>
          <cell r="N2877">
            <v>97.53</v>
          </cell>
          <cell r="Q2877" t="str">
            <v>2016_03</v>
          </cell>
        </row>
        <row r="2878">
          <cell r="J2878">
            <v>90</v>
          </cell>
          <cell r="K2878">
            <v>90.1</v>
          </cell>
          <cell r="N2878">
            <v>154.78</v>
          </cell>
          <cell r="Q2878" t="str">
            <v>2016_04</v>
          </cell>
        </row>
        <row r="2879">
          <cell r="J2879">
            <v>90</v>
          </cell>
          <cell r="K2879">
            <v>90.1</v>
          </cell>
          <cell r="N2879">
            <v>75.239999999999995</v>
          </cell>
          <cell r="Q2879" t="str">
            <v>2016_05</v>
          </cell>
        </row>
        <row r="2880">
          <cell r="J2880">
            <v>90</v>
          </cell>
          <cell r="K2880">
            <v>90.1</v>
          </cell>
          <cell r="N2880">
            <v>77.290000000000006</v>
          </cell>
          <cell r="Q2880" t="str">
            <v>2016_06</v>
          </cell>
        </row>
        <row r="2881">
          <cell r="J2881">
            <v>90</v>
          </cell>
          <cell r="K2881">
            <v>90.1</v>
          </cell>
          <cell r="N2881">
            <v>83.17</v>
          </cell>
          <cell r="Q2881" t="str">
            <v>2016_07</v>
          </cell>
        </row>
        <row r="2882">
          <cell r="J2882">
            <v>90</v>
          </cell>
          <cell r="K2882">
            <v>90.1</v>
          </cell>
          <cell r="N2882">
            <v>92.78</v>
          </cell>
          <cell r="Q2882" t="str">
            <v>2016_08</v>
          </cell>
        </row>
        <row r="2883">
          <cell r="J2883">
            <v>90</v>
          </cell>
          <cell r="K2883">
            <v>90.1</v>
          </cell>
          <cell r="N2883">
            <v>143.99</v>
          </cell>
          <cell r="Q2883" t="str">
            <v>2016_09</v>
          </cell>
        </row>
        <row r="2884">
          <cell r="J2884">
            <v>88</v>
          </cell>
          <cell r="K2884">
            <v>90.1</v>
          </cell>
          <cell r="N2884">
            <v>119.19</v>
          </cell>
          <cell r="Q2884" t="str">
            <v>2015_10</v>
          </cell>
        </row>
        <row r="2885">
          <cell r="J2885">
            <v>88</v>
          </cell>
          <cell r="K2885">
            <v>90.1</v>
          </cell>
          <cell r="N2885">
            <v>75.290000000000006</v>
          </cell>
          <cell r="Q2885" t="str">
            <v>2015_11</v>
          </cell>
        </row>
        <row r="2886">
          <cell r="J2886">
            <v>88</v>
          </cell>
          <cell r="K2886">
            <v>90.1</v>
          </cell>
          <cell r="N2886">
            <v>77.62</v>
          </cell>
          <cell r="Q2886" t="str">
            <v>2015_12</v>
          </cell>
        </row>
        <row r="2887">
          <cell r="J2887">
            <v>88</v>
          </cell>
          <cell r="K2887">
            <v>90.1</v>
          </cell>
          <cell r="N2887">
            <v>74.67</v>
          </cell>
          <cell r="Q2887" t="str">
            <v>2016_01</v>
          </cell>
        </row>
        <row r="2888">
          <cell r="J2888">
            <v>88</v>
          </cell>
          <cell r="K2888">
            <v>90.1</v>
          </cell>
          <cell r="N2888">
            <v>87.38</v>
          </cell>
          <cell r="Q2888" t="str">
            <v>2016_02</v>
          </cell>
        </row>
        <row r="2889">
          <cell r="J2889">
            <v>88</v>
          </cell>
          <cell r="K2889">
            <v>90.1</v>
          </cell>
          <cell r="N2889">
            <v>89.34</v>
          </cell>
          <cell r="Q2889" t="str">
            <v>2016_03</v>
          </cell>
        </row>
        <row r="2890">
          <cell r="J2890">
            <v>88</v>
          </cell>
          <cell r="K2890">
            <v>90.1</v>
          </cell>
          <cell r="N2890">
            <v>130.72</v>
          </cell>
          <cell r="Q2890" t="str">
            <v>2016_04</v>
          </cell>
        </row>
        <row r="2891">
          <cell r="J2891">
            <v>88</v>
          </cell>
          <cell r="K2891">
            <v>90.1</v>
          </cell>
          <cell r="N2891">
            <v>78.58</v>
          </cell>
          <cell r="Q2891" t="str">
            <v>2016_05</v>
          </cell>
        </row>
        <row r="2892">
          <cell r="J2892">
            <v>88</v>
          </cell>
          <cell r="K2892">
            <v>90.1</v>
          </cell>
          <cell r="N2892">
            <v>-552.64</v>
          </cell>
          <cell r="Q2892" t="str">
            <v>2016_06</v>
          </cell>
        </row>
        <row r="2893">
          <cell r="J2893">
            <v>88</v>
          </cell>
          <cell r="K2893">
            <v>90.1</v>
          </cell>
          <cell r="N2893">
            <v>78.7</v>
          </cell>
          <cell r="Q2893" t="str">
            <v>2016_07</v>
          </cell>
        </row>
        <row r="2894">
          <cell r="J2894">
            <v>88</v>
          </cell>
          <cell r="K2894">
            <v>90.1</v>
          </cell>
          <cell r="N2894">
            <v>97.99</v>
          </cell>
          <cell r="Q2894" t="str">
            <v>2016_08</v>
          </cell>
        </row>
        <row r="2895">
          <cell r="J2895">
            <v>88</v>
          </cell>
          <cell r="K2895">
            <v>90.1</v>
          </cell>
          <cell r="N2895">
            <v>148.49</v>
          </cell>
          <cell r="Q2895" t="str">
            <v>2016_09</v>
          </cell>
        </row>
        <row r="2896">
          <cell r="J2896">
            <v>89</v>
          </cell>
          <cell r="K2896">
            <v>89.1</v>
          </cell>
          <cell r="N2896">
            <v>207.06</v>
          </cell>
          <cell r="Q2896" t="str">
            <v>2016_03</v>
          </cell>
        </row>
        <row r="2897">
          <cell r="J2897">
            <v>89</v>
          </cell>
          <cell r="K2897">
            <v>89.1</v>
          </cell>
          <cell r="N2897">
            <v>0</v>
          </cell>
          <cell r="Q2897" t="str">
            <v>2016_04</v>
          </cell>
        </row>
        <row r="2898">
          <cell r="J2898">
            <v>89</v>
          </cell>
          <cell r="K2898">
            <v>89.1</v>
          </cell>
          <cell r="N2898">
            <v>0</v>
          </cell>
          <cell r="Q2898" t="str">
            <v>2016_05</v>
          </cell>
        </row>
        <row r="2899">
          <cell r="J2899">
            <v>89</v>
          </cell>
          <cell r="K2899">
            <v>89.1</v>
          </cell>
          <cell r="N2899">
            <v>0</v>
          </cell>
          <cell r="Q2899" t="str">
            <v>2016_06</v>
          </cell>
        </row>
        <row r="2900">
          <cell r="J2900">
            <v>89</v>
          </cell>
          <cell r="K2900">
            <v>89.1</v>
          </cell>
          <cell r="N2900">
            <v>0</v>
          </cell>
          <cell r="Q2900" t="str">
            <v>2016_07</v>
          </cell>
        </row>
        <row r="2901">
          <cell r="J2901">
            <v>89</v>
          </cell>
          <cell r="K2901">
            <v>89.1</v>
          </cell>
          <cell r="N2901">
            <v>0</v>
          </cell>
          <cell r="Q2901" t="str">
            <v>2016_08</v>
          </cell>
        </row>
        <row r="2902">
          <cell r="J2902">
            <v>89</v>
          </cell>
          <cell r="K2902">
            <v>89.1</v>
          </cell>
          <cell r="N2902">
            <v>0</v>
          </cell>
          <cell r="Q2902" t="str">
            <v>2016_09</v>
          </cell>
        </row>
        <row r="2903">
          <cell r="J2903">
            <v>91</v>
          </cell>
          <cell r="K2903">
            <v>90.1</v>
          </cell>
          <cell r="N2903">
            <v>278.43</v>
          </cell>
          <cell r="Q2903" t="str">
            <v>2015_10</v>
          </cell>
        </row>
        <row r="2904">
          <cell r="J2904">
            <v>91</v>
          </cell>
          <cell r="K2904">
            <v>90.1</v>
          </cell>
          <cell r="N2904">
            <v>0</v>
          </cell>
          <cell r="Q2904" t="str">
            <v>2015_11</v>
          </cell>
        </row>
        <row r="2905">
          <cell r="J2905">
            <v>91</v>
          </cell>
          <cell r="K2905">
            <v>90.1</v>
          </cell>
          <cell r="N2905">
            <v>320.47000000000003</v>
          </cell>
          <cell r="Q2905" t="str">
            <v>2015_12</v>
          </cell>
        </row>
        <row r="2906">
          <cell r="J2906">
            <v>91</v>
          </cell>
          <cell r="K2906">
            <v>90.1</v>
          </cell>
          <cell r="N2906">
            <v>199.76</v>
          </cell>
          <cell r="Q2906" t="str">
            <v>2016_01</v>
          </cell>
        </row>
        <row r="2907">
          <cell r="J2907">
            <v>91</v>
          </cell>
          <cell r="K2907">
            <v>90.1</v>
          </cell>
          <cell r="N2907">
            <v>73.81</v>
          </cell>
          <cell r="Q2907" t="str">
            <v>2016_02</v>
          </cell>
        </row>
        <row r="2908">
          <cell r="J2908">
            <v>91</v>
          </cell>
          <cell r="K2908">
            <v>90.1</v>
          </cell>
          <cell r="N2908">
            <v>253.43</v>
          </cell>
          <cell r="Q2908" t="str">
            <v>2016_03</v>
          </cell>
        </row>
        <row r="2909">
          <cell r="J2909">
            <v>91</v>
          </cell>
          <cell r="K2909">
            <v>90.1</v>
          </cell>
          <cell r="N2909">
            <v>0</v>
          </cell>
          <cell r="Q2909" t="str">
            <v>2016_04</v>
          </cell>
        </row>
        <row r="2910">
          <cell r="J2910">
            <v>91</v>
          </cell>
          <cell r="K2910">
            <v>90.1</v>
          </cell>
          <cell r="N2910">
            <v>243.47</v>
          </cell>
          <cell r="Q2910" t="str">
            <v>2016_05</v>
          </cell>
        </row>
        <row r="2911">
          <cell r="J2911">
            <v>91</v>
          </cell>
          <cell r="K2911">
            <v>90.1</v>
          </cell>
          <cell r="N2911">
            <v>153.97999999999999</v>
          </cell>
          <cell r="Q2911" t="str">
            <v>2016_06</v>
          </cell>
        </row>
        <row r="2912">
          <cell r="J2912">
            <v>91</v>
          </cell>
          <cell r="K2912">
            <v>90.1</v>
          </cell>
          <cell r="N2912">
            <v>448.8</v>
          </cell>
          <cell r="Q2912" t="str">
            <v>2016_07</v>
          </cell>
        </row>
        <row r="2913">
          <cell r="J2913">
            <v>91</v>
          </cell>
          <cell r="K2913">
            <v>90.1</v>
          </cell>
          <cell r="N2913">
            <v>309.91000000000003</v>
          </cell>
          <cell r="Q2913" t="str">
            <v>2016_08</v>
          </cell>
        </row>
        <row r="2914">
          <cell r="J2914">
            <v>91</v>
          </cell>
          <cell r="K2914">
            <v>90.1</v>
          </cell>
          <cell r="N2914">
            <v>329.46</v>
          </cell>
          <cell r="Q2914" t="str">
            <v>2016_09</v>
          </cell>
        </row>
        <row r="2915">
          <cell r="J2915">
            <v>87</v>
          </cell>
          <cell r="K2915">
            <v>87.2</v>
          </cell>
          <cell r="N2915">
            <v>508.48</v>
          </cell>
          <cell r="Q2915" t="str">
            <v>2015_10</v>
          </cell>
        </row>
        <row r="2916">
          <cell r="J2916">
            <v>87</v>
          </cell>
          <cell r="K2916">
            <v>87.2</v>
          </cell>
          <cell r="N2916">
            <v>367.24</v>
          </cell>
          <cell r="Q2916" t="str">
            <v>2015_11</v>
          </cell>
        </row>
        <row r="2917">
          <cell r="J2917">
            <v>87</v>
          </cell>
          <cell r="K2917">
            <v>87.2</v>
          </cell>
          <cell r="N2917">
            <v>1092.71</v>
          </cell>
          <cell r="Q2917" t="str">
            <v>2015_12</v>
          </cell>
        </row>
        <row r="2918">
          <cell r="J2918">
            <v>87</v>
          </cell>
          <cell r="K2918">
            <v>87.2</v>
          </cell>
          <cell r="N2918">
            <v>557.55999999999995</v>
          </cell>
          <cell r="Q2918" t="str">
            <v>2016_01</v>
          </cell>
        </row>
        <row r="2919">
          <cell r="J2919">
            <v>87</v>
          </cell>
          <cell r="K2919">
            <v>87.2</v>
          </cell>
          <cell r="N2919">
            <v>557.55999999999995</v>
          </cell>
          <cell r="Q2919" t="str">
            <v>2016_02</v>
          </cell>
        </row>
        <row r="2920">
          <cell r="J2920">
            <v>87</v>
          </cell>
          <cell r="K2920">
            <v>87.2</v>
          </cell>
          <cell r="N2920">
            <v>557.55999999999995</v>
          </cell>
          <cell r="Q2920" t="str">
            <v>2016_03</v>
          </cell>
        </row>
        <row r="2921">
          <cell r="J2921">
            <v>87</v>
          </cell>
          <cell r="K2921">
            <v>87.2</v>
          </cell>
          <cell r="N2921">
            <v>557.55999999999995</v>
          </cell>
          <cell r="Q2921" t="str">
            <v>2016_04</v>
          </cell>
        </row>
        <row r="2922">
          <cell r="J2922">
            <v>87</v>
          </cell>
          <cell r="K2922">
            <v>87.2</v>
          </cell>
          <cell r="N2922">
            <v>557.55999999999995</v>
          </cell>
          <cell r="Q2922" t="str">
            <v>2016_05</v>
          </cell>
        </row>
        <row r="2923">
          <cell r="J2923">
            <v>87</v>
          </cell>
          <cell r="K2923">
            <v>87.2</v>
          </cell>
          <cell r="N2923">
            <v>557.55999999999995</v>
          </cell>
          <cell r="Q2923" t="str">
            <v>2016_06</v>
          </cell>
        </row>
        <row r="2924">
          <cell r="J2924">
            <v>87</v>
          </cell>
          <cell r="K2924">
            <v>87.2</v>
          </cell>
          <cell r="N2924">
            <v>557.55999999999995</v>
          </cell>
          <cell r="Q2924" t="str">
            <v>2016_07</v>
          </cell>
        </row>
        <row r="2925">
          <cell r="J2925">
            <v>87</v>
          </cell>
          <cell r="K2925">
            <v>87.2</v>
          </cell>
          <cell r="N2925">
            <v>557.55999999999995</v>
          </cell>
          <cell r="Q2925" t="str">
            <v>2016_08</v>
          </cell>
        </row>
        <row r="2926">
          <cell r="J2926">
            <v>87</v>
          </cell>
          <cell r="K2926">
            <v>87.2</v>
          </cell>
          <cell r="N2926">
            <v>557.55999999999995</v>
          </cell>
          <cell r="Q2926" t="str">
            <v>2016_09</v>
          </cell>
        </row>
        <row r="2927">
          <cell r="J2927">
            <v>89</v>
          </cell>
          <cell r="K2927">
            <v>89.2</v>
          </cell>
          <cell r="N2927">
            <v>276.86</v>
          </cell>
          <cell r="Q2927" t="str">
            <v>2015_10</v>
          </cell>
        </row>
        <row r="2928">
          <cell r="J2928">
            <v>89</v>
          </cell>
          <cell r="K2928">
            <v>89.2</v>
          </cell>
          <cell r="N2928">
            <v>144.4</v>
          </cell>
          <cell r="Q2928" t="str">
            <v>2015_11</v>
          </cell>
        </row>
        <row r="2929">
          <cell r="J2929">
            <v>89</v>
          </cell>
          <cell r="K2929">
            <v>89.2</v>
          </cell>
          <cell r="N2929">
            <v>174.5</v>
          </cell>
          <cell r="Q2929" t="str">
            <v>2015_12</v>
          </cell>
        </row>
        <row r="2930">
          <cell r="J2930">
            <v>89</v>
          </cell>
          <cell r="K2930">
            <v>89.2</v>
          </cell>
          <cell r="N2930">
            <v>180.45</v>
          </cell>
          <cell r="Q2930" t="str">
            <v>2016_01</v>
          </cell>
        </row>
        <row r="2931">
          <cell r="J2931">
            <v>89</v>
          </cell>
          <cell r="K2931">
            <v>89.2</v>
          </cell>
          <cell r="N2931">
            <v>187.54</v>
          </cell>
          <cell r="Q2931" t="str">
            <v>2016_02</v>
          </cell>
        </row>
        <row r="2932">
          <cell r="J2932">
            <v>89</v>
          </cell>
          <cell r="K2932">
            <v>89.2</v>
          </cell>
          <cell r="N2932">
            <v>178.88</v>
          </cell>
          <cell r="Q2932" t="str">
            <v>2016_03</v>
          </cell>
        </row>
        <row r="2933">
          <cell r="J2933">
            <v>89</v>
          </cell>
          <cell r="K2933">
            <v>89.2</v>
          </cell>
          <cell r="N2933">
            <v>263.27</v>
          </cell>
          <cell r="Q2933" t="str">
            <v>2016_04</v>
          </cell>
        </row>
        <row r="2934">
          <cell r="J2934">
            <v>89</v>
          </cell>
          <cell r="K2934">
            <v>89.2</v>
          </cell>
          <cell r="N2934">
            <v>172.76</v>
          </cell>
          <cell r="Q2934" t="str">
            <v>2016_05</v>
          </cell>
        </row>
        <row r="2935">
          <cell r="J2935">
            <v>89</v>
          </cell>
          <cell r="K2935">
            <v>89.2</v>
          </cell>
          <cell r="N2935">
            <v>187.23</v>
          </cell>
          <cell r="Q2935" t="str">
            <v>2016_06</v>
          </cell>
        </row>
        <row r="2936">
          <cell r="J2936">
            <v>89</v>
          </cell>
          <cell r="K2936">
            <v>89.2</v>
          </cell>
          <cell r="N2936">
            <v>166.06</v>
          </cell>
          <cell r="Q2936" t="str">
            <v>2016_07</v>
          </cell>
        </row>
        <row r="2937">
          <cell r="J2937">
            <v>89</v>
          </cell>
          <cell r="K2937">
            <v>89.2</v>
          </cell>
          <cell r="N2937">
            <v>187</v>
          </cell>
          <cell r="Q2937" t="str">
            <v>2016_08</v>
          </cell>
        </row>
        <row r="2938">
          <cell r="J2938">
            <v>89</v>
          </cell>
          <cell r="K2938">
            <v>89.2</v>
          </cell>
          <cell r="N2938">
            <v>279.44</v>
          </cell>
          <cell r="Q2938" t="str">
            <v>2016_09</v>
          </cell>
        </row>
        <row r="2939">
          <cell r="J2939">
            <v>89</v>
          </cell>
          <cell r="K2939">
            <v>89.2</v>
          </cell>
          <cell r="N2939">
            <v>21.5</v>
          </cell>
          <cell r="Q2939" t="str">
            <v>2015_10</v>
          </cell>
        </row>
        <row r="2940">
          <cell r="J2940">
            <v>89</v>
          </cell>
          <cell r="K2940">
            <v>89.2</v>
          </cell>
          <cell r="N2940">
            <v>21.5</v>
          </cell>
          <cell r="Q2940" t="str">
            <v>2015_11</v>
          </cell>
        </row>
        <row r="2941">
          <cell r="J2941">
            <v>89</v>
          </cell>
          <cell r="K2941">
            <v>89.2</v>
          </cell>
          <cell r="N2941">
            <v>21.5</v>
          </cell>
          <cell r="Q2941" t="str">
            <v>2015_12</v>
          </cell>
        </row>
        <row r="2942">
          <cell r="J2942">
            <v>89</v>
          </cell>
          <cell r="K2942">
            <v>89.2</v>
          </cell>
          <cell r="N2942">
            <v>21.5</v>
          </cell>
          <cell r="Q2942" t="str">
            <v>2016_01</v>
          </cell>
        </row>
        <row r="2943">
          <cell r="J2943">
            <v>89</v>
          </cell>
          <cell r="K2943">
            <v>89.2</v>
          </cell>
          <cell r="N2943">
            <v>21.5</v>
          </cell>
          <cell r="Q2943" t="str">
            <v>2016_02</v>
          </cell>
        </row>
        <row r="2944">
          <cell r="J2944">
            <v>89</v>
          </cell>
          <cell r="K2944">
            <v>89.2</v>
          </cell>
          <cell r="N2944">
            <v>21.5</v>
          </cell>
          <cell r="Q2944" t="str">
            <v>2016_03</v>
          </cell>
        </row>
        <row r="2945">
          <cell r="J2945">
            <v>89</v>
          </cell>
          <cell r="K2945">
            <v>89.2</v>
          </cell>
          <cell r="N2945">
            <v>21.5</v>
          </cell>
          <cell r="Q2945" t="str">
            <v>2016_04</v>
          </cell>
        </row>
        <row r="2946">
          <cell r="J2946">
            <v>89</v>
          </cell>
          <cell r="K2946">
            <v>89.2</v>
          </cell>
          <cell r="N2946">
            <v>21.5</v>
          </cell>
          <cell r="Q2946" t="str">
            <v>2016_05</v>
          </cell>
        </row>
        <row r="2947">
          <cell r="J2947">
            <v>89</v>
          </cell>
          <cell r="K2947">
            <v>89.2</v>
          </cell>
          <cell r="N2947">
            <v>21.5</v>
          </cell>
          <cell r="Q2947" t="str">
            <v>2016_06</v>
          </cell>
        </row>
        <row r="2948">
          <cell r="J2948">
            <v>89</v>
          </cell>
          <cell r="K2948">
            <v>89.2</v>
          </cell>
          <cell r="N2948">
            <v>21.5</v>
          </cell>
          <cell r="Q2948" t="str">
            <v>2016_07</v>
          </cell>
        </row>
        <row r="2949">
          <cell r="J2949">
            <v>89</v>
          </cell>
          <cell r="K2949">
            <v>89.2</v>
          </cell>
          <cell r="N2949">
            <v>21.5</v>
          </cell>
          <cell r="Q2949" t="str">
            <v>2016_08</v>
          </cell>
        </row>
        <row r="2950">
          <cell r="J2950">
            <v>89</v>
          </cell>
          <cell r="K2950">
            <v>89.2</v>
          </cell>
          <cell r="N2950">
            <v>21.5</v>
          </cell>
          <cell r="Q2950" t="str">
            <v>2016_09</v>
          </cell>
        </row>
        <row r="2951">
          <cell r="J2951">
            <v>86</v>
          </cell>
          <cell r="K2951">
            <v>85.2</v>
          </cell>
          <cell r="N2951">
            <v>157.6</v>
          </cell>
          <cell r="Q2951" t="str">
            <v>2015_10</v>
          </cell>
        </row>
        <row r="2952">
          <cell r="J2952">
            <v>86</v>
          </cell>
          <cell r="K2952">
            <v>85.2</v>
          </cell>
          <cell r="N2952">
            <v>0</v>
          </cell>
          <cell r="Q2952" t="str">
            <v>2015_11</v>
          </cell>
        </row>
        <row r="2953">
          <cell r="J2953">
            <v>86</v>
          </cell>
          <cell r="K2953">
            <v>85.2</v>
          </cell>
          <cell r="N2953">
            <v>315.2</v>
          </cell>
          <cell r="Q2953" t="str">
            <v>2015_12</v>
          </cell>
        </row>
        <row r="2954">
          <cell r="J2954">
            <v>86</v>
          </cell>
          <cell r="K2954">
            <v>85.2</v>
          </cell>
          <cell r="N2954">
            <v>370.44</v>
          </cell>
          <cell r="Q2954" t="str">
            <v>2016_01</v>
          </cell>
        </row>
        <row r="2955">
          <cell r="J2955">
            <v>86</v>
          </cell>
          <cell r="K2955">
            <v>85.2</v>
          </cell>
          <cell r="N2955">
            <v>370.44</v>
          </cell>
          <cell r="Q2955" t="str">
            <v>2016_02</v>
          </cell>
        </row>
        <row r="2956">
          <cell r="J2956">
            <v>86</v>
          </cell>
          <cell r="K2956">
            <v>85.2</v>
          </cell>
          <cell r="N2956">
            <v>370.44</v>
          </cell>
          <cell r="Q2956" t="str">
            <v>2016_03</v>
          </cell>
        </row>
        <row r="2957">
          <cell r="J2957">
            <v>86</v>
          </cell>
          <cell r="K2957">
            <v>85.2</v>
          </cell>
          <cell r="N2957">
            <v>370.44</v>
          </cell>
          <cell r="Q2957" t="str">
            <v>2016_04</v>
          </cell>
        </row>
        <row r="2958">
          <cell r="J2958">
            <v>86</v>
          </cell>
          <cell r="K2958">
            <v>85.2</v>
          </cell>
          <cell r="N2958">
            <v>370.44</v>
          </cell>
          <cell r="Q2958" t="str">
            <v>2016_05</v>
          </cell>
        </row>
        <row r="2959">
          <cell r="J2959">
            <v>86</v>
          </cell>
          <cell r="K2959">
            <v>85.2</v>
          </cell>
          <cell r="N2959">
            <v>370.44</v>
          </cell>
          <cell r="Q2959" t="str">
            <v>2016_06</v>
          </cell>
        </row>
        <row r="2960">
          <cell r="J2960">
            <v>86</v>
          </cell>
          <cell r="K2960">
            <v>85.2</v>
          </cell>
          <cell r="N2960">
            <v>370.44</v>
          </cell>
          <cell r="Q2960" t="str">
            <v>2016_07</v>
          </cell>
        </row>
        <row r="2961">
          <cell r="J2961">
            <v>86</v>
          </cell>
          <cell r="K2961">
            <v>85.2</v>
          </cell>
          <cell r="N2961">
            <v>370.44</v>
          </cell>
          <cell r="Q2961" t="str">
            <v>2016_08</v>
          </cell>
        </row>
        <row r="2962">
          <cell r="J2962">
            <v>86</v>
          </cell>
          <cell r="K2962">
            <v>85.2</v>
          </cell>
          <cell r="N2962">
            <v>370.44</v>
          </cell>
          <cell r="Q2962" t="str">
            <v>2016_09</v>
          </cell>
        </row>
        <row r="2963">
          <cell r="J2963">
            <v>90</v>
          </cell>
          <cell r="K2963">
            <v>90.2</v>
          </cell>
          <cell r="N2963">
            <v>343.3</v>
          </cell>
          <cell r="Q2963" t="str">
            <v>2015_10</v>
          </cell>
        </row>
        <row r="2964">
          <cell r="J2964">
            <v>90</v>
          </cell>
          <cell r="K2964">
            <v>90.2</v>
          </cell>
          <cell r="N2964">
            <v>227.73</v>
          </cell>
          <cell r="Q2964" t="str">
            <v>2015_11</v>
          </cell>
        </row>
        <row r="2965">
          <cell r="J2965">
            <v>90</v>
          </cell>
          <cell r="K2965">
            <v>90.2</v>
          </cell>
          <cell r="N2965">
            <v>216.39</v>
          </cell>
          <cell r="Q2965" t="str">
            <v>2015_12</v>
          </cell>
        </row>
        <row r="2966">
          <cell r="J2966">
            <v>90</v>
          </cell>
          <cell r="K2966">
            <v>90.2</v>
          </cell>
          <cell r="N2966">
            <v>223.77</v>
          </cell>
          <cell r="Q2966" t="str">
            <v>2016_01</v>
          </cell>
        </row>
        <row r="2967">
          <cell r="J2967">
            <v>90</v>
          </cell>
          <cell r="K2967">
            <v>90.2</v>
          </cell>
          <cell r="N2967">
            <v>232.55</v>
          </cell>
          <cell r="Q2967" t="str">
            <v>2016_02</v>
          </cell>
        </row>
        <row r="2968">
          <cell r="J2968">
            <v>90</v>
          </cell>
          <cell r="K2968">
            <v>90.2</v>
          </cell>
          <cell r="N2968">
            <v>233.42</v>
          </cell>
          <cell r="Q2968" t="str">
            <v>2016_03</v>
          </cell>
        </row>
        <row r="2969">
          <cell r="J2969">
            <v>90</v>
          </cell>
          <cell r="K2969">
            <v>90.2</v>
          </cell>
          <cell r="N2969">
            <v>341.96</v>
          </cell>
          <cell r="Q2969" t="str">
            <v>2016_04</v>
          </cell>
        </row>
        <row r="2970">
          <cell r="J2970">
            <v>90</v>
          </cell>
          <cell r="K2970">
            <v>90.2</v>
          </cell>
          <cell r="N2970">
            <v>214.23</v>
          </cell>
          <cell r="Q2970" t="str">
            <v>2016_05</v>
          </cell>
        </row>
        <row r="2971">
          <cell r="J2971">
            <v>90</v>
          </cell>
          <cell r="K2971">
            <v>90.2</v>
          </cell>
          <cell r="N2971">
            <v>232.15</v>
          </cell>
          <cell r="Q2971" t="str">
            <v>2016_06</v>
          </cell>
        </row>
        <row r="2972">
          <cell r="J2972">
            <v>90</v>
          </cell>
          <cell r="K2972">
            <v>90.2</v>
          </cell>
          <cell r="N2972">
            <v>205.91</v>
          </cell>
          <cell r="Q2972" t="str">
            <v>2016_07</v>
          </cell>
        </row>
        <row r="2973">
          <cell r="J2973">
            <v>90</v>
          </cell>
          <cell r="K2973">
            <v>90.2</v>
          </cell>
          <cell r="N2973">
            <v>231.88</v>
          </cell>
          <cell r="Q2973" t="str">
            <v>2016_08</v>
          </cell>
        </row>
        <row r="2974">
          <cell r="J2974">
            <v>90</v>
          </cell>
          <cell r="K2974">
            <v>90.2</v>
          </cell>
          <cell r="N2974">
            <v>346.5</v>
          </cell>
          <cell r="Q2974" t="str">
            <v>2016_09</v>
          </cell>
        </row>
        <row r="2975">
          <cell r="J2975">
            <v>90</v>
          </cell>
          <cell r="K2975">
            <v>90.2</v>
          </cell>
          <cell r="N2975">
            <v>80.28</v>
          </cell>
          <cell r="Q2975" t="str">
            <v>2015_10</v>
          </cell>
        </row>
        <row r="2976">
          <cell r="J2976">
            <v>90</v>
          </cell>
          <cell r="K2976">
            <v>90.2</v>
          </cell>
          <cell r="N2976">
            <v>53.26</v>
          </cell>
          <cell r="Q2976" t="str">
            <v>2015_11</v>
          </cell>
        </row>
        <row r="2977">
          <cell r="J2977">
            <v>90</v>
          </cell>
          <cell r="K2977">
            <v>90.2</v>
          </cell>
          <cell r="N2977">
            <v>50.61</v>
          </cell>
          <cell r="Q2977" t="str">
            <v>2015_12</v>
          </cell>
        </row>
        <row r="2978">
          <cell r="J2978">
            <v>90</v>
          </cell>
          <cell r="K2978">
            <v>90.2</v>
          </cell>
          <cell r="N2978">
            <v>52.33</v>
          </cell>
          <cell r="Q2978" t="str">
            <v>2016_01</v>
          </cell>
        </row>
        <row r="2979">
          <cell r="J2979">
            <v>90</v>
          </cell>
          <cell r="K2979">
            <v>90.2</v>
          </cell>
          <cell r="N2979">
            <v>54.39</v>
          </cell>
          <cell r="Q2979" t="str">
            <v>2016_02</v>
          </cell>
        </row>
        <row r="2980">
          <cell r="J2980">
            <v>90</v>
          </cell>
          <cell r="K2980">
            <v>90.2</v>
          </cell>
          <cell r="N2980">
            <v>54.59</v>
          </cell>
          <cell r="Q2980" t="str">
            <v>2016_03</v>
          </cell>
        </row>
        <row r="2981">
          <cell r="J2981">
            <v>90</v>
          </cell>
          <cell r="K2981">
            <v>90.2</v>
          </cell>
          <cell r="N2981">
            <v>79.97</v>
          </cell>
          <cell r="Q2981" t="str">
            <v>2016_04</v>
          </cell>
        </row>
        <row r="2982">
          <cell r="J2982">
            <v>90</v>
          </cell>
          <cell r="K2982">
            <v>90.2</v>
          </cell>
          <cell r="N2982">
            <v>50.11</v>
          </cell>
          <cell r="Q2982" t="str">
            <v>2016_05</v>
          </cell>
        </row>
        <row r="2983">
          <cell r="J2983">
            <v>90</v>
          </cell>
          <cell r="K2983">
            <v>90.2</v>
          </cell>
          <cell r="N2983">
            <v>54.29</v>
          </cell>
          <cell r="Q2983" t="str">
            <v>2016_06</v>
          </cell>
        </row>
        <row r="2984">
          <cell r="J2984">
            <v>90</v>
          </cell>
          <cell r="K2984">
            <v>90.2</v>
          </cell>
          <cell r="N2984">
            <v>48.16</v>
          </cell>
          <cell r="Q2984" t="str">
            <v>2016_07</v>
          </cell>
        </row>
        <row r="2985">
          <cell r="J2985">
            <v>90</v>
          </cell>
          <cell r="K2985">
            <v>90.2</v>
          </cell>
          <cell r="N2985">
            <v>54.23</v>
          </cell>
          <cell r="Q2985" t="str">
            <v>2016_08</v>
          </cell>
        </row>
        <row r="2986">
          <cell r="J2986">
            <v>90</v>
          </cell>
          <cell r="K2986">
            <v>90.2</v>
          </cell>
          <cell r="N2986">
            <v>81.03</v>
          </cell>
          <cell r="Q2986" t="str">
            <v>2016_09</v>
          </cell>
        </row>
        <row r="2987">
          <cell r="J2987">
            <v>90</v>
          </cell>
          <cell r="K2987">
            <v>90.2</v>
          </cell>
          <cell r="N2987">
            <v>21.66</v>
          </cell>
          <cell r="Q2987" t="str">
            <v>2016_01</v>
          </cell>
        </row>
        <row r="2988">
          <cell r="J2988">
            <v>90</v>
          </cell>
          <cell r="K2988">
            <v>90.2</v>
          </cell>
          <cell r="N2988">
            <v>20.350000000000001</v>
          </cell>
          <cell r="Q2988" t="str">
            <v>2016_02</v>
          </cell>
        </row>
        <row r="2989">
          <cell r="J2989">
            <v>90</v>
          </cell>
          <cell r="K2989">
            <v>90.2</v>
          </cell>
          <cell r="N2989">
            <v>0</v>
          </cell>
          <cell r="Q2989" t="str">
            <v>2016_03</v>
          </cell>
        </row>
        <row r="2990">
          <cell r="J2990">
            <v>90</v>
          </cell>
          <cell r="K2990">
            <v>90.2</v>
          </cell>
          <cell r="N2990">
            <v>0</v>
          </cell>
          <cell r="Q2990" t="str">
            <v>2016_04</v>
          </cell>
        </row>
        <row r="2991">
          <cell r="J2991">
            <v>90</v>
          </cell>
          <cell r="K2991">
            <v>90.2</v>
          </cell>
          <cell r="N2991">
            <v>0</v>
          </cell>
          <cell r="Q2991" t="str">
            <v>2016_05</v>
          </cell>
        </row>
        <row r="2992">
          <cell r="J2992">
            <v>90</v>
          </cell>
          <cell r="K2992">
            <v>90.2</v>
          </cell>
          <cell r="N2992">
            <v>0</v>
          </cell>
          <cell r="Q2992" t="str">
            <v>2016_06</v>
          </cell>
        </row>
        <row r="2993">
          <cell r="J2993">
            <v>90</v>
          </cell>
          <cell r="K2993">
            <v>90.2</v>
          </cell>
          <cell r="N2993">
            <v>0</v>
          </cell>
          <cell r="Q2993" t="str">
            <v>2016_07</v>
          </cell>
        </row>
        <row r="2994">
          <cell r="J2994">
            <v>90</v>
          </cell>
          <cell r="K2994">
            <v>90.2</v>
          </cell>
          <cell r="N2994">
            <v>0</v>
          </cell>
          <cell r="Q2994" t="str">
            <v>2016_08</v>
          </cell>
        </row>
        <row r="2995">
          <cell r="J2995">
            <v>90</v>
          </cell>
          <cell r="K2995">
            <v>90.2</v>
          </cell>
          <cell r="N2995">
            <v>0</v>
          </cell>
          <cell r="Q2995" t="str">
            <v>2016_09</v>
          </cell>
        </row>
        <row r="2996">
          <cell r="J2996">
            <v>90</v>
          </cell>
          <cell r="K2996">
            <v>90.2</v>
          </cell>
          <cell r="N2996">
            <v>23.01</v>
          </cell>
          <cell r="Q2996" t="str">
            <v>2015_10</v>
          </cell>
        </row>
        <row r="2997">
          <cell r="J2997">
            <v>90</v>
          </cell>
          <cell r="K2997">
            <v>90.2</v>
          </cell>
          <cell r="N2997">
            <v>15.42</v>
          </cell>
          <cell r="Q2997" t="str">
            <v>2015_11</v>
          </cell>
        </row>
        <row r="2998">
          <cell r="J2998">
            <v>90</v>
          </cell>
          <cell r="K2998">
            <v>90.2</v>
          </cell>
          <cell r="N2998">
            <v>7.01</v>
          </cell>
          <cell r="Q2998" t="str">
            <v>2015_12</v>
          </cell>
        </row>
        <row r="2999">
          <cell r="J2999">
            <v>90</v>
          </cell>
          <cell r="K2999">
            <v>90.2</v>
          </cell>
          <cell r="N2999">
            <v>13.78</v>
          </cell>
          <cell r="Q2999" t="str">
            <v>2016_01</v>
          </cell>
        </row>
        <row r="3000">
          <cell r="J3000">
            <v>90</v>
          </cell>
          <cell r="K3000">
            <v>90.2</v>
          </cell>
          <cell r="N3000">
            <v>13.87</v>
          </cell>
          <cell r="Q3000" t="str">
            <v>2016_02</v>
          </cell>
        </row>
        <row r="3001">
          <cell r="J3001">
            <v>90</v>
          </cell>
          <cell r="K3001">
            <v>90.2</v>
          </cell>
          <cell r="N3001">
            <v>13.33</v>
          </cell>
          <cell r="Q3001" t="str">
            <v>2016_03</v>
          </cell>
        </row>
        <row r="3002">
          <cell r="J3002">
            <v>90</v>
          </cell>
          <cell r="K3002">
            <v>90.2</v>
          </cell>
          <cell r="N3002">
            <v>20.11</v>
          </cell>
          <cell r="Q3002" t="str">
            <v>2016_04</v>
          </cell>
        </row>
        <row r="3003">
          <cell r="J3003">
            <v>90</v>
          </cell>
          <cell r="K3003">
            <v>90.2</v>
          </cell>
          <cell r="N3003">
            <v>12.19</v>
          </cell>
          <cell r="Q3003" t="str">
            <v>2016_05</v>
          </cell>
        </row>
        <row r="3004">
          <cell r="J3004">
            <v>90</v>
          </cell>
          <cell r="K3004">
            <v>90.2</v>
          </cell>
          <cell r="N3004">
            <v>13.85</v>
          </cell>
          <cell r="Q3004" t="str">
            <v>2016_06</v>
          </cell>
        </row>
        <row r="3005">
          <cell r="J3005">
            <v>90</v>
          </cell>
          <cell r="K3005">
            <v>90.2</v>
          </cell>
          <cell r="N3005">
            <v>12.22</v>
          </cell>
          <cell r="Q3005" t="str">
            <v>2016_07</v>
          </cell>
        </row>
        <row r="3006">
          <cell r="J3006">
            <v>90</v>
          </cell>
          <cell r="K3006">
            <v>90.2</v>
          </cell>
          <cell r="N3006">
            <v>13.76</v>
          </cell>
          <cell r="Q3006" t="str">
            <v>2016_08</v>
          </cell>
        </row>
        <row r="3007">
          <cell r="J3007">
            <v>90</v>
          </cell>
          <cell r="K3007">
            <v>90.2</v>
          </cell>
          <cell r="N3007">
            <v>19.71</v>
          </cell>
          <cell r="Q3007" t="str">
            <v>2016_09</v>
          </cell>
        </row>
        <row r="3008">
          <cell r="J3008">
            <v>88</v>
          </cell>
          <cell r="K3008">
            <v>90.2</v>
          </cell>
          <cell r="N3008">
            <v>19.739999999999998</v>
          </cell>
          <cell r="Q3008" t="str">
            <v>2015_10</v>
          </cell>
        </row>
        <row r="3009">
          <cell r="J3009">
            <v>88</v>
          </cell>
          <cell r="K3009">
            <v>90.2</v>
          </cell>
          <cell r="N3009">
            <v>13.23</v>
          </cell>
          <cell r="Q3009" t="str">
            <v>2015_11</v>
          </cell>
        </row>
        <row r="3010">
          <cell r="J3010">
            <v>88</v>
          </cell>
          <cell r="K3010">
            <v>90.2</v>
          </cell>
          <cell r="N3010">
            <v>12</v>
          </cell>
          <cell r="Q3010" t="str">
            <v>2015_12</v>
          </cell>
        </row>
        <row r="3011">
          <cell r="J3011">
            <v>88</v>
          </cell>
          <cell r="K3011">
            <v>90.2</v>
          </cell>
          <cell r="N3011">
            <v>11.22</v>
          </cell>
          <cell r="Q3011" t="str">
            <v>2016_01</v>
          </cell>
        </row>
        <row r="3012">
          <cell r="J3012">
            <v>88</v>
          </cell>
          <cell r="K3012">
            <v>90.2</v>
          </cell>
          <cell r="N3012">
            <v>13.48</v>
          </cell>
          <cell r="Q3012" t="str">
            <v>2016_02</v>
          </cell>
        </row>
        <row r="3013">
          <cell r="J3013">
            <v>88</v>
          </cell>
          <cell r="K3013">
            <v>90.2</v>
          </cell>
          <cell r="N3013">
            <v>11.92</v>
          </cell>
          <cell r="Q3013" t="str">
            <v>2016_03</v>
          </cell>
        </row>
        <row r="3014">
          <cell r="J3014">
            <v>88</v>
          </cell>
          <cell r="K3014">
            <v>90.2</v>
          </cell>
          <cell r="N3014">
            <v>19.97</v>
          </cell>
          <cell r="Q3014" t="str">
            <v>2016_04</v>
          </cell>
        </row>
        <row r="3015">
          <cell r="J3015">
            <v>88</v>
          </cell>
          <cell r="K3015">
            <v>90.2</v>
          </cell>
          <cell r="N3015">
            <v>12.78</v>
          </cell>
          <cell r="Q3015" t="str">
            <v>2016_05</v>
          </cell>
        </row>
        <row r="3016">
          <cell r="J3016">
            <v>88</v>
          </cell>
          <cell r="K3016">
            <v>90.2</v>
          </cell>
          <cell r="N3016">
            <v>12.24</v>
          </cell>
          <cell r="Q3016" t="str">
            <v>2016_06</v>
          </cell>
        </row>
        <row r="3017">
          <cell r="J3017">
            <v>88</v>
          </cell>
          <cell r="K3017">
            <v>90.2</v>
          </cell>
          <cell r="N3017">
            <v>12.32</v>
          </cell>
          <cell r="Q3017" t="str">
            <v>2016_07</v>
          </cell>
        </row>
        <row r="3018">
          <cell r="J3018">
            <v>88</v>
          </cell>
          <cell r="K3018">
            <v>90.2</v>
          </cell>
          <cell r="N3018">
            <v>14.07</v>
          </cell>
          <cell r="Q3018" t="str">
            <v>2016_08</v>
          </cell>
        </row>
        <row r="3019">
          <cell r="J3019">
            <v>88</v>
          </cell>
          <cell r="K3019">
            <v>90.2</v>
          </cell>
          <cell r="N3019">
            <v>19.82</v>
          </cell>
          <cell r="Q3019" t="str">
            <v>2016_09</v>
          </cell>
        </row>
        <row r="3020">
          <cell r="J3020">
            <v>87</v>
          </cell>
          <cell r="K3020">
            <v>87.2</v>
          </cell>
          <cell r="N3020">
            <v>1016.97</v>
          </cell>
          <cell r="Q3020" t="str">
            <v>2015_10</v>
          </cell>
        </row>
        <row r="3021">
          <cell r="J3021">
            <v>87</v>
          </cell>
          <cell r="K3021">
            <v>87.2</v>
          </cell>
          <cell r="N3021">
            <v>734.48</v>
          </cell>
          <cell r="Q3021" t="str">
            <v>2015_11</v>
          </cell>
        </row>
        <row r="3022">
          <cell r="J3022">
            <v>87</v>
          </cell>
          <cell r="K3022">
            <v>87.2</v>
          </cell>
          <cell r="N3022">
            <v>2185.42</v>
          </cell>
          <cell r="Q3022" t="str">
            <v>2015_12</v>
          </cell>
        </row>
        <row r="3023">
          <cell r="J3023">
            <v>87</v>
          </cell>
          <cell r="K3023">
            <v>87.2</v>
          </cell>
          <cell r="N3023">
            <v>1115.1199999999999</v>
          </cell>
          <cell r="Q3023" t="str">
            <v>2016_01</v>
          </cell>
        </row>
        <row r="3024">
          <cell r="J3024">
            <v>87</v>
          </cell>
          <cell r="K3024">
            <v>87.2</v>
          </cell>
          <cell r="N3024">
            <v>1115.1199999999999</v>
          </cell>
          <cell r="Q3024" t="str">
            <v>2016_02</v>
          </cell>
        </row>
        <row r="3025">
          <cell r="J3025">
            <v>87</v>
          </cell>
          <cell r="K3025">
            <v>87.2</v>
          </cell>
          <cell r="N3025">
            <v>1115.1199999999999</v>
          </cell>
          <cell r="Q3025" t="str">
            <v>2016_03</v>
          </cell>
        </row>
        <row r="3026">
          <cell r="J3026">
            <v>87</v>
          </cell>
          <cell r="K3026">
            <v>87.2</v>
          </cell>
          <cell r="N3026">
            <v>1115.1199999999999</v>
          </cell>
          <cell r="Q3026" t="str">
            <v>2016_04</v>
          </cell>
        </row>
        <row r="3027">
          <cell r="J3027">
            <v>87</v>
          </cell>
          <cell r="K3027">
            <v>87.2</v>
          </cell>
          <cell r="N3027">
            <v>1115.1199999999999</v>
          </cell>
          <cell r="Q3027" t="str">
            <v>2016_05</v>
          </cell>
        </row>
        <row r="3028">
          <cell r="J3028">
            <v>87</v>
          </cell>
          <cell r="K3028">
            <v>87.2</v>
          </cell>
          <cell r="N3028">
            <v>1115.1199999999999</v>
          </cell>
          <cell r="Q3028" t="str">
            <v>2016_06</v>
          </cell>
        </row>
        <row r="3029">
          <cell r="J3029">
            <v>87</v>
          </cell>
          <cell r="K3029">
            <v>87.2</v>
          </cell>
          <cell r="N3029">
            <v>1115.1199999999999</v>
          </cell>
          <cell r="Q3029" t="str">
            <v>2016_07</v>
          </cell>
        </row>
        <row r="3030">
          <cell r="J3030">
            <v>87</v>
          </cell>
          <cell r="K3030">
            <v>87.2</v>
          </cell>
          <cell r="N3030">
            <v>2415.4299999999998</v>
          </cell>
          <cell r="Q3030" t="str">
            <v>2016_08</v>
          </cell>
        </row>
        <row r="3031">
          <cell r="J3031">
            <v>87</v>
          </cell>
          <cell r="K3031">
            <v>87.2</v>
          </cell>
          <cell r="N3031">
            <v>2415.4299999999998</v>
          </cell>
          <cell r="Q3031" t="str">
            <v>2016_09</v>
          </cell>
        </row>
        <row r="3032">
          <cell r="J3032">
            <v>89</v>
          </cell>
          <cell r="K3032">
            <v>89.2</v>
          </cell>
          <cell r="N3032">
            <v>650.49</v>
          </cell>
          <cell r="Q3032" t="str">
            <v>2015_10</v>
          </cell>
        </row>
        <row r="3033">
          <cell r="J3033">
            <v>89</v>
          </cell>
          <cell r="K3033">
            <v>89.2</v>
          </cell>
          <cell r="N3033">
            <v>433.66</v>
          </cell>
          <cell r="Q3033" t="str">
            <v>2015_11</v>
          </cell>
        </row>
        <row r="3034">
          <cell r="J3034">
            <v>89</v>
          </cell>
          <cell r="K3034">
            <v>89.2</v>
          </cell>
          <cell r="N3034">
            <v>433.66</v>
          </cell>
          <cell r="Q3034" t="str">
            <v>2015_12</v>
          </cell>
        </row>
        <row r="3035">
          <cell r="J3035">
            <v>89</v>
          </cell>
          <cell r="K3035">
            <v>89.2</v>
          </cell>
          <cell r="N3035">
            <v>439.07</v>
          </cell>
          <cell r="Q3035" t="str">
            <v>2016_01</v>
          </cell>
        </row>
        <row r="3036">
          <cell r="J3036">
            <v>89</v>
          </cell>
          <cell r="K3036">
            <v>89.2</v>
          </cell>
          <cell r="N3036">
            <v>444.48</v>
          </cell>
          <cell r="Q3036" t="str">
            <v>2016_02</v>
          </cell>
        </row>
        <row r="3037">
          <cell r="J3037">
            <v>89</v>
          </cell>
          <cell r="K3037">
            <v>89.2</v>
          </cell>
          <cell r="N3037">
            <v>444.48</v>
          </cell>
          <cell r="Q3037" t="str">
            <v>2016_03</v>
          </cell>
        </row>
        <row r="3038">
          <cell r="J3038">
            <v>89</v>
          </cell>
          <cell r="K3038">
            <v>89.2</v>
          </cell>
          <cell r="N3038">
            <v>666.72</v>
          </cell>
          <cell r="Q3038" t="str">
            <v>2016_04</v>
          </cell>
        </row>
        <row r="3039">
          <cell r="J3039">
            <v>89</v>
          </cell>
          <cell r="K3039">
            <v>89.2</v>
          </cell>
          <cell r="N3039">
            <v>444.48</v>
          </cell>
          <cell r="Q3039" t="str">
            <v>2016_05</v>
          </cell>
        </row>
        <row r="3040">
          <cell r="J3040">
            <v>89</v>
          </cell>
          <cell r="K3040">
            <v>89.2</v>
          </cell>
          <cell r="N3040">
            <v>444.48</v>
          </cell>
          <cell r="Q3040" t="str">
            <v>2016_06</v>
          </cell>
        </row>
        <row r="3041">
          <cell r="J3041">
            <v>89</v>
          </cell>
          <cell r="K3041">
            <v>89.2</v>
          </cell>
          <cell r="N3041">
            <v>704.64</v>
          </cell>
          <cell r="Q3041" t="str">
            <v>2016_07</v>
          </cell>
        </row>
        <row r="3042">
          <cell r="J3042">
            <v>89</v>
          </cell>
          <cell r="K3042">
            <v>89.2</v>
          </cell>
          <cell r="N3042">
            <v>721.4</v>
          </cell>
          <cell r="Q3042" t="str">
            <v>2016_08</v>
          </cell>
        </row>
        <row r="3043">
          <cell r="J3043">
            <v>89</v>
          </cell>
          <cell r="K3043">
            <v>89.2</v>
          </cell>
          <cell r="N3043">
            <v>1082.0999999999999</v>
          </cell>
          <cell r="Q3043" t="str">
            <v>2016_09</v>
          </cell>
        </row>
        <row r="3044">
          <cell r="J3044">
            <v>89</v>
          </cell>
          <cell r="K3044">
            <v>89.2</v>
          </cell>
          <cell r="N3044">
            <v>64.5</v>
          </cell>
          <cell r="Q3044" t="str">
            <v>2015_10</v>
          </cell>
        </row>
        <row r="3045">
          <cell r="J3045">
            <v>89</v>
          </cell>
          <cell r="K3045">
            <v>89.2</v>
          </cell>
          <cell r="N3045">
            <v>64.5</v>
          </cell>
          <cell r="Q3045" t="str">
            <v>2015_11</v>
          </cell>
        </row>
        <row r="3046">
          <cell r="J3046">
            <v>89</v>
          </cell>
          <cell r="K3046">
            <v>89.2</v>
          </cell>
          <cell r="N3046">
            <v>64.5</v>
          </cell>
          <cell r="Q3046" t="str">
            <v>2015_12</v>
          </cell>
        </row>
        <row r="3047">
          <cell r="J3047">
            <v>89</v>
          </cell>
          <cell r="K3047">
            <v>89.2</v>
          </cell>
          <cell r="N3047">
            <v>64.5</v>
          </cell>
          <cell r="Q3047" t="str">
            <v>2016_01</v>
          </cell>
        </row>
        <row r="3048">
          <cell r="J3048">
            <v>89</v>
          </cell>
          <cell r="K3048">
            <v>89.2</v>
          </cell>
          <cell r="N3048">
            <v>75.25</v>
          </cell>
          <cell r="Q3048" t="str">
            <v>2016_02</v>
          </cell>
        </row>
        <row r="3049">
          <cell r="J3049">
            <v>89</v>
          </cell>
          <cell r="K3049">
            <v>89.2</v>
          </cell>
          <cell r="N3049">
            <v>75.25</v>
          </cell>
          <cell r="Q3049" t="str">
            <v>2016_03</v>
          </cell>
        </row>
        <row r="3050">
          <cell r="J3050">
            <v>89</v>
          </cell>
          <cell r="K3050">
            <v>89.2</v>
          </cell>
          <cell r="N3050">
            <v>75.25</v>
          </cell>
          <cell r="Q3050" t="str">
            <v>2016_04</v>
          </cell>
        </row>
        <row r="3051">
          <cell r="J3051">
            <v>89</v>
          </cell>
          <cell r="K3051">
            <v>89.2</v>
          </cell>
          <cell r="N3051">
            <v>75.25</v>
          </cell>
          <cell r="Q3051" t="str">
            <v>2016_05</v>
          </cell>
        </row>
        <row r="3052">
          <cell r="J3052">
            <v>89</v>
          </cell>
          <cell r="K3052">
            <v>89.2</v>
          </cell>
          <cell r="N3052">
            <v>75.25</v>
          </cell>
          <cell r="Q3052" t="str">
            <v>2016_06</v>
          </cell>
        </row>
        <row r="3053">
          <cell r="J3053">
            <v>89</v>
          </cell>
          <cell r="K3053">
            <v>89.2</v>
          </cell>
          <cell r="N3053">
            <v>75.25</v>
          </cell>
          <cell r="Q3053" t="str">
            <v>2016_07</v>
          </cell>
        </row>
        <row r="3054">
          <cell r="J3054">
            <v>89</v>
          </cell>
          <cell r="K3054">
            <v>89.2</v>
          </cell>
          <cell r="N3054">
            <v>75.25</v>
          </cell>
          <cell r="Q3054" t="str">
            <v>2016_08</v>
          </cell>
        </row>
        <row r="3055">
          <cell r="J3055">
            <v>89</v>
          </cell>
          <cell r="K3055">
            <v>89.2</v>
          </cell>
          <cell r="N3055">
            <v>129</v>
          </cell>
          <cell r="Q3055" t="str">
            <v>2016_09</v>
          </cell>
        </row>
        <row r="3056">
          <cell r="J3056">
            <v>86</v>
          </cell>
          <cell r="K3056">
            <v>85.2</v>
          </cell>
          <cell r="N3056">
            <v>1878.04</v>
          </cell>
          <cell r="Q3056" t="str">
            <v>2015_10</v>
          </cell>
        </row>
        <row r="3057">
          <cell r="J3057">
            <v>86</v>
          </cell>
          <cell r="K3057">
            <v>85.2</v>
          </cell>
          <cell r="N3057">
            <v>0</v>
          </cell>
          <cell r="Q3057" t="str">
            <v>2015_11</v>
          </cell>
        </row>
        <row r="3058">
          <cell r="J3058">
            <v>86</v>
          </cell>
          <cell r="K3058">
            <v>85.2</v>
          </cell>
          <cell r="N3058">
            <v>0</v>
          </cell>
          <cell r="Q3058" t="str">
            <v>2015_12</v>
          </cell>
        </row>
        <row r="3059">
          <cell r="J3059">
            <v>86</v>
          </cell>
          <cell r="K3059">
            <v>85.2</v>
          </cell>
          <cell r="N3059">
            <v>847.06</v>
          </cell>
          <cell r="Q3059" t="str">
            <v>2016_01</v>
          </cell>
        </row>
        <row r="3060">
          <cell r="J3060">
            <v>86</v>
          </cell>
          <cell r="K3060">
            <v>85.2</v>
          </cell>
          <cell r="N3060">
            <v>847.06</v>
          </cell>
          <cell r="Q3060" t="str">
            <v>2016_02</v>
          </cell>
        </row>
        <row r="3061">
          <cell r="J3061">
            <v>86</v>
          </cell>
          <cell r="K3061">
            <v>85.2</v>
          </cell>
          <cell r="N3061">
            <v>847.06</v>
          </cell>
          <cell r="Q3061" t="str">
            <v>2016_03</v>
          </cell>
        </row>
        <row r="3062">
          <cell r="J3062">
            <v>86</v>
          </cell>
          <cell r="K3062">
            <v>85.2</v>
          </cell>
          <cell r="N3062">
            <v>847.06</v>
          </cell>
          <cell r="Q3062" t="str">
            <v>2016_04</v>
          </cell>
        </row>
        <row r="3063">
          <cell r="J3063">
            <v>86</v>
          </cell>
          <cell r="K3063">
            <v>85.2</v>
          </cell>
          <cell r="N3063">
            <v>847.06</v>
          </cell>
          <cell r="Q3063" t="str">
            <v>2016_05</v>
          </cell>
        </row>
        <row r="3064">
          <cell r="J3064">
            <v>86</v>
          </cell>
          <cell r="K3064">
            <v>85.2</v>
          </cell>
          <cell r="N3064">
            <v>847.06</v>
          </cell>
          <cell r="Q3064" t="str">
            <v>2016_06</v>
          </cell>
        </row>
        <row r="3065">
          <cell r="J3065">
            <v>86</v>
          </cell>
          <cell r="K3065">
            <v>85.2</v>
          </cell>
          <cell r="N3065">
            <v>847.06</v>
          </cell>
          <cell r="Q3065" t="str">
            <v>2016_07</v>
          </cell>
        </row>
        <row r="3066">
          <cell r="J3066">
            <v>86</v>
          </cell>
          <cell r="K3066">
            <v>85.2</v>
          </cell>
          <cell r="N3066">
            <v>847.06</v>
          </cell>
          <cell r="Q3066" t="str">
            <v>2016_08</v>
          </cell>
        </row>
        <row r="3067">
          <cell r="J3067">
            <v>86</v>
          </cell>
          <cell r="K3067">
            <v>85.2</v>
          </cell>
          <cell r="N3067">
            <v>847.06</v>
          </cell>
          <cell r="Q3067" t="str">
            <v>2016_09</v>
          </cell>
        </row>
        <row r="3068">
          <cell r="J3068">
            <v>90</v>
          </cell>
          <cell r="K3068">
            <v>90.2</v>
          </cell>
          <cell r="N3068">
            <v>1235.83</v>
          </cell>
          <cell r="Q3068" t="str">
            <v>2015_10</v>
          </cell>
        </row>
        <row r="3069">
          <cell r="J3069">
            <v>90</v>
          </cell>
          <cell r="K3069">
            <v>90.2</v>
          </cell>
          <cell r="N3069">
            <v>852.5</v>
          </cell>
          <cell r="Q3069" t="str">
            <v>2015_11</v>
          </cell>
        </row>
        <row r="3070">
          <cell r="J3070">
            <v>90</v>
          </cell>
          <cell r="K3070">
            <v>90.2</v>
          </cell>
          <cell r="N3070">
            <v>1038.5</v>
          </cell>
          <cell r="Q3070" t="str">
            <v>2015_12</v>
          </cell>
        </row>
        <row r="3071">
          <cell r="J3071">
            <v>90</v>
          </cell>
          <cell r="K3071">
            <v>90.2</v>
          </cell>
          <cell r="N3071">
            <v>863.12</v>
          </cell>
          <cell r="Q3071" t="str">
            <v>2016_01</v>
          </cell>
        </row>
        <row r="3072">
          <cell r="J3072">
            <v>90</v>
          </cell>
          <cell r="K3072">
            <v>90.2</v>
          </cell>
          <cell r="N3072">
            <v>873.76</v>
          </cell>
          <cell r="Q3072" t="str">
            <v>2016_02</v>
          </cell>
        </row>
        <row r="3073">
          <cell r="J3073">
            <v>90</v>
          </cell>
          <cell r="K3073">
            <v>90.2</v>
          </cell>
          <cell r="N3073">
            <v>873.75</v>
          </cell>
          <cell r="Q3073" t="str">
            <v>2016_03</v>
          </cell>
        </row>
        <row r="3074">
          <cell r="J3074">
            <v>90</v>
          </cell>
          <cell r="K3074">
            <v>90.2</v>
          </cell>
          <cell r="N3074">
            <v>1310.6400000000001</v>
          </cell>
          <cell r="Q3074" t="str">
            <v>2016_04</v>
          </cell>
        </row>
        <row r="3075">
          <cell r="J3075">
            <v>90</v>
          </cell>
          <cell r="K3075">
            <v>90.2</v>
          </cell>
          <cell r="N3075">
            <v>939.33</v>
          </cell>
          <cell r="Q3075" t="str">
            <v>2016_05</v>
          </cell>
        </row>
        <row r="3076">
          <cell r="J3076">
            <v>90</v>
          </cell>
          <cell r="K3076">
            <v>90.2</v>
          </cell>
          <cell r="N3076">
            <v>1384.06</v>
          </cell>
          <cell r="Q3076" t="str">
            <v>2016_06</v>
          </cell>
        </row>
        <row r="3077">
          <cell r="J3077">
            <v>90</v>
          </cell>
          <cell r="K3077">
            <v>90.2</v>
          </cell>
          <cell r="N3077">
            <v>1636.68</v>
          </cell>
          <cell r="Q3077" t="str">
            <v>2016_07</v>
          </cell>
        </row>
        <row r="3078">
          <cell r="J3078">
            <v>90</v>
          </cell>
          <cell r="K3078">
            <v>90.2</v>
          </cell>
          <cell r="N3078">
            <v>1770.58</v>
          </cell>
          <cell r="Q3078" t="str">
            <v>2016_08</v>
          </cell>
        </row>
        <row r="3079">
          <cell r="J3079">
            <v>90</v>
          </cell>
          <cell r="K3079">
            <v>90.2</v>
          </cell>
          <cell r="N3079">
            <v>2665.79</v>
          </cell>
          <cell r="Q3079" t="str">
            <v>2016_09</v>
          </cell>
        </row>
        <row r="3080">
          <cell r="J3080">
            <v>90</v>
          </cell>
          <cell r="K3080">
            <v>90.2</v>
          </cell>
          <cell r="N3080">
            <v>289.02</v>
          </cell>
          <cell r="Q3080" t="str">
            <v>2015_10</v>
          </cell>
        </row>
        <row r="3081">
          <cell r="J3081">
            <v>90</v>
          </cell>
          <cell r="K3081">
            <v>90.2</v>
          </cell>
          <cell r="N3081">
            <v>199.38</v>
          </cell>
          <cell r="Q3081" t="str">
            <v>2015_11</v>
          </cell>
        </row>
        <row r="3082">
          <cell r="J3082">
            <v>90</v>
          </cell>
          <cell r="K3082">
            <v>90.2</v>
          </cell>
          <cell r="N3082">
            <v>242.88</v>
          </cell>
          <cell r="Q3082" t="str">
            <v>2015_12</v>
          </cell>
        </row>
        <row r="3083">
          <cell r="J3083">
            <v>90</v>
          </cell>
          <cell r="K3083">
            <v>90.2</v>
          </cell>
          <cell r="N3083">
            <v>201.86</v>
          </cell>
          <cell r="Q3083" t="str">
            <v>2016_01</v>
          </cell>
        </row>
        <row r="3084">
          <cell r="J3084">
            <v>90</v>
          </cell>
          <cell r="K3084">
            <v>90.2</v>
          </cell>
          <cell r="N3084">
            <v>204.35</v>
          </cell>
          <cell r="Q3084" t="str">
            <v>2016_02</v>
          </cell>
        </row>
        <row r="3085">
          <cell r="J3085">
            <v>90</v>
          </cell>
          <cell r="K3085">
            <v>90.2</v>
          </cell>
          <cell r="N3085">
            <v>204.34</v>
          </cell>
          <cell r="Q3085" t="str">
            <v>2016_03</v>
          </cell>
        </row>
        <row r="3086">
          <cell r="J3086">
            <v>90</v>
          </cell>
          <cell r="K3086">
            <v>90.2</v>
          </cell>
          <cell r="N3086">
            <v>306.52</v>
          </cell>
          <cell r="Q3086" t="str">
            <v>2016_04</v>
          </cell>
        </row>
        <row r="3087">
          <cell r="J3087">
            <v>90</v>
          </cell>
          <cell r="K3087">
            <v>90.2</v>
          </cell>
          <cell r="N3087">
            <v>219.69</v>
          </cell>
          <cell r="Q3087" t="str">
            <v>2016_05</v>
          </cell>
        </row>
        <row r="3088">
          <cell r="J3088">
            <v>90</v>
          </cell>
          <cell r="K3088">
            <v>90.2</v>
          </cell>
          <cell r="N3088">
            <v>323.68</v>
          </cell>
          <cell r="Q3088" t="str">
            <v>2016_06</v>
          </cell>
        </row>
        <row r="3089">
          <cell r="J3089">
            <v>90</v>
          </cell>
          <cell r="K3089">
            <v>90.2</v>
          </cell>
          <cell r="N3089">
            <v>382.77</v>
          </cell>
          <cell r="Q3089" t="str">
            <v>2016_07</v>
          </cell>
        </row>
        <row r="3090">
          <cell r="J3090">
            <v>90</v>
          </cell>
          <cell r="K3090">
            <v>90.2</v>
          </cell>
          <cell r="N3090">
            <v>414.09</v>
          </cell>
          <cell r="Q3090" t="str">
            <v>2016_08</v>
          </cell>
        </row>
        <row r="3091">
          <cell r="J3091">
            <v>90</v>
          </cell>
          <cell r="K3091">
            <v>90.2</v>
          </cell>
          <cell r="N3091">
            <v>623.46</v>
          </cell>
          <cell r="Q3091" t="str">
            <v>2016_09</v>
          </cell>
        </row>
        <row r="3092">
          <cell r="J3092">
            <v>90</v>
          </cell>
          <cell r="K3092">
            <v>90.2</v>
          </cell>
          <cell r="N3092">
            <v>72.84</v>
          </cell>
          <cell r="Q3092" t="str">
            <v>2016_01</v>
          </cell>
        </row>
        <row r="3093">
          <cell r="J3093">
            <v>90</v>
          </cell>
          <cell r="K3093">
            <v>90.2</v>
          </cell>
          <cell r="N3093">
            <v>11.16</v>
          </cell>
          <cell r="Q3093" t="str">
            <v>2016_02</v>
          </cell>
        </row>
        <row r="3094">
          <cell r="J3094">
            <v>90</v>
          </cell>
          <cell r="K3094">
            <v>90.2</v>
          </cell>
          <cell r="N3094">
            <v>0</v>
          </cell>
          <cell r="Q3094" t="str">
            <v>2016_03</v>
          </cell>
        </row>
        <row r="3095">
          <cell r="J3095">
            <v>90</v>
          </cell>
          <cell r="K3095">
            <v>90.2</v>
          </cell>
          <cell r="N3095">
            <v>0</v>
          </cell>
          <cell r="Q3095" t="str">
            <v>2016_04</v>
          </cell>
        </row>
        <row r="3096">
          <cell r="J3096">
            <v>90</v>
          </cell>
          <cell r="K3096">
            <v>90.2</v>
          </cell>
          <cell r="N3096">
            <v>6.35</v>
          </cell>
          <cell r="Q3096" t="str">
            <v>2016_05</v>
          </cell>
        </row>
        <row r="3097">
          <cell r="J3097">
            <v>90</v>
          </cell>
          <cell r="K3097">
            <v>90.2</v>
          </cell>
          <cell r="N3097">
            <v>49.38</v>
          </cell>
          <cell r="Q3097" t="str">
            <v>2016_06</v>
          </cell>
        </row>
        <row r="3098">
          <cell r="J3098">
            <v>90</v>
          </cell>
          <cell r="K3098">
            <v>90.2</v>
          </cell>
          <cell r="N3098">
            <v>33.450000000000003</v>
          </cell>
          <cell r="Q3098" t="str">
            <v>2016_07</v>
          </cell>
        </row>
        <row r="3099">
          <cell r="J3099">
            <v>90</v>
          </cell>
          <cell r="K3099">
            <v>90.2</v>
          </cell>
          <cell r="N3099">
            <v>22.47</v>
          </cell>
          <cell r="Q3099" t="str">
            <v>2016_08</v>
          </cell>
        </row>
        <row r="3100">
          <cell r="J3100">
            <v>90</v>
          </cell>
          <cell r="K3100">
            <v>90.2</v>
          </cell>
          <cell r="N3100">
            <v>14.35</v>
          </cell>
          <cell r="Q3100" t="str">
            <v>2016_09</v>
          </cell>
        </row>
        <row r="3101">
          <cell r="J3101">
            <v>90</v>
          </cell>
          <cell r="K3101">
            <v>90.2</v>
          </cell>
          <cell r="N3101">
            <v>29.07</v>
          </cell>
          <cell r="Q3101" t="str">
            <v>2015_10</v>
          </cell>
        </row>
        <row r="3102">
          <cell r="J3102">
            <v>90</v>
          </cell>
          <cell r="K3102">
            <v>90.2</v>
          </cell>
          <cell r="N3102">
            <v>21.32</v>
          </cell>
          <cell r="Q3102" t="str">
            <v>2015_11</v>
          </cell>
        </row>
        <row r="3103">
          <cell r="J3103">
            <v>90</v>
          </cell>
          <cell r="K3103">
            <v>90.2</v>
          </cell>
          <cell r="N3103">
            <v>25.52</v>
          </cell>
          <cell r="Q3103" t="str">
            <v>2015_12</v>
          </cell>
        </row>
        <row r="3104">
          <cell r="J3104">
            <v>90</v>
          </cell>
          <cell r="K3104">
            <v>90.2</v>
          </cell>
          <cell r="N3104">
            <v>54.94</v>
          </cell>
          <cell r="Q3104" t="str">
            <v>2016_01</v>
          </cell>
        </row>
        <row r="3105">
          <cell r="J3105">
            <v>90</v>
          </cell>
          <cell r="K3105">
            <v>90.2</v>
          </cell>
          <cell r="N3105">
            <v>52.14</v>
          </cell>
          <cell r="Q3105" t="str">
            <v>2016_02</v>
          </cell>
        </row>
        <row r="3106">
          <cell r="J3106">
            <v>90</v>
          </cell>
          <cell r="K3106">
            <v>90.2</v>
          </cell>
          <cell r="N3106">
            <v>52.14</v>
          </cell>
          <cell r="Q3106" t="str">
            <v>2016_03</v>
          </cell>
        </row>
        <row r="3107">
          <cell r="J3107">
            <v>90</v>
          </cell>
          <cell r="K3107">
            <v>90.2</v>
          </cell>
          <cell r="N3107">
            <v>78.209999999999994</v>
          </cell>
          <cell r="Q3107" t="str">
            <v>2016_04</v>
          </cell>
        </row>
        <row r="3108">
          <cell r="J3108">
            <v>90</v>
          </cell>
          <cell r="K3108">
            <v>90.2</v>
          </cell>
          <cell r="N3108">
            <v>38.369999999999997</v>
          </cell>
          <cell r="Q3108" t="str">
            <v>2016_05</v>
          </cell>
        </row>
        <row r="3109">
          <cell r="J3109">
            <v>90</v>
          </cell>
          <cell r="K3109">
            <v>90.2</v>
          </cell>
          <cell r="N3109">
            <v>49.04</v>
          </cell>
          <cell r="Q3109" t="str">
            <v>2016_06</v>
          </cell>
        </row>
        <row r="3110">
          <cell r="J3110">
            <v>90</v>
          </cell>
          <cell r="K3110">
            <v>90.2</v>
          </cell>
          <cell r="N3110">
            <v>64.77</v>
          </cell>
          <cell r="Q3110" t="str">
            <v>2016_07</v>
          </cell>
        </row>
        <row r="3111">
          <cell r="J3111">
            <v>90</v>
          </cell>
          <cell r="K3111">
            <v>90.2</v>
          </cell>
          <cell r="N3111">
            <v>69.94</v>
          </cell>
          <cell r="Q3111" t="str">
            <v>2016_08</v>
          </cell>
        </row>
        <row r="3112">
          <cell r="J3112">
            <v>90</v>
          </cell>
          <cell r="K3112">
            <v>90.2</v>
          </cell>
          <cell r="N3112">
            <v>77.709999999999994</v>
          </cell>
          <cell r="Q3112" t="str">
            <v>2016_09</v>
          </cell>
        </row>
        <row r="3113">
          <cell r="J3113">
            <v>88</v>
          </cell>
          <cell r="K3113">
            <v>90.2</v>
          </cell>
          <cell r="N3113">
            <v>33.35</v>
          </cell>
          <cell r="Q3113" t="str">
            <v>2015_10</v>
          </cell>
        </row>
        <row r="3114">
          <cell r="J3114">
            <v>88</v>
          </cell>
          <cell r="K3114">
            <v>90.2</v>
          </cell>
          <cell r="N3114">
            <v>24.48</v>
          </cell>
          <cell r="Q3114" t="str">
            <v>2015_11</v>
          </cell>
        </row>
        <row r="3115">
          <cell r="J3115">
            <v>88</v>
          </cell>
          <cell r="K3115">
            <v>90.2</v>
          </cell>
          <cell r="N3115">
            <v>23.24</v>
          </cell>
          <cell r="Q3115" t="str">
            <v>2015_12</v>
          </cell>
        </row>
        <row r="3116">
          <cell r="J3116">
            <v>88</v>
          </cell>
          <cell r="K3116">
            <v>90.2</v>
          </cell>
          <cell r="N3116">
            <v>18.53</v>
          </cell>
          <cell r="Q3116" t="str">
            <v>2016_01</v>
          </cell>
        </row>
        <row r="3117">
          <cell r="J3117">
            <v>88</v>
          </cell>
          <cell r="K3117">
            <v>90.2</v>
          </cell>
          <cell r="N3117">
            <v>25.56</v>
          </cell>
          <cell r="Q3117" t="str">
            <v>2016_02</v>
          </cell>
        </row>
        <row r="3118">
          <cell r="J3118">
            <v>88</v>
          </cell>
          <cell r="K3118">
            <v>90.2</v>
          </cell>
          <cell r="N3118">
            <v>23.4</v>
          </cell>
          <cell r="Q3118" t="str">
            <v>2016_03</v>
          </cell>
        </row>
        <row r="3119">
          <cell r="J3119">
            <v>88</v>
          </cell>
          <cell r="K3119">
            <v>90.2</v>
          </cell>
          <cell r="N3119">
            <v>38.26</v>
          </cell>
          <cell r="Q3119" t="str">
            <v>2016_04</v>
          </cell>
        </row>
        <row r="3120">
          <cell r="J3120">
            <v>88</v>
          </cell>
          <cell r="K3120">
            <v>90.2</v>
          </cell>
          <cell r="N3120">
            <v>28.75</v>
          </cell>
          <cell r="Q3120" t="str">
            <v>2016_05</v>
          </cell>
        </row>
        <row r="3121">
          <cell r="J3121">
            <v>88</v>
          </cell>
          <cell r="K3121">
            <v>90.2</v>
          </cell>
          <cell r="N3121">
            <v>43</v>
          </cell>
          <cell r="Q3121" t="str">
            <v>2016_06</v>
          </cell>
        </row>
        <row r="3122">
          <cell r="J3122">
            <v>88</v>
          </cell>
          <cell r="K3122">
            <v>90.2</v>
          </cell>
          <cell r="N3122">
            <v>51.56</v>
          </cell>
          <cell r="Q3122" t="str">
            <v>2016_07</v>
          </cell>
        </row>
        <row r="3123">
          <cell r="J3123">
            <v>88</v>
          </cell>
          <cell r="K3123">
            <v>90.2</v>
          </cell>
          <cell r="N3123">
            <v>61.58</v>
          </cell>
          <cell r="Q3123" t="str">
            <v>2016_08</v>
          </cell>
        </row>
        <row r="3124">
          <cell r="J3124">
            <v>88</v>
          </cell>
          <cell r="K3124">
            <v>90.2</v>
          </cell>
          <cell r="N3124">
            <v>90.01</v>
          </cell>
          <cell r="Q3124" t="str">
            <v>2016_09</v>
          </cell>
        </row>
        <row r="3125">
          <cell r="J3125">
            <v>91</v>
          </cell>
          <cell r="K3125">
            <v>91.2</v>
          </cell>
          <cell r="N3125">
            <v>225</v>
          </cell>
          <cell r="Q3125" t="str">
            <v>2016_09</v>
          </cell>
        </row>
        <row r="3126">
          <cell r="J3126">
            <v>80</v>
          </cell>
          <cell r="K3126">
            <v>80</v>
          </cell>
          <cell r="N3126">
            <v>508.48</v>
          </cell>
          <cell r="Q3126" t="str">
            <v>2015_10</v>
          </cell>
        </row>
        <row r="3127">
          <cell r="J3127">
            <v>80</v>
          </cell>
          <cell r="K3127">
            <v>80</v>
          </cell>
          <cell r="N3127">
            <v>367.24</v>
          </cell>
          <cell r="Q3127" t="str">
            <v>2015_11</v>
          </cell>
        </row>
        <row r="3128">
          <cell r="J3128">
            <v>80</v>
          </cell>
          <cell r="K3128">
            <v>80</v>
          </cell>
          <cell r="N3128">
            <v>1092.71</v>
          </cell>
          <cell r="Q3128" t="str">
            <v>2015_12</v>
          </cell>
        </row>
        <row r="3129">
          <cell r="J3129">
            <v>80</v>
          </cell>
          <cell r="K3129">
            <v>80</v>
          </cell>
          <cell r="N3129">
            <v>557.55999999999995</v>
          </cell>
          <cell r="Q3129" t="str">
            <v>2016_01</v>
          </cell>
        </row>
        <row r="3130">
          <cell r="J3130">
            <v>80</v>
          </cell>
          <cell r="K3130">
            <v>80</v>
          </cell>
          <cell r="N3130">
            <v>557.55999999999995</v>
          </cell>
          <cell r="Q3130" t="str">
            <v>2016_02</v>
          </cell>
        </row>
        <row r="3131">
          <cell r="J3131">
            <v>80</v>
          </cell>
          <cell r="K3131">
            <v>80</v>
          </cell>
          <cell r="N3131">
            <v>557.55999999999995</v>
          </cell>
          <cell r="Q3131" t="str">
            <v>2016_03</v>
          </cell>
        </row>
        <row r="3132">
          <cell r="J3132">
            <v>80</v>
          </cell>
          <cell r="K3132">
            <v>80</v>
          </cell>
          <cell r="N3132">
            <v>557.55999999999995</v>
          </cell>
          <cell r="Q3132" t="str">
            <v>2016_04</v>
          </cell>
        </row>
        <row r="3133">
          <cell r="J3133">
            <v>80</v>
          </cell>
          <cell r="K3133">
            <v>80</v>
          </cell>
          <cell r="N3133">
            <v>557.55999999999995</v>
          </cell>
          <cell r="Q3133" t="str">
            <v>2016_05</v>
          </cell>
        </row>
        <row r="3134">
          <cell r="J3134">
            <v>80</v>
          </cell>
          <cell r="K3134">
            <v>80</v>
          </cell>
          <cell r="N3134">
            <v>557.55999999999995</v>
          </cell>
          <cell r="Q3134" t="str">
            <v>2016_06</v>
          </cell>
        </row>
        <row r="3135">
          <cell r="J3135">
            <v>80</v>
          </cell>
          <cell r="K3135">
            <v>80</v>
          </cell>
          <cell r="N3135">
            <v>557.55999999999995</v>
          </cell>
          <cell r="Q3135" t="str">
            <v>2016_07</v>
          </cell>
        </row>
        <row r="3136">
          <cell r="J3136">
            <v>80</v>
          </cell>
          <cell r="K3136">
            <v>80</v>
          </cell>
          <cell r="N3136">
            <v>557.55999999999995</v>
          </cell>
          <cell r="Q3136" t="str">
            <v>2016_08</v>
          </cell>
        </row>
        <row r="3137">
          <cell r="J3137">
            <v>80</v>
          </cell>
          <cell r="K3137">
            <v>80</v>
          </cell>
          <cell r="N3137">
            <v>557.55999999999995</v>
          </cell>
          <cell r="Q3137" t="str">
            <v>2016_09</v>
          </cell>
        </row>
        <row r="3138">
          <cell r="J3138">
            <v>82</v>
          </cell>
          <cell r="K3138">
            <v>82</v>
          </cell>
          <cell r="N3138">
            <v>145.54</v>
          </cell>
          <cell r="Q3138" t="str">
            <v>2015_10</v>
          </cell>
        </row>
        <row r="3139">
          <cell r="J3139">
            <v>82</v>
          </cell>
          <cell r="K3139">
            <v>82</v>
          </cell>
          <cell r="N3139">
            <v>0</v>
          </cell>
          <cell r="Q3139" t="str">
            <v>2015_11</v>
          </cell>
        </row>
        <row r="3140">
          <cell r="J3140">
            <v>82</v>
          </cell>
          <cell r="K3140">
            <v>82</v>
          </cell>
          <cell r="N3140">
            <v>0</v>
          </cell>
          <cell r="Q3140" t="str">
            <v>2015_12</v>
          </cell>
        </row>
        <row r="3141">
          <cell r="J3141">
            <v>82</v>
          </cell>
          <cell r="K3141">
            <v>82</v>
          </cell>
          <cell r="N3141">
            <v>2267.66</v>
          </cell>
          <cell r="Q3141" t="str">
            <v>2016_01</v>
          </cell>
        </row>
        <row r="3142">
          <cell r="J3142">
            <v>82</v>
          </cell>
          <cell r="K3142">
            <v>82</v>
          </cell>
          <cell r="N3142">
            <v>2267.66</v>
          </cell>
          <cell r="Q3142" t="str">
            <v>2016_02</v>
          </cell>
        </row>
        <row r="3143">
          <cell r="J3143">
            <v>82</v>
          </cell>
          <cell r="K3143">
            <v>82</v>
          </cell>
          <cell r="N3143">
            <v>2267.66</v>
          </cell>
          <cell r="Q3143" t="str">
            <v>2016_03</v>
          </cell>
        </row>
        <row r="3144">
          <cell r="J3144">
            <v>82</v>
          </cell>
          <cell r="K3144">
            <v>82</v>
          </cell>
          <cell r="N3144">
            <v>1147.02</v>
          </cell>
          <cell r="Q3144" t="str">
            <v>2016_04</v>
          </cell>
        </row>
        <row r="3145">
          <cell r="J3145">
            <v>82</v>
          </cell>
          <cell r="K3145">
            <v>82</v>
          </cell>
          <cell r="N3145">
            <v>0</v>
          </cell>
          <cell r="Q3145" t="str">
            <v>2016_05</v>
          </cell>
        </row>
        <row r="3146">
          <cell r="J3146">
            <v>82</v>
          </cell>
          <cell r="K3146">
            <v>82</v>
          </cell>
          <cell r="N3146">
            <v>0</v>
          </cell>
          <cell r="Q3146" t="str">
            <v>2016_06</v>
          </cell>
        </row>
        <row r="3147">
          <cell r="J3147">
            <v>82</v>
          </cell>
          <cell r="K3147">
            <v>82</v>
          </cell>
          <cell r="N3147">
            <v>0</v>
          </cell>
          <cell r="Q3147" t="str">
            <v>2016_07</v>
          </cell>
        </row>
        <row r="3148">
          <cell r="J3148">
            <v>82</v>
          </cell>
          <cell r="K3148">
            <v>82</v>
          </cell>
          <cell r="N3148">
            <v>0</v>
          </cell>
          <cell r="Q3148" t="str">
            <v>2016_08</v>
          </cell>
        </row>
        <row r="3149">
          <cell r="J3149">
            <v>82</v>
          </cell>
          <cell r="K3149">
            <v>82</v>
          </cell>
          <cell r="N3149">
            <v>0</v>
          </cell>
          <cell r="Q3149" t="str">
            <v>2016_09</v>
          </cell>
        </row>
        <row r="3150">
          <cell r="J3150">
            <v>82</v>
          </cell>
          <cell r="K3150">
            <v>82</v>
          </cell>
          <cell r="N3150">
            <v>43</v>
          </cell>
          <cell r="Q3150" t="str">
            <v>2015_10</v>
          </cell>
        </row>
        <row r="3151">
          <cell r="J3151">
            <v>82</v>
          </cell>
          <cell r="K3151">
            <v>82</v>
          </cell>
          <cell r="N3151">
            <v>1876</v>
          </cell>
          <cell r="Q3151" t="str">
            <v>2015_11</v>
          </cell>
        </row>
        <row r="3152">
          <cell r="J3152">
            <v>82</v>
          </cell>
          <cell r="K3152">
            <v>82</v>
          </cell>
          <cell r="N3152">
            <v>43</v>
          </cell>
          <cell r="Q3152" t="str">
            <v>2015_12</v>
          </cell>
        </row>
        <row r="3153">
          <cell r="J3153">
            <v>82</v>
          </cell>
          <cell r="K3153">
            <v>82</v>
          </cell>
          <cell r="N3153">
            <v>43</v>
          </cell>
          <cell r="Q3153" t="str">
            <v>2016_01</v>
          </cell>
        </row>
        <row r="3154">
          <cell r="J3154">
            <v>82</v>
          </cell>
          <cell r="K3154">
            <v>82</v>
          </cell>
          <cell r="N3154">
            <v>1876</v>
          </cell>
          <cell r="Q3154" t="str">
            <v>2016_02</v>
          </cell>
        </row>
        <row r="3155">
          <cell r="J3155">
            <v>82</v>
          </cell>
          <cell r="K3155">
            <v>82</v>
          </cell>
          <cell r="N3155">
            <v>43</v>
          </cell>
          <cell r="Q3155" t="str">
            <v>2016_03</v>
          </cell>
        </row>
        <row r="3156">
          <cell r="J3156">
            <v>82</v>
          </cell>
          <cell r="K3156">
            <v>82</v>
          </cell>
          <cell r="N3156">
            <v>43</v>
          </cell>
          <cell r="Q3156" t="str">
            <v>2016_04</v>
          </cell>
        </row>
        <row r="3157">
          <cell r="J3157">
            <v>82</v>
          </cell>
          <cell r="K3157">
            <v>82</v>
          </cell>
          <cell r="N3157">
            <v>1876</v>
          </cell>
          <cell r="Q3157" t="str">
            <v>2016_05</v>
          </cell>
        </row>
        <row r="3158">
          <cell r="J3158">
            <v>82</v>
          </cell>
          <cell r="K3158">
            <v>82</v>
          </cell>
          <cell r="N3158">
            <v>43</v>
          </cell>
          <cell r="Q3158" t="str">
            <v>2016_06</v>
          </cell>
        </row>
        <row r="3159">
          <cell r="J3159">
            <v>82</v>
          </cell>
          <cell r="K3159">
            <v>82</v>
          </cell>
          <cell r="N3159">
            <v>43</v>
          </cell>
          <cell r="Q3159" t="str">
            <v>2016_07</v>
          </cell>
        </row>
        <row r="3160">
          <cell r="J3160">
            <v>82</v>
          </cell>
          <cell r="K3160">
            <v>82</v>
          </cell>
          <cell r="N3160">
            <v>1876</v>
          </cell>
          <cell r="Q3160" t="str">
            <v>2016_08</v>
          </cell>
        </row>
        <row r="3161">
          <cell r="J3161">
            <v>82</v>
          </cell>
          <cell r="K3161">
            <v>82</v>
          </cell>
          <cell r="N3161">
            <v>43</v>
          </cell>
          <cell r="Q3161" t="str">
            <v>2016_09</v>
          </cell>
        </row>
        <row r="3162">
          <cell r="J3162">
            <v>83</v>
          </cell>
          <cell r="K3162">
            <v>83</v>
          </cell>
          <cell r="N3162">
            <v>0</v>
          </cell>
          <cell r="Q3162" t="str">
            <v>2015_10</v>
          </cell>
        </row>
        <row r="3163">
          <cell r="J3163">
            <v>83</v>
          </cell>
          <cell r="K3163">
            <v>83</v>
          </cell>
          <cell r="N3163">
            <v>0</v>
          </cell>
          <cell r="Q3163" t="str">
            <v>2015_11</v>
          </cell>
        </row>
        <row r="3164">
          <cell r="J3164">
            <v>83</v>
          </cell>
          <cell r="K3164">
            <v>83</v>
          </cell>
          <cell r="N3164">
            <v>0</v>
          </cell>
          <cell r="Q3164" t="str">
            <v>2015_12</v>
          </cell>
        </row>
        <row r="3165">
          <cell r="J3165">
            <v>83</v>
          </cell>
          <cell r="K3165">
            <v>83</v>
          </cell>
          <cell r="N3165">
            <v>2811.9</v>
          </cell>
          <cell r="Q3165" t="str">
            <v>2016_01</v>
          </cell>
        </row>
        <row r="3166">
          <cell r="J3166">
            <v>83</v>
          </cell>
          <cell r="K3166">
            <v>83</v>
          </cell>
          <cell r="N3166">
            <v>2811.89</v>
          </cell>
          <cell r="Q3166" t="str">
            <v>2016_02</v>
          </cell>
        </row>
        <row r="3167">
          <cell r="J3167">
            <v>83</v>
          </cell>
          <cell r="K3167">
            <v>83</v>
          </cell>
          <cell r="N3167">
            <v>1723.21</v>
          </cell>
          <cell r="Q3167" t="str">
            <v>2016_03</v>
          </cell>
        </row>
        <row r="3168">
          <cell r="J3168">
            <v>83</v>
          </cell>
          <cell r="K3168">
            <v>83</v>
          </cell>
          <cell r="N3168">
            <v>0</v>
          </cell>
          <cell r="Q3168" t="str">
            <v>2016_04</v>
          </cell>
        </row>
        <row r="3169">
          <cell r="J3169">
            <v>83</v>
          </cell>
          <cell r="K3169">
            <v>83</v>
          </cell>
          <cell r="N3169">
            <v>0</v>
          </cell>
          <cell r="Q3169" t="str">
            <v>2016_05</v>
          </cell>
        </row>
        <row r="3170">
          <cell r="J3170">
            <v>83</v>
          </cell>
          <cell r="K3170">
            <v>83</v>
          </cell>
          <cell r="N3170">
            <v>0</v>
          </cell>
          <cell r="Q3170" t="str">
            <v>2016_06</v>
          </cell>
        </row>
        <row r="3171">
          <cell r="J3171">
            <v>83</v>
          </cell>
          <cell r="K3171">
            <v>83</v>
          </cell>
          <cell r="N3171">
            <v>0</v>
          </cell>
          <cell r="Q3171" t="str">
            <v>2016_07</v>
          </cell>
        </row>
        <row r="3172">
          <cell r="J3172">
            <v>83</v>
          </cell>
          <cell r="K3172">
            <v>83</v>
          </cell>
          <cell r="N3172">
            <v>0</v>
          </cell>
          <cell r="Q3172" t="str">
            <v>2016_08</v>
          </cell>
        </row>
        <row r="3173">
          <cell r="J3173">
            <v>83</v>
          </cell>
          <cell r="K3173">
            <v>83</v>
          </cell>
          <cell r="N3173">
            <v>0</v>
          </cell>
          <cell r="Q3173" t="str">
            <v>2016_09</v>
          </cell>
        </row>
        <row r="3174">
          <cell r="J3174">
            <v>83</v>
          </cell>
          <cell r="K3174">
            <v>83</v>
          </cell>
          <cell r="N3174">
            <v>986.43</v>
          </cell>
          <cell r="Q3174" t="str">
            <v>2015_10</v>
          </cell>
        </row>
        <row r="3175">
          <cell r="J3175">
            <v>83</v>
          </cell>
          <cell r="K3175">
            <v>83</v>
          </cell>
          <cell r="N3175">
            <v>657.62</v>
          </cell>
          <cell r="Q3175" t="str">
            <v>2015_11</v>
          </cell>
        </row>
        <row r="3176">
          <cell r="J3176">
            <v>83</v>
          </cell>
          <cell r="K3176">
            <v>83</v>
          </cell>
          <cell r="N3176">
            <v>657.62</v>
          </cell>
          <cell r="Q3176" t="str">
            <v>2015_12</v>
          </cell>
        </row>
        <row r="3177">
          <cell r="J3177">
            <v>83</v>
          </cell>
          <cell r="K3177">
            <v>83</v>
          </cell>
          <cell r="N3177">
            <v>657.62</v>
          </cell>
          <cell r="Q3177" t="str">
            <v>2016_01</v>
          </cell>
        </row>
        <row r="3178">
          <cell r="J3178">
            <v>83</v>
          </cell>
          <cell r="K3178">
            <v>83</v>
          </cell>
          <cell r="N3178">
            <v>657.62</v>
          </cell>
          <cell r="Q3178" t="str">
            <v>2016_02</v>
          </cell>
        </row>
        <row r="3179">
          <cell r="J3179">
            <v>83</v>
          </cell>
          <cell r="K3179">
            <v>83</v>
          </cell>
          <cell r="N3179">
            <v>657.62</v>
          </cell>
          <cell r="Q3179" t="str">
            <v>2016_03</v>
          </cell>
        </row>
        <row r="3180">
          <cell r="J3180">
            <v>83</v>
          </cell>
          <cell r="K3180">
            <v>83</v>
          </cell>
          <cell r="N3180">
            <v>1436.66</v>
          </cell>
          <cell r="Q3180" t="str">
            <v>2016_04</v>
          </cell>
        </row>
        <row r="3181">
          <cell r="J3181">
            <v>83</v>
          </cell>
          <cell r="K3181">
            <v>83</v>
          </cell>
          <cell r="N3181">
            <v>957.77</v>
          </cell>
          <cell r="Q3181" t="str">
            <v>2016_05</v>
          </cell>
        </row>
        <row r="3182">
          <cell r="J3182">
            <v>83</v>
          </cell>
          <cell r="K3182">
            <v>83</v>
          </cell>
          <cell r="N3182">
            <v>957.77</v>
          </cell>
          <cell r="Q3182" t="str">
            <v>2016_06</v>
          </cell>
        </row>
        <row r="3183">
          <cell r="J3183">
            <v>83</v>
          </cell>
          <cell r="K3183">
            <v>83</v>
          </cell>
          <cell r="N3183">
            <v>0</v>
          </cell>
          <cell r="Q3183" t="str">
            <v>2016_07</v>
          </cell>
        </row>
        <row r="3184">
          <cell r="J3184">
            <v>83</v>
          </cell>
          <cell r="K3184">
            <v>83</v>
          </cell>
          <cell r="N3184">
            <v>0</v>
          </cell>
          <cell r="Q3184" t="str">
            <v>2016_08</v>
          </cell>
        </row>
        <row r="3185">
          <cell r="J3185">
            <v>83</v>
          </cell>
          <cell r="K3185">
            <v>83</v>
          </cell>
          <cell r="N3185">
            <v>0</v>
          </cell>
          <cell r="Q3185" t="str">
            <v>2016_09</v>
          </cell>
        </row>
        <row r="3186">
          <cell r="J3186">
            <v>83</v>
          </cell>
          <cell r="K3186">
            <v>83</v>
          </cell>
          <cell r="N3186">
            <v>0</v>
          </cell>
          <cell r="Q3186" t="str">
            <v>2015_10</v>
          </cell>
        </row>
        <row r="3187">
          <cell r="J3187">
            <v>83</v>
          </cell>
          <cell r="K3187">
            <v>83</v>
          </cell>
          <cell r="N3187">
            <v>0</v>
          </cell>
          <cell r="Q3187" t="str">
            <v>2015_11</v>
          </cell>
        </row>
        <row r="3188">
          <cell r="J3188">
            <v>83</v>
          </cell>
          <cell r="K3188">
            <v>83</v>
          </cell>
          <cell r="N3188">
            <v>0</v>
          </cell>
          <cell r="Q3188" t="str">
            <v>2015_12</v>
          </cell>
        </row>
        <row r="3189">
          <cell r="J3189">
            <v>83</v>
          </cell>
          <cell r="K3189">
            <v>83</v>
          </cell>
          <cell r="N3189">
            <v>42</v>
          </cell>
          <cell r="Q3189" t="str">
            <v>2016_01</v>
          </cell>
        </row>
        <row r="3190">
          <cell r="J3190">
            <v>83</v>
          </cell>
          <cell r="K3190">
            <v>83</v>
          </cell>
          <cell r="N3190">
            <v>0</v>
          </cell>
          <cell r="Q3190" t="str">
            <v>2016_02</v>
          </cell>
        </row>
        <row r="3191">
          <cell r="J3191">
            <v>83</v>
          </cell>
          <cell r="K3191">
            <v>83</v>
          </cell>
          <cell r="N3191">
            <v>0</v>
          </cell>
          <cell r="Q3191" t="str">
            <v>2016_03</v>
          </cell>
        </row>
        <row r="3192">
          <cell r="J3192">
            <v>83</v>
          </cell>
          <cell r="K3192">
            <v>83</v>
          </cell>
          <cell r="N3192">
            <v>0</v>
          </cell>
          <cell r="Q3192" t="str">
            <v>2016_04</v>
          </cell>
        </row>
        <row r="3193">
          <cell r="J3193">
            <v>83</v>
          </cell>
          <cell r="K3193">
            <v>83</v>
          </cell>
          <cell r="N3193">
            <v>0</v>
          </cell>
          <cell r="Q3193" t="str">
            <v>2016_05</v>
          </cell>
        </row>
        <row r="3194">
          <cell r="J3194">
            <v>83</v>
          </cell>
          <cell r="K3194">
            <v>83</v>
          </cell>
          <cell r="N3194">
            <v>0</v>
          </cell>
          <cell r="Q3194" t="str">
            <v>2016_06</v>
          </cell>
        </row>
        <row r="3195">
          <cell r="J3195">
            <v>83</v>
          </cell>
          <cell r="K3195">
            <v>83</v>
          </cell>
          <cell r="N3195">
            <v>0</v>
          </cell>
          <cell r="Q3195" t="str">
            <v>2016_07</v>
          </cell>
        </row>
        <row r="3196">
          <cell r="J3196">
            <v>83</v>
          </cell>
          <cell r="K3196">
            <v>83</v>
          </cell>
          <cell r="N3196">
            <v>0</v>
          </cell>
          <cell r="Q3196" t="str">
            <v>2016_08</v>
          </cell>
        </row>
        <row r="3197">
          <cell r="J3197">
            <v>83</v>
          </cell>
          <cell r="K3197">
            <v>83</v>
          </cell>
          <cell r="N3197">
            <v>0</v>
          </cell>
          <cell r="Q3197" t="str">
            <v>2016_09</v>
          </cell>
        </row>
        <row r="3198">
          <cell r="J3198">
            <v>83</v>
          </cell>
          <cell r="K3198">
            <v>83</v>
          </cell>
          <cell r="N3198">
            <v>0</v>
          </cell>
          <cell r="Q3198" t="str">
            <v>2015_10</v>
          </cell>
        </row>
        <row r="3199">
          <cell r="J3199">
            <v>83</v>
          </cell>
          <cell r="K3199">
            <v>83</v>
          </cell>
          <cell r="N3199">
            <v>0</v>
          </cell>
          <cell r="Q3199" t="str">
            <v>2015_11</v>
          </cell>
        </row>
        <row r="3200">
          <cell r="J3200">
            <v>83</v>
          </cell>
          <cell r="K3200">
            <v>83</v>
          </cell>
          <cell r="N3200">
            <v>0</v>
          </cell>
          <cell r="Q3200" t="str">
            <v>2015_12</v>
          </cell>
        </row>
        <row r="3201">
          <cell r="J3201">
            <v>83</v>
          </cell>
          <cell r="K3201">
            <v>83</v>
          </cell>
          <cell r="N3201">
            <v>174.14</v>
          </cell>
          <cell r="Q3201" t="str">
            <v>2016_01</v>
          </cell>
        </row>
        <row r="3202">
          <cell r="J3202">
            <v>83</v>
          </cell>
          <cell r="K3202">
            <v>83</v>
          </cell>
          <cell r="N3202">
            <v>0</v>
          </cell>
          <cell r="Q3202" t="str">
            <v>2016_02</v>
          </cell>
        </row>
        <row r="3203">
          <cell r="J3203">
            <v>83</v>
          </cell>
          <cell r="K3203">
            <v>83</v>
          </cell>
          <cell r="N3203">
            <v>0</v>
          </cell>
          <cell r="Q3203" t="str">
            <v>2016_03</v>
          </cell>
        </row>
        <row r="3204">
          <cell r="J3204">
            <v>83</v>
          </cell>
          <cell r="K3204">
            <v>83</v>
          </cell>
          <cell r="N3204">
            <v>0</v>
          </cell>
          <cell r="Q3204" t="str">
            <v>2016_04</v>
          </cell>
        </row>
        <row r="3205">
          <cell r="J3205">
            <v>83</v>
          </cell>
          <cell r="K3205">
            <v>83</v>
          </cell>
          <cell r="N3205">
            <v>0</v>
          </cell>
          <cell r="Q3205" t="str">
            <v>2016_05</v>
          </cell>
        </row>
        <row r="3206">
          <cell r="J3206">
            <v>83</v>
          </cell>
          <cell r="K3206">
            <v>83</v>
          </cell>
          <cell r="N3206">
            <v>0</v>
          </cell>
          <cell r="Q3206" t="str">
            <v>2016_06</v>
          </cell>
        </row>
        <row r="3207">
          <cell r="J3207">
            <v>83</v>
          </cell>
          <cell r="K3207">
            <v>83</v>
          </cell>
          <cell r="N3207">
            <v>0</v>
          </cell>
          <cell r="Q3207" t="str">
            <v>2016_07</v>
          </cell>
        </row>
        <row r="3208">
          <cell r="J3208">
            <v>83</v>
          </cell>
          <cell r="K3208">
            <v>83</v>
          </cell>
          <cell r="N3208">
            <v>0</v>
          </cell>
          <cell r="Q3208" t="str">
            <v>2016_08</v>
          </cell>
        </row>
        <row r="3209">
          <cell r="J3209">
            <v>83</v>
          </cell>
          <cell r="K3209">
            <v>83</v>
          </cell>
          <cell r="N3209">
            <v>0</v>
          </cell>
          <cell r="Q3209" t="str">
            <v>2016_09</v>
          </cell>
        </row>
        <row r="3210">
          <cell r="J3210">
            <v>81</v>
          </cell>
          <cell r="K3210">
            <v>81</v>
          </cell>
          <cell r="N3210">
            <v>18.36</v>
          </cell>
          <cell r="Q3210" t="str">
            <v>2015_10</v>
          </cell>
        </row>
        <row r="3211">
          <cell r="J3211">
            <v>81</v>
          </cell>
          <cell r="K3211">
            <v>81</v>
          </cell>
          <cell r="N3211">
            <v>12.24</v>
          </cell>
          <cell r="Q3211" t="str">
            <v>2015_11</v>
          </cell>
        </row>
        <row r="3212">
          <cell r="J3212">
            <v>81</v>
          </cell>
          <cell r="K3212">
            <v>81</v>
          </cell>
          <cell r="N3212">
            <v>11.62</v>
          </cell>
          <cell r="Q3212" t="str">
            <v>2015_12</v>
          </cell>
        </row>
        <row r="3213">
          <cell r="J3213">
            <v>81</v>
          </cell>
          <cell r="K3213">
            <v>81</v>
          </cell>
          <cell r="N3213">
            <v>11.5</v>
          </cell>
          <cell r="Q3213" t="str">
            <v>2016_01</v>
          </cell>
        </row>
        <row r="3214">
          <cell r="J3214">
            <v>81</v>
          </cell>
          <cell r="K3214">
            <v>81</v>
          </cell>
          <cell r="N3214">
            <v>12.78</v>
          </cell>
          <cell r="Q3214" t="str">
            <v>2016_02</v>
          </cell>
        </row>
        <row r="3215">
          <cell r="J3215">
            <v>81</v>
          </cell>
          <cell r="K3215">
            <v>81</v>
          </cell>
          <cell r="N3215">
            <v>12.78</v>
          </cell>
          <cell r="Q3215" t="str">
            <v>2016_03</v>
          </cell>
        </row>
        <row r="3216">
          <cell r="J3216">
            <v>81</v>
          </cell>
          <cell r="K3216">
            <v>81</v>
          </cell>
          <cell r="N3216">
            <v>19.170000000000002</v>
          </cell>
          <cell r="Q3216" t="str">
            <v>2016_04</v>
          </cell>
        </row>
        <row r="3217">
          <cell r="J3217">
            <v>81</v>
          </cell>
          <cell r="K3217">
            <v>81</v>
          </cell>
          <cell r="N3217">
            <v>12.78</v>
          </cell>
          <cell r="Q3217" t="str">
            <v>2016_05</v>
          </cell>
        </row>
        <row r="3218">
          <cell r="J3218">
            <v>81</v>
          </cell>
          <cell r="K3218">
            <v>81</v>
          </cell>
          <cell r="N3218">
            <v>12.14</v>
          </cell>
          <cell r="Q3218" t="str">
            <v>2016_06</v>
          </cell>
        </row>
        <row r="3219">
          <cell r="J3219">
            <v>81</v>
          </cell>
          <cell r="K3219">
            <v>81</v>
          </cell>
          <cell r="N3219">
            <v>0</v>
          </cell>
          <cell r="Q3219" t="str">
            <v>2016_07</v>
          </cell>
        </row>
        <row r="3220">
          <cell r="J3220">
            <v>81</v>
          </cell>
          <cell r="K3220">
            <v>81</v>
          </cell>
          <cell r="N3220">
            <v>0</v>
          </cell>
          <cell r="Q3220" t="str">
            <v>2016_08</v>
          </cell>
        </row>
        <row r="3221">
          <cell r="J3221">
            <v>81</v>
          </cell>
          <cell r="K3221">
            <v>81</v>
          </cell>
          <cell r="N3221">
            <v>0</v>
          </cell>
          <cell r="Q3221" t="str">
            <v>2016_09</v>
          </cell>
        </row>
        <row r="3222">
          <cell r="J3222">
            <v>78</v>
          </cell>
          <cell r="K3222">
            <v>78</v>
          </cell>
          <cell r="N3222">
            <v>-5226.8500000000004</v>
          </cell>
          <cell r="Q3222" t="str">
            <v>2015_10</v>
          </cell>
        </row>
        <row r="3223">
          <cell r="J3223">
            <v>78</v>
          </cell>
          <cell r="K3223">
            <v>78</v>
          </cell>
          <cell r="N3223">
            <v>-3484.57</v>
          </cell>
          <cell r="Q3223" t="str">
            <v>2015_11</v>
          </cell>
        </row>
        <row r="3224">
          <cell r="J3224">
            <v>78</v>
          </cell>
          <cell r="K3224">
            <v>78</v>
          </cell>
          <cell r="N3224">
            <v>-3484.57</v>
          </cell>
          <cell r="Q3224" t="str">
            <v>2015_12</v>
          </cell>
        </row>
        <row r="3225">
          <cell r="J3225">
            <v>78</v>
          </cell>
          <cell r="K3225">
            <v>78</v>
          </cell>
          <cell r="N3225">
            <v>-2323.04</v>
          </cell>
          <cell r="Q3225" t="str">
            <v>2016_01</v>
          </cell>
        </row>
        <row r="3226">
          <cell r="J3226">
            <v>78</v>
          </cell>
          <cell r="K3226">
            <v>78</v>
          </cell>
          <cell r="N3226">
            <v>-2323.04</v>
          </cell>
          <cell r="Q3226" t="str">
            <v>2016_02</v>
          </cell>
        </row>
        <row r="3227">
          <cell r="J3227">
            <v>78</v>
          </cell>
          <cell r="K3227">
            <v>78</v>
          </cell>
          <cell r="N3227">
            <v>-2323.04</v>
          </cell>
          <cell r="Q3227" t="str">
            <v>2016_03</v>
          </cell>
        </row>
        <row r="3228">
          <cell r="J3228">
            <v>78</v>
          </cell>
          <cell r="K3228">
            <v>78</v>
          </cell>
          <cell r="N3228">
            <v>-2323.04</v>
          </cell>
          <cell r="Q3228" t="str">
            <v>2016_04</v>
          </cell>
        </row>
        <row r="3229">
          <cell r="J3229">
            <v>78</v>
          </cell>
          <cell r="K3229">
            <v>78</v>
          </cell>
          <cell r="N3229">
            <v>-2323.04</v>
          </cell>
          <cell r="Q3229" t="str">
            <v>2016_05</v>
          </cell>
        </row>
        <row r="3230">
          <cell r="J3230">
            <v>78</v>
          </cell>
          <cell r="K3230">
            <v>78</v>
          </cell>
          <cell r="N3230">
            <v>-2323.04</v>
          </cell>
          <cell r="Q3230" t="str">
            <v>2016_06</v>
          </cell>
        </row>
        <row r="3231">
          <cell r="J3231">
            <v>78</v>
          </cell>
          <cell r="K3231">
            <v>78</v>
          </cell>
          <cell r="N3231">
            <v>0</v>
          </cell>
          <cell r="Q3231" t="str">
            <v>2016_07</v>
          </cell>
        </row>
        <row r="3232">
          <cell r="J3232">
            <v>78</v>
          </cell>
          <cell r="K3232">
            <v>78</v>
          </cell>
          <cell r="N3232">
            <v>0</v>
          </cell>
          <cell r="Q3232" t="str">
            <v>2016_08</v>
          </cell>
        </row>
        <row r="3233">
          <cell r="J3233">
            <v>78</v>
          </cell>
          <cell r="K3233">
            <v>78</v>
          </cell>
          <cell r="N3233">
            <v>0</v>
          </cell>
          <cell r="Q3233" t="str">
            <v>2016_09</v>
          </cell>
        </row>
        <row r="3234">
          <cell r="J3234">
            <v>84</v>
          </cell>
          <cell r="K3234">
            <v>84</v>
          </cell>
          <cell r="N3234">
            <v>0</v>
          </cell>
          <cell r="Q3234" t="str">
            <v>2015_10</v>
          </cell>
        </row>
        <row r="3235">
          <cell r="J3235">
            <v>84</v>
          </cell>
          <cell r="K3235">
            <v>84</v>
          </cell>
          <cell r="N3235">
            <v>0</v>
          </cell>
          <cell r="Q3235" t="str">
            <v>2015_11</v>
          </cell>
        </row>
        <row r="3236">
          <cell r="J3236">
            <v>84</v>
          </cell>
          <cell r="K3236">
            <v>84</v>
          </cell>
          <cell r="N3236">
            <v>0</v>
          </cell>
          <cell r="Q3236" t="str">
            <v>2015_12</v>
          </cell>
        </row>
        <row r="3237">
          <cell r="J3237" t="str">
            <v>69a</v>
          </cell>
          <cell r="K3237" t="str">
            <v>69a</v>
          </cell>
          <cell r="N3237">
            <v>535.02</v>
          </cell>
          <cell r="Q3237" t="str">
            <v>2015_10</v>
          </cell>
        </row>
        <row r="3238">
          <cell r="J3238" t="str">
            <v>69a</v>
          </cell>
          <cell r="K3238" t="str">
            <v>69a</v>
          </cell>
          <cell r="N3238">
            <v>367.24</v>
          </cell>
          <cell r="Q3238" t="str">
            <v>2015_11</v>
          </cell>
        </row>
        <row r="3239">
          <cell r="J3239" t="str">
            <v>69a</v>
          </cell>
          <cell r="K3239" t="str">
            <v>69a</v>
          </cell>
          <cell r="N3239">
            <v>1092.71</v>
          </cell>
          <cell r="Q3239" t="str">
            <v>2015_12</v>
          </cell>
        </row>
        <row r="3240">
          <cell r="J3240" t="str">
            <v>69a</v>
          </cell>
          <cell r="K3240" t="str">
            <v>69a</v>
          </cell>
          <cell r="N3240">
            <v>557.55999999999995</v>
          </cell>
          <cell r="Q3240" t="str">
            <v>2016_01</v>
          </cell>
        </row>
        <row r="3241">
          <cell r="J3241" t="str">
            <v>69a</v>
          </cell>
          <cell r="K3241" t="str">
            <v>69a</v>
          </cell>
          <cell r="N3241">
            <v>557.55999999999995</v>
          </cell>
          <cell r="Q3241" t="str">
            <v>2016_02</v>
          </cell>
        </row>
        <row r="3242">
          <cell r="J3242" t="str">
            <v>69a</v>
          </cell>
          <cell r="K3242" t="str">
            <v>69a</v>
          </cell>
          <cell r="N3242">
            <v>1672.68</v>
          </cell>
          <cell r="Q3242" t="str">
            <v>2016_03</v>
          </cell>
        </row>
        <row r="3243">
          <cell r="J3243" t="str">
            <v>69a</v>
          </cell>
          <cell r="K3243" t="str">
            <v>69a</v>
          </cell>
          <cell r="N3243">
            <v>1672.68</v>
          </cell>
          <cell r="Q3243" t="str">
            <v>2016_04</v>
          </cell>
        </row>
        <row r="3244">
          <cell r="J3244" t="str">
            <v>69a</v>
          </cell>
          <cell r="K3244" t="str">
            <v>69a</v>
          </cell>
          <cell r="N3244">
            <v>1672.68</v>
          </cell>
          <cell r="Q3244" t="str">
            <v>2016_05</v>
          </cell>
        </row>
        <row r="3245">
          <cell r="J3245" t="str">
            <v>69a</v>
          </cell>
          <cell r="K3245" t="str">
            <v>69a</v>
          </cell>
          <cell r="N3245">
            <v>1115.1199999999999</v>
          </cell>
          <cell r="Q3245" t="str">
            <v>2016_06</v>
          </cell>
        </row>
        <row r="3246">
          <cell r="J3246" t="str">
            <v>69a</v>
          </cell>
          <cell r="K3246" t="str">
            <v>69a</v>
          </cell>
          <cell r="N3246">
            <v>1115.1199999999999</v>
          </cell>
          <cell r="Q3246" t="str">
            <v>2016_07</v>
          </cell>
        </row>
        <row r="3247">
          <cell r="J3247" t="str">
            <v>69a</v>
          </cell>
          <cell r="K3247" t="str">
            <v>69a</v>
          </cell>
          <cell r="N3247">
            <v>1672.68</v>
          </cell>
          <cell r="Q3247" t="str">
            <v>2016_08</v>
          </cell>
        </row>
        <row r="3248">
          <cell r="J3248" t="str">
            <v>69a</v>
          </cell>
          <cell r="K3248" t="str">
            <v>69a</v>
          </cell>
          <cell r="N3248">
            <v>1672.68</v>
          </cell>
          <cell r="Q3248" t="str">
            <v>2016_09</v>
          </cell>
        </row>
        <row r="3249">
          <cell r="J3249" t="str">
            <v>69b</v>
          </cell>
          <cell r="K3249" t="str">
            <v>69b</v>
          </cell>
          <cell r="N3249">
            <v>30.45</v>
          </cell>
          <cell r="Q3249" t="str">
            <v>2015_12</v>
          </cell>
        </row>
        <row r="3250">
          <cell r="J3250" t="str">
            <v>69b</v>
          </cell>
          <cell r="K3250" t="str">
            <v>69b</v>
          </cell>
          <cell r="N3250">
            <v>21.5</v>
          </cell>
          <cell r="Q3250" t="str">
            <v>2015_10</v>
          </cell>
        </row>
        <row r="3251">
          <cell r="J3251" t="str">
            <v>69b</v>
          </cell>
          <cell r="K3251" t="str">
            <v>69b</v>
          </cell>
          <cell r="N3251">
            <v>21.5</v>
          </cell>
          <cell r="Q3251" t="str">
            <v>2015_11</v>
          </cell>
        </row>
        <row r="3252">
          <cell r="J3252" t="str">
            <v>69b</v>
          </cell>
          <cell r="K3252" t="str">
            <v>69b</v>
          </cell>
          <cell r="N3252">
            <v>21.5</v>
          </cell>
          <cell r="Q3252" t="str">
            <v>2015_12</v>
          </cell>
        </row>
        <row r="3253">
          <cell r="J3253" t="str">
            <v>69b</v>
          </cell>
          <cell r="K3253" t="str">
            <v>69b</v>
          </cell>
          <cell r="N3253">
            <v>21.5</v>
          </cell>
          <cell r="Q3253" t="str">
            <v>2016_01</v>
          </cell>
        </row>
        <row r="3254">
          <cell r="J3254" t="str">
            <v>69b</v>
          </cell>
          <cell r="K3254" t="str">
            <v>69b</v>
          </cell>
          <cell r="N3254">
            <v>0</v>
          </cell>
          <cell r="Q3254" t="str">
            <v>2016_02</v>
          </cell>
        </row>
        <row r="3255">
          <cell r="J3255" t="str">
            <v>69b</v>
          </cell>
          <cell r="K3255" t="str">
            <v>69b</v>
          </cell>
          <cell r="N3255">
            <v>0</v>
          </cell>
          <cell r="Q3255" t="str">
            <v>2016_03</v>
          </cell>
        </row>
        <row r="3256">
          <cell r="J3256" t="str">
            <v>69b</v>
          </cell>
          <cell r="K3256" t="str">
            <v>69b</v>
          </cell>
          <cell r="N3256">
            <v>21.5</v>
          </cell>
          <cell r="Q3256" t="str">
            <v>2016_04</v>
          </cell>
        </row>
        <row r="3257">
          <cell r="J3257" t="str">
            <v>69b</v>
          </cell>
          <cell r="K3257" t="str">
            <v>69b</v>
          </cell>
          <cell r="N3257">
            <v>21.5</v>
          </cell>
          <cell r="Q3257" t="str">
            <v>2016_05</v>
          </cell>
        </row>
        <row r="3258">
          <cell r="J3258" t="str">
            <v>69b</v>
          </cell>
          <cell r="K3258" t="str">
            <v>69b</v>
          </cell>
          <cell r="N3258">
            <v>150.5</v>
          </cell>
          <cell r="Q3258" t="str">
            <v>2016_06</v>
          </cell>
        </row>
        <row r="3259">
          <cell r="J3259" t="str">
            <v>69b</v>
          </cell>
          <cell r="K3259" t="str">
            <v>69b</v>
          </cell>
          <cell r="N3259">
            <v>-107.5</v>
          </cell>
          <cell r="Q3259" t="str">
            <v>2016_07</v>
          </cell>
        </row>
        <row r="3260">
          <cell r="J3260" t="str">
            <v>69b</v>
          </cell>
          <cell r="K3260" t="str">
            <v>69b</v>
          </cell>
          <cell r="N3260">
            <v>21.5</v>
          </cell>
          <cell r="Q3260" t="str">
            <v>2016_08</v>
          </cell>
        </row>
        <row r="3261">
          <cell r="J3261" t="str">
            <v>69b</v>
          </cell>
          <cell r="K3261" t="str">
            <v>69b</v>
          </cell>
          <cell r="N3261">
            <v>43</v>
          </cell>
          <cell r="Q3261" t="str">
            <v>2016_09</v>
          </cell>
        </row>
        <row r="3262">
          <cell r="J3262">
            <v>69</v>
          </cell>
          <cell r="K3262">
            <v>69</v>
          </cell>
          <cell r="N3262">
            <v>170.64</v>
          </cell>
          <cell r="Q3262" t="str">
            <v>2015_12</v>
          </cell>
        </row>
        <row r="3263">
          <cell r="J3263" t="str">
            <v>69d</v>
          </cell>
          <cell r="K3263" t="str">
            <v>69d</v>
          </cell>
          <cell r="N3263">
            <v>477.63</v>
          </cell>
          <cell r="Q3263" t="str">
            <v>2015_10</v>
          </cell>
        </row>
        <row r="3264">
          <cell r="J3264" t="str">
            <v>69d</v>
          </cell>
          <cell r="K3264" t="str">
            <v>69d</v>
          </cell>
          <cell r="N3264">
            <v>303.97000000000003</v>
          </cell>
          <cell r="Q3264" t="str">
            <v>2015_11</v>
          </cell>
        </row>
        <row r="3265">
          <cell r="J3265" t="str">
            <v>69d</v>
          </cell>
          <cell r="K3265" t="str">
            <v>69d</v>
          </cell>
          <cell r="N3265">
            <v>292.52999999999997</v>
          </cell>
          <cell r="Q3265" t="str">
            <v>2015_12</v>
          </cell>
        </row>
        <row r="3266">
          <cell r="J3266" t="str">
            <v>69d</v>
          </cell>
          <cell r="K3266" t="str">
            <v>69d</v>
          </cell>
          <cell r="N3266">
            <v>325.07</v>
          </cell>
          <cell r="Q3266" t="str">
            <v>2016_01</v>
          </cell>
        </row>
        <row r="3267">
          <cell r="J3267" t="str">
            <v>69d</v>
          </cell>
          <cell r="K3267" t="str">
            <v>69d</v>
          </cell>
          <cell r="N3267">
            <v>370.97</v>
          </cell>
          <cell r="Q3267" t="str">
            <v>2016_02</v>
          </cell>
        </row>
        <row r="3268">
          <cell r="J3268" t="str">
            <v>69d</v>
          </cell>
          <cell r="K3268" t="str">
            <v>69d</v>
          </cell>
          <cell r="N3268">
            <v>363.07</v>
          </cell>
          <cell r="Q3268" t="str">
            <v>2016_03</v>
          </cell>
        </row>
        <row r="3269">
          <cell r="J3269" t="str">
            <v>69d</v>
          </cell>
          <cell r="K3269" t="str">
            <v>69d</v>
          </cell>
          <cell r="N3269">
            <v>444.17</v>
          </cell>
          <cell r="Q3269" t="str">
            <v>2016_04</v>
          </cell>
        </row>
        <row r="3270">
          <cell r="J3270" t="str">
            <v>69d</v>
          </cell>
          <cell r="K3270" t="str">
            <v>69d</v>
          </cell>
          <cell r="N3270">
            <v>145.29</v>
          </cell>
          <cell r="Q3270" t="str">
            <v>2016_05</v>
          </cell>
        </row>
        <row r="3271">
          <cell r="J3271" t="str">
            <v>69d</v>
          </cell>
          <cell r="K3271" t="str">
            <v>69d</v>
          </cell>
          <cell r="N3271">
            <v>316.64999999999998</v>
          </cell>
          <cell r="Q3271" t="str">
            <v>2016_06</v>
          </cell>
        </row>
        <row r="3272">
          <cell r="J3272" t="str">
            <v>69d</v>
          </cell>
          <cell r="K3272" t="str">
            <v>69d</v>
          </cell>
          <cell r="N3272">
            <v>333.23</v>
          </cell>
          <cell r="Q3272" t="str">
            <v>2016_07</v>
          </cell>
        </row>
        <row r="3273">
          <cell r="J3273" t="str">
            <v>69d</v>
          </cell>
          <cell r="K3273" t="str">
            <v>69d</v>
          </cell>
          <cell r="N3273">
            <v>298.58</v>
          </cell>
          <cell r="Q3273" t="str">
            <v>2016_08</v>
          </cell>
        </row>
        <row r="3274">
          <cell r="J3274" t="str">
            <v>69d</v>
          </cell>
          <cell r="K3274" t="str">
            <v>69d</v>
          </cell>
          <cell r="N3274">
            <v>536.73</v>
          </cell>
          <cell r="Q3274" t="str">
            <v>2016_09</v>
          </cell>
        </row>
        <row r="3275">
          <cell r="J3275" t="str">
            <v>69d</v>
          </cell>
          <cell r="K3275" t="str">
            <v>69d</v>
          </cell>
          <cell r="N3275">
            <v>111.71</v>
          </cell>
          <cell r="Q3275" t="str">
            <v>2015_10</v>
          </cell>
        </row>
        <row r="3276">
          <cell r="J3276" t="str">
            <v>69d</v>
          </cell>
          <cell r="K3276" t="str">
            <v>69d</v>
          </cell>
          <cell r="N3276">
            <v>71.09</v>
          </cell>
          <cell r="Q3276" t="str">
            <v>2015_11</v>
          </cell>
        </row>
        <row r="3277">
          <cell r="J3277" t="str">
            <v>69d</v>
          </cell>
          <cell r="K3277" t="str">
            <v>69d</v>
          </cell>
          <cell r="N3277">
            <v>68.42</v>
          </cell>
          <cell r="Q3277" t="str">
            <v>2015_12</v>
          </cell>
        </row>
        <row r="3278">
          <cell r="J3278" t="str">
            <v>69d</v>
          </cell>
          <cell r="K3278" t="str">
            <v>69d</v>
          </cell>
          <cell r="N3278">
            <v>76.03</v>
          </cell>
          <cell r="Q3278" t="str">
            <v>2016_01</v>
          </cell>
        </row>
        <row r="3279">
          <cell r="J3279" t="str">
            <v>69d</v>
          </cell>
          <cell r="K3279" t="str">
            <v>69d</v>
          </cell>
          <cell r="N3279">
            <v>86.76</v>
          </cell>
          <cell r="Q3279" t="str">
            <v>2016_02</v>
          </cell>
        </row>
        <row r="3280">
          <cell r="J3280" t="str">
            <v>69d</v>
          </cell>
          <cell r="K3280" t="str">
            <v>69d</v>
          </cell>
          <cell r="N3280">
            <v>84.9</v>
          </cell>
          <cell r="Q3280" t="str">
            <v>2016_03</v>
          </cell>
        </row>
        <row r="3281">
          <cell r="J3281" t="str">
            <v>69d</v>
          </cell>
          <cell r="K3281" t="str">
            <v>69d</v>
          </cell>
          <cell r="N3281">
            <v>103.88</v>
          </cell>
          <cell r="Q3281" t="str">
            <v>2016_04</v>
          </cell>
        </row>
        <row r="3282">
          <cell r="J3282" t="str">
            <v>69d</v>
          </cell>
          <cell r="K3282" t="str">
            <v>69d</v>
          </cell>
          <cell r="N3282">
            <v>33.979999999999997</v>
          </cell>
          <cell r="Q3282" t="str">
            <v>2016_05</v>
          </cell>
        </row>
        <row r="3283">
          <cell r="J3283" t="str">
            <v>69d</v>
          </cell>
          <cell r="K3283" t="str">
            <v>69d</v>
          </cell>
          <cell r="N3283">
            <v>74.06</v>
          </cell>
          <cell r="Q3283" t="str">
            <v>2016_06</v>
          </cell>
        </row>
        <row r="3284">
          <cell r="J3284" t="str">
            <v>69d</v>
          </cell>
          <cell r="K3284" t="str">
            <v>69d</v>
          </cell>
          <cell r="N3284">
            <v>77.930000000000007</v>
          </cell>
          <cell r="Q3284" t="str">
            <v>2016_07</v>
          </cell>
        </row>
        <row r="3285">
          <cell r="J3285" t="str">
            <v>69d</v>
          </cell>
          <cell r="K3285" t="str">
            <v>69d</v>
          </cell>
          <cell r="N3285">
            <v>69.83</v>
          </cell>
          <cell r="Q3285" t="str">
            <v>2016_08</v>
          </cell>
        </row>
        <row r="3286">
          <cell r="J3286" t="str">
            <v>69d</v>
          </cell>
          <cell r="K3286" t="str">
            <v>69d</v>
          </cell>
          <cell r="N3286">
            <v>125.52</v>
          </cell>
          <cell r="Q3286" t="str">
            <v>2016_09</v>
          </cell>
        </row>
        <row r="3287">
          <cell r="J3287" t="str">
            <v>69d</v>
          </cell>
          <cell r="K3287" t="str">
            <v>69d</v>
          </cell>
          <cell r="N3287">
            <v>14.55</v>
          </cell>
          <cell r="Q3287" t="str">
            <v>2015_10</v>
          </cell>
        </row>
        <row r="3288">
          <cell r="J3288" t="str">
            <v>69d</v>
          </cell>
          <cell r="K3288" t="str">
            <v>69d</v>
          </cell>
          <cell r="N3288">
            <v>5.7</v>
          </cell>
          <cell r="Q3288" t="str">
            <v>2015_11</v>
          </cell>
        </row>
        <row r="3289">
          <cell r="J3289" t="str">
            <v>69d</v>
          </cell>
          <cell r="K3289" t="str">
            <v>69d</v>
          </cell>
          <cell r="N3289">
            <v>10.74</v>
          </cell>
          <cell r="Q3289" t="str">
            <v>2015_12</v>
          </cell>
        </row>
        <row r="3290">
          <cell r="J3290" t="str">
            <v>69d</v>
          </cell>
          <cell r="K3290" t="str">
            <v>69d</v>
          </cell>
          <cell r="N3290">
            <v>31.46</v>
          </cell>
          <cell r="Q3290" t="str">
            <v>2016_01</v>
          </cell>
        </row>
        <row r="3291">
          <cell r="J3291" t="str">
            <v>69d</v>
          </cell>
          <cell r="K3291" t="str">
            <v>69d</v>
          </cell>
          <cell r="N3291">
            <v>35.9</v>
          </cell>
          <cell r="Q3291" t="str">
            <v>2016_02</v>
          </cell>
        </row>
        <row r="3292">
          <cell r="J3292" t="str">
            <v>69d</v>
          </cell>
          <cell r="K3292" t="str">
            <v>69d</v>
          </cell>
          <cell r="N3292">
            <v>16.64</v>
          </cell>
          <cell r="Q3292" t="str">
            <v>2016_03</v>
          </cell>
        </row>
        <row r="3293">
          <cell r="J3293" t="str">
            <v>69d</v>
          </cell>
          <cell r="K3293" t="str">
            <v>69d</v>
          </cell>
          <cell r="N3293">
            <v>0</v>
          </cell>
          <cell r="Q3293" t="str">
            <v>2016_04</v>
          </cell>
        </row>
        <row r="3294">
          <cell r="J3294" t="str">
            <v>69d</v>
          </cell>
          <cell r="K3294" t="str">
            <v>69d</v>
          </cell>
          <cell r="N3294">
            <v>3.53</v>
          </cell>
          <cell r="Q3294" t="str">
            <v>2016_05</v>
          </cell>
        </row>
        <row r="3295">
          <cell r="J3295" t="str">
            <v>69d</v>
          </cell>
          <cell r="K3295" t="str">
            <v>69d</v>
          </cell>
          <cell r="N3295">
            <v>13.84</v>
          </cell>
          <cell r="Q3295" t="str">
            <v>2016_06</v>
          </cell>
        </row>
        <row r="3296">
          <cell r="J3296" t="str">
            <v>69d</v>
          </cell>
          <cell r="K3296" t="str">
            <v>69d</v>
          </cell>
          <cell r="N3296">
            <v>13.91</v>
          </cell>
          <cell r="Q3296" t="str">
            <v>2016_07</v>
          </cell>
        </row>
        <row r="3297">
          <cell r="J3297" t="str">
            <v>69d</v>
          </cell>
          <cell r="K3297" t="str">
            <v>69d</v>
          </cell>
          <cell r="N3297">
            <v>10.72</v>
          </cell>
          <cell r="Q3297" t="str">
            <v>2016_08</v>
          </cell>
        </row>
        <row r="3298">
          <cell r="J3298" t="str">
            <v>69d</v>
          </cell>
          <cell r="K3298" t="str">
            <v>69d</v>
          </cell>
          <cell r="N3298">
            <v>17.21</v>
          </cell>
          <cell r="Q3298" t="str">
            <v>2016_09</v>
          </cell>
        </row>
        <row r="3299">
          <cell r="J3299" t="str">
            <v>69d</v>
          </cell>
          <cell r="K3299" t="str">
            <v>69d</v>
          </cell>
          <cell r="N3299">
            <v>32.35</v>
          </cell>
          <cell r="Q3299" t="str">
            <v>2015_10</v>
          </cell>
        </row>
        <row r="3300">
          <cell r="J3300" t="str">
            <v>69d</v>
          </cell>
          <cell r="K3300" t="str">
            <v>69d</v>
          </cell>
          <cell r="N3300">
            <v>20.58</v>
          </cell>
          <cell r="Q3300" t="str">
            <v>2015_11</v>
          </cell>
        </row>
        <row r="3301">
          <cell r="J3301" t="str">
            <v>69d</v>
          </cell>
          <cell r="K3301" t="str">
            <v>69d</v>
          </cell>
          <cell r="N3301">
            <v>19.8</v>
          </cell>
          <cell r="Q3301" t="str">
            <v>2015_12</v>
          </cell>
        </row>
        <row r="3302">
          <cell r="J3302" t="str">
            <v>69d</v>
          </cell>
          <cell r="K3302" t="str">
            <v>69d</v>
          </cell>
          <cell r="N3302">
            <v>20.2</v>
          </cell>
          <cell r="Q3302" t="str">
            <v>2016_01</v>
          </cell>
        </row>
        <row r="3303">
          <cell r="J3303" t="str">
            <v>69d</v>
          </cell>
          <cell r="K3303" t="str">
            <v>69d</v>
          </cell>
          <cell r="N3303">
            <v>22.13</v>
          </cell>
          <cell r="Q3303" t="str">
            <v>2016_02</v>
          </cell>
        </row>
        <row r="3304">
          <cell r="J3304" t="str">
            <v>69d</v>
          </cell>
          <cell r="K3304" t="str">
            <v>69d</v>
          </cell>
          <cell r="N3304">
            <v>21.67</v>
          </cell>
          <cell r="Q3304" t="str">
            <v>2016_03</v>
          </cell>
        </row>
        <row r="3305">
          <cell r="J3305" t="str">
            <v>69d</v>
          </cell>
          <cell r="K3305" t="str">
            <v>69d</v>
          </cell>
          <cell r="N3305">
            <v>26.49</v>
          </cell>
          <cell r="Q3305" t="str">
            <v>2016_04</v>
          </cell>
        </row>
        <row r="3306">
          <cell r="J3306" t="str">
            <v>69d</v>
          </cell>
          <cell r="K3306" t="str">
            <v>69d</v>
          </cell>
          <cell r="N3306">
            <v>8.68</v>
          </cell>
          <cell r="Q3306" t="str">
            <v>2016_05</v>
          </cell>
        </row>
        <row r="3307">
          <cell r="J3307" t="str">
            <v>69d</v>
          </cell>
          <cell r="K3307" t="str">
            <v>69d</v>
          </cell>
          <cell r="N3307">
            <v>18.899999999999999</v>
          </cell>
          <cell r="Q3307" t="str">
            <v>2016_06</v>
          </cell>
        </row>
        <row r="3308">
          <cell r="J3308" t="str">
            <v>69d</v>
          </cell>
          <cell r="K3308" t="str">
            <v>69d</v>
          </cell>
          <cell r="N3308">
            <v>19.89</v>
          </cell>
          <cell r="Q3308" t="str">
            <v>2016_07</v>
          </cell>
        </row>
        <row r="3309">
          <cell r="J3309" t="str">
            <v>69d</v>
          </cell>
          <cell r="K3309" t="str">
            <v>69d</v>
          </cell>
          <cell r="N3309">
            <v>17.809999999999999</v>
          </cell>
          <cell r="Q3309" t="str">
            <v>2016_08</v>
          </cell>
        </row>
        <row r="3310">
          <cell r="J3310" t="str">
            <v>69d</v>
          </cell>
          <cell r="K3310" t="str">
            <v>69d</v>
          </cell>
          <cell r="N3310">
            <v>32.03</v>
          </cell>
          <cell r="Q3310" t="str">
            <v>2016_09</v>
          </cell>
        </row>
        <row r="3311">
          <cell r="J3311" t="str">
            <v>69c</v>
          </cell>
          <cell r="K3311" t="str">
            <v>69c</v>
          </cell>
          <cell r="N3311">
            <v>736.17</v>
          </cell>
          <cell r="Q3311" t="str">
            <v>2015_10</v>
          </cell>
        </row>
        <row r="3312">
          <cell r="J3312" t="str">
            <v>69c</v>
          </cell>
          <cell r="K3312" t="str">
            <v>69c</v>
          </cell>
          <cell r="N3312">
            <v>439.82</v>
          </cell>
          <cell r="Q3312" t="str">
            <v>2015_11</v>
          </cell>
        </row>
        <row r="3313">
          <cell r="J3313" t="str">
            <v>69c</v>
          </cell>
          <cell r="K3313" t="str">
            <v>69c</v>
          </cell>
          <cell r="N3313">
            <v>442.23</v>
          </cell>
          <cell r="Q3313" t="str">
            <v>2015_12</v>
          </cell>
        </row>
        <row r="3314">
          <cell r="J3314" t="str">
            <v>69c</v>
          </cell>
          <cell r="K3314" t="str">
            <v>69c</v>
          </cell>
          <cell r="N3314">
            <v>514.37</v>
          </cell>
          <cell r="Q3314" t="str">
            <v>2016_01</v>
          </cell>
        </row>
        <row r="3315">
          <cell r="J3315" t="str">
            <v>69c</v>
          </cell>
          <cell r="K3315" t="str">
            <v>69c</v>
          </cell>
          <cell r="N3315">
            <v>630.92999999999995</v>
          </cell>
          <cell r="Q3315" t="str">
            <v>2016_02</v>
          </cell>
        </row>
        <row r="3316">
          <cell r="J3316" t="str">
            <v>69c</v>
          </cell>
          <cell r="K3316" t="str">
            <v>69c</v>
          </cell>
          <cell r="N3316">
            <v>609.05999999999995</v>
          </cell>
          <cell r="Q3316" t="str">
            <v>2016_03</v>
          </cell>
        </row>
        <row r="3317">
          <cell r="J3317" t="str">
            <v>69c</v>
          </cell>
          <cell r="K3317" t="str">
            <v>69c</v>
          </cell>
          <cell r="N3317">
            <v>688.24</v>
          </cell>
          <cell r="Q3317" t="str">
            <v>2016_04</v>
          </cell>
        </row>
        <row r="3318">
          <cell r="J3318" t="str">
            <v>69c</v>
          </cell>
          <cell r="K3318" t="str">
            <v>69c</v>
          </cell>
          <cell r="N3318">
            <v>287.7</v>
          </cell>
          <cell r="Q3318" t="str">
            <v>2016_05</v>
          </cell>
        </row>
        <row r="3319">
          <cell r="J3319" t="str">
            <v>69c</v>
          </cell>
          <cell r="K3319" t="str">
            <v>69c</v>
          </cell>
          <cell r="N3319">
            <v>344.95</v>
          </cell>
          <cell r="Q3319" t="str">
            <v>2016_06</v>
          </cell>
        </row>
        <row r="3320">
          <cell r="J3320" t="str">
            <v>69c</v>
          </cell>
          <cell r="K3320" t="str">
            <v>69c</v>
          </cell>
          <cell r="N3320">
            <v>660.79</v>
          </cell>
          <cell r="Q3320" t="str">
            <v>2016_07</v>
          </cell>
        </row>
        <row r="3321">
          <cell r="J3321" t="str">
            <v>69c</v>
          </cell>
          <cell r="K3321" t="str">
            <v>69c</v>
          </cell>
          <cell r="N3321">
            <v>617.55999999999995</v>
          </cell>
          <cell r="Q3321" t="str">
            <v>2016_08</v>
          </cell>
        </row>
        <row r="3322">
          <cell r="J3322" t="str">
            <v>69c</v>
          </cell>
          <cell r="K3322" t="str">
            <v>69c</v>
          </cell>
          <cell r="N3322">
            <v>1041.28</v>
          </cell>
          <cell r="Q3322" t="str">
            <v>2016_09</v>
          </cell>
        </row>
        <row r="3323">
          <cell r="J3323" t="str">
            <v>69b</v>
          </cell>
          <cell r="K3323" t="str">
            <v>69b</v>
          </cell>
          <cell r="N3323">
            <v>777.78</v>
          </cell>
          <cell r="Q3323" t="str">
            <v>2016_09</v>
          </cell>
        </row>
        <row r="3324">
          <cell r="J3324">
            <v>29</v>
          </cell>
          <cell r="K3324">
            <v>29</v>
          </cell>
          <cell r="N3324">
            <v>5956.28</v>
          </cell>
          <cell r="Q3324" t="str">
            <v>2015_10</v>
          </cell>
        </row>
        <row r="3325">
          <cell r="J3325">
            <v>29</v>
          </cell>
          <cell r="K3325">
            <v>29</v>
          </cell>
          <cell r="N3325">
            <v>4406.88</v>
          </cell>
          <cell r="Q3325" t="str">
            <v>2015_11</v>
          </cell>
        </row>
        <row r="3326">
          <cell r="J3326">
            <v>29</v>
          </cell>
          <cell r="K3326">
            <v>29</v>
          </cell>
          <cell r="N3326">
            <v>12019.82</v>
          </cell>
          <cell r="Q3326" t="str">
            <v>2015_12</v>
          </cell>
        </row>
        <row r="3327">
          <cell r="J3327">
            <v>29</v>
          </cell>
          <cell r="K3327">
            <v>29</v>
          </cell>
          <cell r="N3327">
            <v>9620.7199999999993</v>
          </cell>
          <cell r="Q3327" t="str">
            <v>2016_01</v>
          </cell>
        </row>
        <row r="3328">
          <cell r="J3328">
            <v>29</v>
          </cell>
          <cell r="K3328">
            <v>29</v>
          </cell>
          <cell r="N3328">
            <v>6320.72</v>
          </cell>
          <cell r="Q3328" t="str">
            <v>2016_02</v>
          </cell>
        </row>
        <row r="3329">
          <cell r="J3329">
            <v>29</v>
          </cell>
          <cell r="K3329">
            <v>29</v>
          </cell>
          <cell r="N3329">
            <v>5763.16</v>
          </cell>
          <cell r="Q3329" t="str">
            <v>2016_03</v>
          </cell>
        </row>
        <row r="3330">
          <cell r="J3330">
            <v>29</v>
          </cell>
          <cell r="K3330">
            <v>29</v>
          </cell>
          <cell r="N3330">
            <v>5763.16</v>
          </cell>
          <cell r="Q3330" t="str">
            <v>2016_04</v>
          </cell>
        </row>
        <row r="3331">
          <cell r="J3331">
            <v>29</v>
          </cell>
          <cell r="K3331">
            <v>29</v>
          </cell>
          <cell r="N3331">
            <v>5018.04</v>
          </cell>
          <cell r="Q3331" t="str">
            <v>2016_05</v>
          </cell>
        </row>
        <row r="3332">
          <cell r="J3332">
            <v>29</v>
          </cell>
          <cell r="K3332">
            <v>29</v>
          </cell>
          <cell r="N3332">
            <v>5575.6</v>
          </cell>
          <cell r="Q3332" t="str">
            <v>2016_06</v>
          </cell>
        </row>
        <row r="3333">
          <cell r="J3333">
            <v>29</v>
          </cell>
          <cell r="K3333">
            <v>29</v>
          </cell>
          <cell r="N3333">
            <v>5575.6</v>
          </cell>
          <cell r="Q3333" t="str">
            <v>2016_07</v>
          </cell>
        </row>
        <row r="3334">
          <cell r="J3334">
            <v>29</v>
          </cell>
          <cell r="K3334">
            <v>29</v>
          </cell>
          <cell r="N3334">
            <v>6133.16</v>
          </cell>
          <cell r="Q3334" t="str">
            <v>2016_08</v>
          </cell>
        </row>
        <row r="3335">
          <cell r="J3335">
            <v>29</v>
          </cell>
          <cell r="K3335">
            <v>29</v>
          </cell>
          <cell r="N3335">
            <v>6779.42</v>
          </cell>
          <cell r="Q3335" t="str">
            <v>2016_09</v>
          </cell>
        </row>
        <row r="3336">
          <cell r="J3336">
            <v>30</v>
          </cell>
          <cell r="K3336">
            <v>30</v>
          </cell>
          <cell r="N3336">
            <v>3456.29</v>
          </cell>
          <cell r="Q3336" t="str">
            <v>2015_10</v>
          </cell>
        </row>
        <row r="3337">
          <cell r="J3337">
            <v>30</v>
          </cell>
          <cell r="K3337">
            <v>30</v>
          </cell>
          <cell r="N3337">
            <v>2241.89</v>
          </cell>
          <cell r="Q3337" t="str">
            <v>2015_11</v>
          </cell>
        </row>
        <row r="3338">
          <cell r="J3338">
            <v>30</v>
          </cell>
          <cell r="K3338">
            <v>30</v>
          </cell>
          <cell r="N3338">
            <v>2167.4499999999998</v>
          </cell>
          <cell r="Q3338" t="str">
            <v>2015_12</v>
          </cell>
        </row>
        <row r="3339">
          <cell r="J3339">
            <v>30</v>
          </cell>
          <cell r="K3339">
            <v>30</v>
          </cell>
          <cell r="N3339">
            <v>2171.91</v>
          </cell>
          <cell r="Q3339" t="str">
            <v>2016_01</v>
          </cell>
        </row>
        <row r="3340">
          <cell r="J3340">
            <v>30</v>
          </cell>
          <cell r="K3340">
            <v>30</v>
          </cell>
          <cell r="N3340">
            <v>1886.19</v>
          </cell>
          <cell r="Q3340" t="str">
            <v>2016_02</v>
          </cell>
        </row>
        <row r="3341">
          <cell r="J3341">
            <v>30</v>
          </cell>
          <cell r="K3341">
            <v>30</v>
          </cell>
          <cell r="N3341">
            <v>1801.57</v>
          </cell>
          <cell r="Q3341" t="str">
            <v>2016_03</v>
          </cell>
        </row>
        <row r="3342">
          <cell r="J3342">
            <v>30</v>
          </cell>
          <cell r="K3342">
            <v>30</v>
          </cell>
          <cell r="N3342">
            <v>2944.08</v>
          </cell>
          <cell r="Q3342" t="str">
            <v>2016_04</v>
          </cell>
        </row>
        <row r="3343">
          <cell r="J3343">
            <v>30</v>
          </cell>
          <cell r="K3343">
            <v>30</v>
          </cell>
          <cell r="N3343">
            <v>2066.7199999999998</v>
          </cell>
          <cell r="Q3343" t="str">
            <v>2016_05</v>
          </cell>
        </row>
        <row r="3344">
          <cell r="J3344">
            <v>30</v>
          </cell>
          <cell r="K3344">
            <v>30</v>
          </cell>
          <cell r="N3344">
            <v>2014.59</v>
          </cell>
          <cell r="Q3344" t="str">
            <v>2016_06</v>
          </cell>
        </row>
        <row r="3345">
          <cell r="J3345">
            <v>30</v>
          </cell>
          <cell r="K3345">
            <v>30</v>
          </cell>
          <cell r="N3345">
            <v>2020.43</v>
          </cell>
          <cell r="Q3345" t="str">
            <v>2016_07</v>
          </cell>
        </row>
        <row r="3346">
          <cell r="J3346">
            <v>30</v>
          </cell>
          <cell r="K3346">
            <v>30</v>
          </cell>
          <cell r="N3346">
            <v>2003.65</v>
          </cell>
          <cell r="Q3346" t="str">
            <v>2016_08</v>
          </cell>
        </row>
        <row r="3347">
          <cell r="J3347">
            <v>30</v>
          </cell>
          <cell r="K3347">
            <v>30</v>
          </cell>
          <cell r="N3347">
            <v>3186.52</v>
          </cell>
          <cell r="Q3347" t="str">
            <v>2016_09</v>
          </cell>
        </row>
        <row r="3348">
          <cell r="J3348">
            <v>30</v>
          </cell>
          <cell r="K3348">
            <v>30</v>
          </cell>
          <cell r="N3348">
            <v>258</v>
          </cell>
          <cell r="Q3348" t="str">
            <v>2015_10</v>
          </cell>
        </row>
        <row r="3349">
          <cell r="J3349">
            <v>30</v>
          </cell>
          <cell r="K3349">
            <v>30</v>
          </cell>
          <cell r="N3349">
            <v>258</v>
          </cell>
          <cell r="Q3349" t="str">
            <v>2015_11</v>
          </cell>
        </row>
        <row r="3350">
          <cell r="J3350">
            <v>30</v>
          </cell>
          <cell r="K3350">
            <v>30</v>
          </cell>
          <cell r="N3350">
            <v>236.5</v>
          </cell>
          <cell r="Q3350" t="str">
            <v>2015_12</v>
          </cell>
        </row>
        <row r="3351">
          <cell r="J3351">
            <v>30</v>
          </cell>
          <cell r="K3351">
            <v>30</v>
          </cell>
          <cell r="N3351">
            <v>236.5</v>
          </cell>
          <cell r="Q3351" t="str">
            <v>2016_01</v>
          </cell>
        </row>
        <row r="3352">
          <cell r="J3352">
            <v>30</v>
          </cell>
          <cell r="K3352">
            <v>30</v>
          </cell>
          <cell r="N3352">
            <v>258</v>
          </cell>
          <cell r="Q3352" t="str">
            <v>2016_02</v>
          </cell>
        </row>
        <row r="3353">
          <cell r="J3353">
            <v>30</v>
          </cell>
          <cell r="K3353">
            <v>30</v>
          </cell>
          <cell r="N3353">
            <v>258</v>
          </cell>
          <cell r="Q3353" t="str">
            <v>2016_03</v>
          </cell>
        </row>
        <row r="3354">
          <cell r="J3354">
            <v>30</v>
          </cell>
          <cell r="K3354">
            <v>30</v>
          </cell>
          <cell r="N3354">
            <v>279.5</v>
          </cell>
          <cell r="Q3354" t="str">
            <v>2016_04</v>
          </cell>
        </row>
        <row r="3355">
          <cell r="J3355">
            <v>30</v>
          </cell>
          <cell r="K3355">
            <v>30</v>
          </cell>
          <cell r="N3355">
            <v>279.5</v>
          </cell>
          <cell r="Q3355" t="str">
            <v>2016_05</v>
          </cell>
        </row>
        <row r="3356">
          <cell r="J3356">
            <v>30</v>
          </cell>
          <cell r="K3356">
            <v>30</v>
          </cell>
          <cell r="N3356">
            <v>258</v>
          </cell>
          <cell r="Q3356" t="str">
            <v>2016_06</v>
          </cell>
        </row>
        <row r="3357">
          <cell r="J3357">
            <v>30</v>
          </cell>
          <cell r="K3357">
            <v>30</v>
          </cell>
          <cell r="N3357">
            <v>279.5</v>
          </cell>
          <cell r="Q3357" t="str">
            <v>2016_07</v>
          </cell>
        </row>
        <row r="3358">
          <cell r="J3358">
            <v>30</v>
          </cell>
          <cell r="K3358">
            <v>30</v>
          </cell>
          <cell r="N3358">
            <v>279.5</v>
          </cell>
          <cell r="Q3358" t="str">
            <v>2016_08</v>
          </cell>
        </row>
        <row r="3359">
          <cell r="J3359">
            <v>30</v>
          </cell>
          <cell r="K3359">
            <v>30</v>
          </cell>
          <cell r="N3359">
            <v>322.5</v>
          </cell>
          <cell r="Q3359" t="str">
            <v>2016_09</v>
          </cell>
        </row>
        <row r="3360">
          <cell r="J3360">
            <v>28</v>
          </cell>
          <cell r="K3360">
            <v>28</v>
          </cell>
          <cell r="N3360">
            <v>6185.7</v>
          </cell>
          <cell r="Q3360" t="str">
            <v>2015_10</v>
          </cell>
        </row>
        <row r="3361">
          <cell r="J3361">
            <v>28</v>
          </cell>
          <cell r="K3361">
            <v>28</v>
          </cell>
          <cell r="N3361">
            <v>3839.4</v>
          </cell>
          <cell r="Q3361" t="str">
            <v>2015_11</v>
          </cell>
        </row>
        <row r="3362">
          <cell r="J3362">
            <v>28</v>
          </cell>
          <cell r="K3362">
            <v>28</v>
          </cell>
          <cell r="N3362">
            <v>4844.68</v>
          </cell>
          <cell r="Q3362" t="str">
            <v>2015_12</v>
          </cell>
        </row>
        <row r="3363">
          <cell r="J3363">
            <v>28</v>
          </cell>
          <cell r="K3363">
            <v>28</v>
          </cell>
          <cell r="N3363">
            <v>3277.95</v>
          </cell>
          <cell r="Q3363" t="str">
            <v>2016_01</v>
          </cell>
        </row>
        <row r="3364">
          <cell r="J3364">
            <v>28</v>
          </cell>
          <cell r="K3364">
            <v>28</v>
          </cell>
          <cell r="N3364">
            <v>3277.95</v>
          </cell>
          <cell r="Q3364" t="str">
            <v>2016_02</v>
          </cell>
        </row>
        <row r="3365">
          <cell r="J3365">
            <v>28</v>
          </cell>
          <cell r="K3365">
            <v>28</v>
          </cell>
          <cell r="N3365">
            <v>3277.95</v>
          </cell>
          <cell r="Q3365" t="str">
            <v>2016_03</v>
          </cell>
        </row>
        <row r="3366">
          <cell r="J3366">
            <v>28</v>
          </cell>
          <cell r="K3366">
            <v>28</v>
          </cell>
          <cell r="N3366">
            <v>3277.95</v>
          </cell>
          <cell r="Q3366" t="str">
            <v>2016_04</v>
          </cell>
        </row>
        <row r="3367">
          <cell r="J3367">
            <v>28</v>
          </cell>
          <cell r="K3367">
            <v>28</v>
          </cell>
          <cell r="N3367">
            <v>3277.95</v>
          </cell>
          <cell r="Q3367" t="str">
            <v>2016_05</v>
          </cell>
        </row>
        <row r="3368">
          <cell r="J3368">
            <v>28</v>
          </cell>
          <cell r="K3368">
            <v>28</v>
          </cell>
          <cell r="N3368">
            <v>3277.95</v>
          </cell>
          <cell r="Q3368" t="str">
            <v>2016_06</v>
          </cell>
        </row>
        <row r="3369">
          <cell r="J3369">
            <v>28</v>
          </cell>
          <cell r="K3369">
            <v>28</v>
          </cell>
          <cell r="N3369">
            <v>3277.95</v>
          </cell>
          <cell r="Q3369" t="str">
            <v>2016_07</v>
          </cell>
        </row>
        <row r="3370">
          <cell r="J3370">
            <v>28</v>
          </cell>
          <cell r="K3370">
            <v>28</v>
          </cell>
          <cell r="N3370">
            <v>3277.95</v>
          </cell>
          <cell r="Q3370" t="str">
            <v>2016_08</v>
          </cell>
        </row>
        <row r="3371">
          <cell r="J3371">
            <v>28</v>
          </cell>
          <cell r="K3371">
            <v>28</v>
          </cell>
          <cell r="N3371">
            <v>3277.95</v>
          </cell>
          <cell r="Q3371" t="str">
            <v>2016_09</v>
          </cell>
        </row>
        <row r="3372">
          <cell r="J3372">
            <v>32</v>
          </cell>
          <cell r="K3372">
            <v>32</v>
          </cell>
          <cell r="N3372">
            <v>4286.87</v>
          </cell>
          <cell r="Q3372" t="str">
            <v>2015_10</v>
          </cell>
        </row>
        <row r="3373">
          <cell r="J3373">
            <v>32</v>
          </cell>
          <cell r="K3373">
            <v>32</v>
          </cell>
          <cell r="N3373">
            <v>2965.89</v>
          </cell>
          <cell r="Q3373" t="str">
            <v>2015_11</v>
          </cell>
        </row>
        <row r="3374">
          <cell r="J3374">
            <v>32</v>
          </cell>
          <cell r="K3374">
            <v>32</v>
          </cell>
          <cell r="N3374">
            <v>2780.64</v>
          </cell>
          <cell r="Q3374" t="str">
            <v>2015_12</v>
          </cell>
        </row>
        <row r="3375">
          <cell r="J3375">
            <v>32</v>
          </cell>
          <cell r="K3375">
            <v>32</v>
          </cell>
          <cell r="N3375">
            <v>2786.2</v>
          </cell>
          <cell r="Q3375" t="str">
            <v>2016_01</v>
          </cell>
        </row>
        <row r="3376">
          <cell r="J3376">
            <v>32</v>
          </cell>
          <cell r="K3376">
            <v>32</v>
          </cell>
          <cell r="N3376">
            <v>2338.87</v>
          </cell>
          <cell r="Q3376" t="str">
            <v>2016_02</v>
          </cell>
        </row>
        <row r="3377">
          <cell r="J3377">
            <v>32</v>
          </cell>
          <cell r="K3377">
            <v>32</v>
          </cell>
          <cell r="N3377">
            <v>2233.9499999999998</v>
          </cell>
          <cell r="Q3377" t="str">
            <v>2016_03</v>
          </cell>
        </row>
        <row r="3378">
          <cell r="J3378">
            <v>32</v>
          </cell>
          <cell r="K3378">
            <v>32</v>
          </cell>
          <cell r="N3378">
            <v>4258.01</v>
          </cell>
          <cell r="Q3378" t="str">
            <v>2016_04</v>
          </cell>
        </row>
        <row r="3379">
          <cell r="J3379">
            <v>32</v>
          </cell>
          <cell r="K3379">
            <v>32</v>
          </cell>
          <cell r="N3379">
            <v>2972.47</v>
          </cell>
          <cell r="Q3379" t="str">
            <v>2016_05</v>
          </cell>
        </row>
        <row r="3380">
          <cell r="J3380">
            <v>32</v>
          </cell>
          <cell r="K3380">
            <v>32</v>
          </cell>
          <cell r="N3380">
            <v>2916.22</v>
          </cell>
          <cell r="Q3380" t="str">
            <v>2016_06</v>
          </cell>
        </row>
        <row r="3381">
          <cell r="J3381">
            <v>32</v>
          </cell>
          <cell r="K3381">
            <v>32</v>
          </cell>
          <cell r="N3381">
            <v>2953.41</v>
          </cell>
          <cell r="Q3381" t="str">
            <v>2016_07</v>
          </cell>
        </row>
        <row r="3382">
          <cell r="J3382">
            <v>32</v>
          </cell>
          <cell r="K3382">
            <v>32</v>
          </cell>
          <cell r="N3382">
            <v>2907.91</v>
          </cell>
          <cell r="Q3382" t="str">
            <v>2016_08</v>
          </cell>
        </row>
        <row r="3383">
          <cell r="J3383">
            <v>32</v>
          </cell>
          <cell r="K3383">
            <v>32</v>
          </cell>
          <cell r="N3383">
            <v>4568.53</v>
          </cell>
          <cell r="Q3383" t="str">
            <v>2016_09</v>
          </cell>
        </row>
        <row r="3384">
          <cell r="J3384">
            <v>32</v>
          </cell>
          <cell r="K3384">
            <v>32</v>
          </cell>
          <cell r="N3384">
            <v>1002.34</v>
          </cell>
          <cell r="Q3384" t="str">
            <v>2015_10</v>
          </cell>
        </row>
        <row r="3385">
          <cell r="J3385">
            <v>32</v>
          </cell>
          <cell r="K3385">
            <v>32</v>
          </cell>
          <cell r="N3385">
            <v>693.63</v>
          </cell>
          <cell r="Q3385" t="str">
            <v>2015_11</v>
          </cell>
        </row>
        <row r="3386">
          <cell r="J3386">
            <v>32</v>
          </cell>
          <cell r="K3386">
            <v>32</v>
          </cell>
          <cell r="N3386">
            <v>650.29999999999995</v>
          </cell>
          <cell r="Q3386" t="str">
            <v>2015_12</v>
          </cell>
        </row>
        <row r="3387">
          <cell r="J3387">
            <v>32</v>
          </cell>
          <cell r="K3387">
            <v>32</v>
          </cell>
          <cell r="N3387">
            <v>651.63</v>
          </cell>
          <cell r="Q3387" t="str">
            <v>2016_01</v>
          </cell>
        </row>
        <row r="3388">
          <cell r="J3388">
            <v>32</v>
          </cell>
          <cell r="K3388">
            <v>32</v>
          </cell>
          <cell r="N3388">
            <v>546.96</v>
          </cell>
          <cell r="Q3388" t="str">
            <v>2016_02</v>
          </cell>
        </row>
        <row r="3389">
          <cell r="J3389">
            <v>32</v>
          </cell>
          <cell r="K3389">
            <v>32</v>
          </cell>
          <cell r="N3389">
            <v>522.48</v>
          </cell>
          <cell r="Q3389" t="str">
            <v>2016_03</v>
          </cell>
        </row>
        <row r="3390">
          <cell r="J3390">
            <v>32</v>
          </cell>
          <cell r="K3390">
            <v>32</v>
          </cell>
          <cell r="N3390">
            <v>995.81</v>
          </cell>
          <cell r="Q3390" t="str">
            <v>2016_04</v>
          </cell>
        </row>
        <row r="3391">
          <cell r="J3391">
            <v>32</v>
          </cell>
          <cell r="K3391">
            <v>32</v>
          </cell>
          <cell r="N3391">
            <v>695.17</v>
          </cell>
          <cell r="Q3391" t="str">
            <v>2016_05</v>
          </cell>
        </row>
        <row r="3392">
          <cell r="J3392">
            <v>32</v>
          </cell>
          <cell r="K3392">
            <v>32</v>
          </cell>
          <cell r="N3392">
            <v>682.02</v>
          </cell>
          <cell r="Q3392" t="str">
            <v>2016_06</v>
          </cell>
        </row>
        <row r="3393">
          <cell r="J3393">
            <v>32</v>
          </cell>
          <cell r="K3393">
            <v>32</v>
          </cell>
          <cell r="N3393">
            <v>690.72</v>
          </cell>
          <cell r="Q3393" t="str">
            <v>2016_07</v>
          </cell>
        </row>
        <row r="3394">
          <cell r="J3394">
            <v>32</v>
          </cell>
          <cell r="K3394">
            <v>32</v>
          </cell>
          <cell r="N3394">
            <v>680.05</v>
          </cell>
          <cell r="Q3394" t="str">
            <v>2016_08</v>
          </cell>
        </row>
        <row r="3395">
          <cell r="J3395">
            <v>32</v>
          </cell>
          <cell r="K3395">
            <v>32</v>
          </cell>
          <cell r="N3395">
            <v>1068.45</v>
          </cell>
          <cell r="Q3395" t="str">
            <v>2016_09</v>
          </cell>
        </row>
        <row r="3396">
          <cell r="J3396">
            <v>32</v>
          </cell>
          <cell r="K3396">
            <v>32</v>
          </cell>
          <cell r="N3396">
            <v>0</v>
          </cell>
          <cell r="Q3396" t="str">
            <v>2015_10</v>
          </cell>
        </row>
        <row r="3397">
          <cell r="J3397">
            <v>32</v>
          </cell>
          <cell r="K3397">
            <v>32</v>
          </cell>
          <cell r="N3397">
            <v>0</v>
          </cell>
          <cell r="Q3397" t="str">
            <v>2015_11</v>
          </cell>
        </row>
        <row r="3398">
          <cell r="J3398">
            <v>32</v>
          </cell>
          <cell r="K3398">
            <v>32</v>
          </cell>
          <cell r="N3398">
            <v>0</v>
          </cell>
          <cell r="Q3398" t="str">
            <v>2015_12</v>
          </cell>
        </row>
        <row r="3399">
          <cell r="J3399">
            <v>32</v>
          </cell>
          <cell r="K3399">
            <v>32</v>
          </cell>
          <cell r="N3399">
            <v>269.66000000000003</v>
          </cell>
          <cell r="Q3399" t="str">
            <v>2016_01</v>
          </cell>
        </row>
        <row r="3400">
          <cell r="J3400">
            <v>32</v>
          </cell>
          <cell r="K3400">
            <v>32</v>
          </cell>
          <cell r="N3400">
            <v>183.74</v>
          </cell>
          <cell r="Q3400" t="str">
            <v>2016_02</v>
          </cell>
        </row>
        <row r="3401">
          <cell r="J3401">
            <v>32</v>
          </cell>
          <cell r="K3401">
            <v>32</v>
          </cell>
          <cell r="N3401">
            <v>0</v>
          </cell>
          <cell r="Q3401" t="str">
            <v>2016_03</v>
          </cell>
        </row>
        <row r="3402">
          <cell r="J3402">
            <v>32</v>
          </cell>
          <cell r="K3402">
            <v>32</v>
          </cell>
          <cell r="N3402">
            <v>40.76</v>
          </cell>
          <cell r="Q3402" t="str">
            <v>2016_04</v>
          </cell>
        </row>
        <row r="3403">
          <cell r="J3403">
            <v>32</v>
          </cell>
          <cell r="K3403">
            <v>32</v>
          </cell>
          <cell r="N3403">
            <v>35.979999999999997</v>
          </cell>
          <cell r="Q3403" t="str">
            <v>2016_05</v>
          </cell>
        </row>
        <row r="3404">
          <cell r="J3404">
            <v>32</v>
          </cell>
          <cell r="K3404">
            <v>32</v>
          </cell>
          <cell r="N3404">
            <v>21.25</v>
          </cell>
          <cell r="Q3404" t="str">
            <v>2016_06</v>
          </cell>
        </row>
        <row r="3405">
          <cell r="J3405">
            <v>32</v>
          </cell>
          <cell r="K3405">
            <v>32</v>
          </cell>
          <cell r="N3405">
            <v>21.95</v>
          </cell>
          <cell r="Q3405" t="str">
            <v>2016_07</v>
          </cell>
        </row>
        <row r="3406">
          <cell r="J3406">
            <v>32</v>
          </cell>
          <cell r="K3406">
            <v>32</v>
          </cell>
          <cell r="N3406">
            <v>6.05</v>
          </cell>
          <cell r="Q3406" t="str">
            <v>2016_08</v>
          </cell>
        </row>
        <row r="3407">
          <cell r="J3407">
            <v>32</v>
          </cell>
          <cell r="K3407">
            <v>32</v>
          </cell>
          <cell r="N3407">
            <v>22.23</v>
          </cell>
          <cell r="Q3407" t="str">
            <v>2016_09</v>
          </cell>
        </row>
        <row r="3408">
          <cell r="J3408">
            <v>32</v>
          </cell>
          <cell r="K3408">
            <v>32</v>
          </cell>
          <cell r="N3408">
            <v>234.76</v>
          </cell>
          <cell r="Q3408" t="str">
            <v>2015_10</v>
          </cell>
        </row>
        <row r="3409">
          <cell r="J3409">
            <v>32</v>
          </cell>
          <cell r="K3409">
            <v>32</v>
          </cell>
          <cell r="N3409">
            <v>102.25</v>
          </cell>
          <cell r="Q3409" t="str">
            <v>2015_11</v>
          </cell>
        </row>
        <row r="3410">
          <cell r="J3410">
            <v>32</v>
          </cell>
          <cell r="K3410">
            <v>32</v>
          </cell>
          <cell r="N3410">
            <v>21.33</v>
          </cell>
          <cell r="Q3410" t="str">
            <v>2015_12</v>
          </cell>
        </row>
        <row r="3411">
          <cell r="J3411">
            <v>32</v>
          </cell>
          <cell r="K3411">
            <v>32</v>
          </cell>
          <cell r="N3411">
            <v>177.97</v>
          </cell>
          <cell r="Q3411" t="str">
            <v>2016_01</v>
          </cell>
        </row>
        <row r="3412">
          <cell r="J3412">
            <v>32</v>
          </cell>
          <cell r="K3412">
            <v>32</v>
          </cell>
          <cell r="N3412">
            <v>139.57</v>
          </cell>
          <cell r="Q3412" t="str">
            <v>2016_02</v>
          </cell>
        </row>
        <row r="3413">
          <cell r="J3413">
            <v>32</v>
          </cell>
          <cell r="K3413">
            <v>32</v>
          </cell>
          <cell r="N3413">
            <v>133.30000000000001</v>
          </cell>
          <cell r="Q3413" t="str">
            <v>2016_03</v>
          </cell>
        </row>
        <row r="3414">
          <cell r="J3414">
            <v>32</v>
          </cell>
          <cell r="K3414">
            <v>32</v>
          </cell>
          <cell r="N3414">
            <v>254.1</v>
          </cell>
          <cell r="Q3414" t="str">
            <v>2016_04</v>
          </cell>
        </row>
        <row r="3415">
          <cell r="J3415">
            <v>32</v>
          </cell>
          <cell r="K3415">
            <v>32</v>
          </cell>
          <cell r="N3415">
            <v>177.37</v>
          </cell>
          <cell r="Q3415" t="str">
            <v>2016_05</v>
          </cell>
        </row>
        <row r="3416">
          <cell r="J3416">
            <v>32</v>
          </cell>
          <cell r="K3416">
            <v>32</v>
          </cell>
          <cell r="N3416">
            <v>174.04</v>
          </cell>
          <cell r="Q3416" t="str">
            <v>2016_06</v>
          </cell>
        </row>
        <row r="3417">
          <cell r="J3417">
            <v>32</v>
          </cell>
          <cell r="K3417">
            <v>32</v>
          </cell>
          <cell r="N3417">
            <v>176.25</v>
          </cell>
          <cell r="Q3417" t="str">
            <v>2016_07</v>
          </cell>
        </row>
        <row r="3418">
          <cell r="J3418">
            <v>32</v>
          </cell>
          <cell r="K3418">
            <v>32</v>
          </cell>
          <cell r="N3418">
            <v>173.52</v>
          </cell>
          <cell r="Q3418" t="str">
            <v>2016_08</v>
          </cell>
        </row>
        <row r="3419">
          <cell r="J3419">
            <v>32</v>
          </cell>
          <cell r="K3419">
            <v>32</v>
          </cell>
          <cell r="N3419">
            <v>250.22</v>
          </cell>
          <cell r="Q3419" t="str">
            <v>2016_09</v>
          </cell>
        </row>
        <row r="3420">
          <cell r="J3420">
            <v>31</v>
          </cell>
          <cell r="K3420">
            <v>31</v>
          </cell>
          <cell r="N3420">
            <v>4981.07</v>
          </cell>
          <cell r="Q3420" t="str">
            <v>2015_10</v>
          </cell>
        </row>
        <row r="3421">
          <cell r="J3421">
            <v>31</v>
          </cell>
          <cell r="K3421">
            <v>31</v>
          </cell>
          <cell r="N3421">
            <v>3249.93</v>
          </cell>
          <cell r="Q3421" t="str">
            <v>2015_11</v>
          </cell>
        </row>
        <row r="3422">
          <cell r="J3422">
            <v>31</v>
          </cell>
          <cell r="K3422">
            <v>31</v>
          </cell>
          <cell r="N3422">
            <v>2993.87</v>
          </cell>
          <cell r="Q3422" t="str">
            <v>2015_12</v>
          </cell>
        </row>
        <row r="3423">
          <cell r="J3423">
            <v>31</v>
          </cell>
          <cell r="K3423">
            <v>31</v>
          </cell>
          <cell r="N3423">
            <v>3096.25</v>
          </cell>
          <cell r="Q3423" t="str">
            <v>2016_01</v>
          </cell>
        </row>
        <row r="3424">
          <cell r="J3424">
            <v>31</v>
          </cell>
          <cell r="K3424">
            <v>31</v>
          </cell>
          <cell r="N3424">
            <v>3005.86</v>
          </cell>
          <cell r="Q3424" t="str">
            <v>2016_02</v>
          </cell>
        </row>
        <row r="3425">
          <cell r="J3425">
            <v>31</v>
          </cell>
          <cell r="K3425">
            <v>31</v>
          </cell>
          <cell r="N3425">
            <v>2986.1</v>
          </cell>
          <cell r="Q3425" t="str">
            <v>2016_03</v>
          </cell>
        </row>
        <row r="3426">
          <cell r="J3426">
            <v>31</v>
          </cell>
          <cell r="K3426">
            <v>31</v>
          </cell>
          <cell r="N3426">
            <v>5718.78</v>
          </cell>
          <cell r="Q3426" t="str">
            <v>2016_04</v>
          </cell>
        </row>
        <row r="3427">
          <cell r="J3427">
            <v>31</v>
          </cell>
          <cell r="K3427">
            <v>31</v>
          </cell>
          <cell r="N3427">
            <v>3819.19</v>
          </cell>
          <cell r="Q3427" t="str">
            <v>2016_05</v>
          </cell>
        </row>
        <row r="3428">
          <cell r="J3428">
            <v>31</v>
          </cell>
          <cell r="K3428">
            <v>31</v>
          </cell>
          <cell r="N3428">
            <v>1732.2</v>
          </cell>
          <cell r="Q3428" t="str">
            <v>2016_06</v>
          </cell>
        </row>
        <row r="3429">
          <cell r="J3429">
            <v>31</v>
          </cell>
          <cell r="K3429">
            <v>31</v>
          </cell>
          <cell r="N3429">
            <v>3885.35</v>
          </cell>
          <cell r="Q3429" t="str">
            <v>2016_07</v>
          </cell>
        </row>
        <row r="3430">
          <cell r="J3430">
            <v>31</v>
          </cell>
          <cell r="K3430">
            <v>31</v>
          </cell>
          <cell r="N3430">
            <v>3702.23</v>
          </cell>
          <cell r="Q3430" t="str">
            <v>2016_08</v>
          </cell>
        </row>
        <row r="3431">
          <cell r="J3431">
            <v>31</v>
          </cell>
          <cell r="K3431">
            <v>31</v>
          </cell>
          <cell r="N3431">
            <v>5733.9</v>
          </cell>
          <cell r="Q3431" t="str">
            <v>2016_09</v>
          </cell>
        </row>
        <row r="3432">
          <cell r="J3432">
            <v>30</v>
          </cell>
          <cell r="K3432">
            <v>30</v>
          </cell>
          <cell r="N3432">
            <v>-599.70000000000005</v>
          </cell>
          <cell r="Q3432" t="str">
            <v>2015_10</v>
          </cell>
        </row>
        <row r="3433">
          <cell r="J3433">
            <v>30</v>
          </cell>
          <cell r="K3433">
            <v>30</v>
          </cell>
          <cell r="N3433">
            <v>-586.17999999999995</v>
          </cell>
          <cell r="Q3433" t="str">
            <v>2015_11</v>
          </cell>
        </row>
        <row r="3434">
          <cell r="J3434">
            <v>30</v>
          </cell>
          <cell r="K3434">
            <v>30</v>
          </cell>
          <cell r="N3434">
            <v>-592.09</v>
          </cell>
          <cell r="Q3434" t="str">
            <v>2015_12</v>
          </cell>
        </row>
        <row r="3435">
          <cell r="J3435">
            <v>30</v>
          </cell>
          <cell r="K3435">
            <v>30</v>
          </cell>
          <cell r="N3435">
            <v>-690.77</v>
          </cell>
          <cell r="Q3435" t="str">
            <v>2016_01</v>
          </cell>
        </row>
        <row r="3436">
          <cell r="J3436">
            <v>30</v>
          </cell>
          <cell r="K3436">
            <v>30</v>
          </cell>
          <cell r="N3436">
            <v>-690.77</v>
          </cell>
          <cell r="Q3436" t="str">
            <v>2016_02</v>
          </cell>
        </row>
        <row r="3437">
          <cell r="J3437">
            <v>30</v>
          </cell>
          <cell r="K3437">
            <v>30</v>
          </cell>
          <cell r="N3437">
            <v>-690.77</v>
          </cell>
          <cell r="Q3437" t="str">
            <v>2016_03</v>
          </cell>
        </row>
        <row r="3438">
          <cell r="J3438">
            <v>30</v>
          </cell>
          <cell r="K3438">
            <v>30</v>
          </cell>
          <cell r="N3438">
            <v>-690.77</v>
          </cell>
          <cell r="Q3438" t="str">
            <v>2016_04</v>
          </cell>
        </row>
        <row r="3439">
          <cell r="J3439">
            <v>30</v>
          </cell>
          <cell r="K3439">
            <v>30</v>
          </cell>
          <cell r="N3439">
            <v>-690.77</v>
          </cell>
          <cell r="Q3439" t="str">
            <v>2016_05</v>
          </cell>
        </row>
        <row r="3440">
          <cell r="J3440">
            <v>30</v>
          </cell>
          <cell r="K3440">
            <v>30</v>
          </cell>
          <cell r="N3440">
            <v>-690.77</v>
          </cell>
          <cell r="Q3440" t="str">
            <v>2016_06</v>
          </cell>
        </row>
        <row r="3441">
          <cell r="J3441">
            <v>30</v>
          </cell>
          <cell r="K3441">
            <v>30</v>
          </cell>
          <cell r="N3441">
            <v>-690.77</v>
          </cell>
          <cell r="Q3441" t="str">
            <v>2016_07</v>
          </cell>
        </row>
        <row r="3442">
          <cell r="J3442">
            <v>30</v>
          </cell>
          <cell r="K3442">
            <v>30</v>
          </cell>
          <cell r="N3442">
            <v>-690.77</v>
          </cell>
          <cell r="Q3442" t="str">
            <v>2016_08</v>
          </cell>
        </row>
        <row r="3443">
          <cell r="J3443">
            <v>30</v>
          </cell>
          <cell r="K3443">
            <v>30</v>
          </cell>
          <cell r="N3443">
            <v>-690.77</v>
          </cell>
          <cell r="Q3443" t="str">
            <v>2016_09</v>
          </cell>
        </row>
        <row r="3444">
          <cell r="J3444">
            <v>33</v>
          </cell>
          <cell r="K3444">
            <v>33</v>
          </cell>
          <cell r="N3444">
            <v>5951.54</v>
          </cell>
          <cell r="Q3444" t="str">
            <v>2015_10</v>
          </cell>
        </row>
        <row r="3445">
          <cell r="J3445">
            <v>33</v>
          </cell>
          <cell r="K3445">
            <v>33</v>
          </cell>
          <cell r="N3445">
            <v>4988.1099999999997</v>
          </cell>
          <cell r="Q3445" t="str">
            <v>2015_11</v>
          </cell>
        </row>
        <row r="3446">
          <cell r="J3446">
            <v>33</v>
          </cell>
          <cell r="K3446">
            <v>33</v>
          </cell>
          <cell r="N3446">
            <v>7343.92</v>
          </cell>
          <cell r="Q3446" t="str">
            <v>2015_12</v>
          </cell>
        </row>
        <row r="3447">
          <cell r="J3447">
            <v>33</v>
          </cell>
          <cell r="K3447">
            <v>33</v>
          </cell>
          <cell r="N3447">
            <v>15669.63</v>
          </cell>
          <cell r="Q3447" t="str">
            <v>2016_01</v>
          </cell>
        </row>
        <row r="3448">
          <cell r="J3448">
            <v>33</v>
          </cell>
          <cell r="K3448">
            <v>33</v>
          </cell>
          <cell r="N3448">
            <v>7361.12</v>
          </cell>
          <cell r="Q3448" t="str">
            <v>2016_02</v>
          </cell>
        </row>
        <row r="3449">
          <cell r="J3449">
            <v>33</v>
          </cell>
          <cell r="K3449">
            <v>33</v>
          </cell>
          <cell r="N3449">
            <v>2427.4699999999998</v>
          </cell>
          <cell r="Q3449" t="str">
            <v>2016_03</v>
          </cell>
        </row>
        <row r="3450">
          <cell r="J3450">
            <v>33</v>
          </cell>
          <cell r="K3450">
            <v>33</v>
          </cell>
          <cell r="N3450">
            <v>1131.56</v>
          </cell>
          <cell r="Q3450" t="str">
            <v>2016_04</v>
          </cell>
        </row>
        <row r="3451">
          <cell r="J3451">
            <v>33</v>
          </cell>
          <cell r="K3451">
            <v>33</v>
          </cell>
          <cell r="N3451">
            <v>3397.84</v>
          </cell>
          <cell r="Q3451" t="str">
            <v>2016_05</v>
          </cell>
        </row>
        <row r="3452">
          <cell r="J3452">
            <v>33</v>
          </cell>
          <cell r="K3452">
            <v>33</v>
          </cell>
          <cell r="N3452">
            <v>1038.3599999999999</v>
          </cell>
          <cell r="Q3452" t="str">
            <v>2016_06</v>
          </cell>
        </row>
        <row r="3453">
          <cell r="J3453">
            <v>33</v>
          </cell>
          <cell r="K3453">
            <v>33</v>
          </cell>
          <cell r="N3453">
            <v>1095.0999999999999</v>
          </cell>
          <cell r="Q3453" t="str">
            <v>2016_07</v>
          </cell>
        </row>
        <row r="3454">
          <cell r="J3454">
            <v>33</v>
          </cell>
          <cell r="K3454">
            <v>33</v>
          </cell>
          <cell r="N3454">
            <v>4540.8100000000004</v>
          </cell>
          <cell r="Q3454" t="str">
            <v>2016_08</v>
          </cell>
        </row>
        <row r="3455">
          <cell r="J3455">
            <v>33</v>
          </cell>
          <cell r="K3455">
            <v>33</v>
          </cell>
          <cell r="N3455">
            <v>1473.4</v>
          </cell>
          <cell r="Q3455" t="str">
            <v>2016_09</v>
          </cell>
        </row>
        <row r="3456">
          <cell r="J3456">
            <v>29</v>
          </cell>
          <cell r="K3456">
            <v>29</v>
          </cell>
          <cell r="N3456">
            <v>1016.97</v>
          </cell>
          <cell r="Q3456" t="str">
            <v>2015_10</v>
          </cell>
        </row>
        <row r="3457">
          <cell r="J3457">
            <v>29</v>
          </cell>
          <cell r="K3457">
            <v>29</v>
          </cell>
          <cell r="N3457">
            <v>734.48</v>
          </cell>
          <cell r="Q3457" t="str">
            <v>2015_11</v>
          </cell>
        </row>
        <row r="3458">
          <cell r="J3458">
            <v>29</v>
          </cell>
          <cell r="K3458">
            <v>29</v>
          </cell>
          <cell r="N3458">
            <v>2185.42</v>
          </cell>
          <cell r="Q3458" t="str">
            <v>2015_12</v>
          </cell>
        </row>
        <row r="3459">
          <cell r="J3459">
            <v>29</v>
          </cell>
          <cell r="K3459">
            <v>29</v>
          </cell>
          <cell r="N3459">
            <v>1115.1199999999999</v>
          </cell>
          <cell r="Q3459" t="str">
            <v>2016_01</v>
          </cell>
        </row>
        <row r="3460">
          <cell r="J3460">
            <v>29</v>
          </cell>
          <cell r="K3460">
            <v>29</v>
          </cell>
          <cell r="N3460">
            <v>1115.1199999999999</v>
          </cell>
          <cell r="Q3460" t="str">
            <v>2016_02</v>
          </cell>
        </row>
        <row r="3461">
          <cell r="J3461">
            <v>29</v>
          </cell>
          <cell r="K3461">
            <v>29</v>
          </cell>
          <cell r="N3461">
            <v>1115.1199999999999</v>
          </cell>
          <cell r="Q3461" t="str">
            <v>2016_03</v>
          </cell>
        </row>
        <row r="3462">
          <cell r="J3462">
            <v>29</v>
          </cell>
          <cell r="K3462">
            <v>29</v>
          </cell>
          <cell r="N3462">
            <v>1115.1199999999999</v>
          </cell>
          <cell r="Q3462" t="str">
            <v>2016_04</v>
          </cell>
        </row>
        <row r="3463">
          <cell r="J3463">
            <v>29</v>
          </cell>
          <cell r="K3463">
            <v>29</v>
          </cell>
          <cell r="N3463">
            <v>1115.1199999999999</v>
          </cell>
          <cell r="Q3463" t="str">
            <v>2016_05</v>
          </cell>
        </row>
        <row r="3464">
          <cell r="J3464">
            <v>29</v>
          </cell>
          <cell r="K3464">
            <v>29</v>
          </cell>
          <cell r="N3464">
            <v>1115.1199999999999</v>
          </cell>
          <cell r="Q3464" t="str">
            <v>2016_06</v>
          </cell>
        </row>
        <row r="3465">
          <cell r="J3465">
            <v>29</v>
          </cell>
          <cell r="K3465">
            <v>29</v>
          </cell>
          <cell r="N3465">
            <v>1115.1199999999999</v>
          </cell>
          <cell r="Q3465" t="str">
            <v>2016_07</v>
          </cell>
        </row>
        <row r="3466">
          <cell r="J3466">
            <v>29</v>
          </cell>
          <cell r="K3466">
            <v>29</v>
          </cell>
          <cell r="N3466">
            <v>1115.1199999999999</v>
          </cell>
          <cell r="Q3466" t="str">
            <v>2016_08</v>
          </cell>
        </row>
        <row r="3467">
          <cell r="J3467">
            <v>29</v>
          </cell>
          <cell r="K3467">
            <v>29</v>
          </cell>
          <cell r="N3467">
            <v>1115.1199999999999</v>
          </cell>
          <cell r="Q3467" t="str">
            <v>2016_09</v>
          </cell>
        </row>
        <row r="3468">
          <cell r="J3468">
            <v>30</v>
          </cell>
          <cell r="K3468">
            <v>30</v>
          </cell>
          <cell r="N3468">
            <v>245.87</v>
          </cell>
          <cell r="Q3468" t="str">
            <v>2015_10</v>
          </cell>
        </row>
        <row r="3469">
          <cell r="J3469">
            <v>30</v>
          </cell>
          <cell r="K3469">
            <v>30</v>
          </cell>
          <cell r="N3469">
            <v>156.31</v>
          </cell>
          <cell r="Q3469" t="str">
            <v>2015_11</v>
          </cell>
        </row>
        <row r="3470">
          <cell r="J3470">
            <v>30</v>
          </cell>
          <cell r="K3470">
            <v>30</v>
          </cell>
          <cell r="N3470">
            <v>152.47999999999999</v>
          </cell>
          <cell r="Q3470" t="str">
            <v>2015_12</v>
          </cell>
        </row>
        <row r="3471">
          <cell r="J3471">
            <v>30</v>
          </cell>
          <cell r="K3471">
            <v>30</v>
          </cell>
          <cell r="N3471">
            <v>160.47</v>
          </cell>
          <cell r="Q3471" t="str">
            <v>2016_01</v>
          </cell>
        </row>
        <row r="3472">
          <cell r="J3472">
            <v>30</v>
          </cell>
          <cell r="K3472">
            <v>30</v>
          </cell>
          <cell r="N3472">
            <v>152.91999999999999</v>
          </cell>
          <cell r="Q3472" t="str">
            <v>2016_02</v>
          </cell>
        </row>
        <row r="3473">
          <cell r="J3473">
            <v>30</v>
          </cell>
          <cell r="K3473">
            <v>30</v>
          </cell>
          <cell r="N3473">
            <v>151.83000000000001</v>
          </cell>
          <cell r="Q3473" t="str">
            <v>2016_03</v>
          </cell>
        </row>
        <row r="3474">
          <cell r="J3474">
            <v>30</v>
          </cell>
          <cell r="K3474">
            <v>30</v>
          </cell>
          <cell r="N3474">
            <v>293.72000000000003</v>
          </cell>
          <cell r="Q3474" t="str">
            <v>2016_04</v>
          </cell>
        </row>
        <row r="3475">
          <cell r="J3475">
            <v>30</v>
          </cell>
          <cell r="K3475">
            <v>30</v>
          </cell>
          <cell r="N3475">
            <v>176.94</v>
          </cell>
          <cell r="Q3475" t="str">
            <v>2016_05</v>
          </cell>
        </row>
        <row r="3476">
          <cell r="J3476">
            <v>30</v>
          </cell>
          <cell r="K3476">
            <v>30</v>
          </cell>
          <cell r="N3476">
            <v>170.84</v>
          </cell>
          <cell r="Q3476" t="str">
            <v>2016_06</v>
          </cell>
        </row>
        <row r="3477">
          <cell r="J3477">
            <v>30</v>
          </cell>
          <cell r="K3477">
            <v>30</v>
          </cell>
          <cell r="N3477">
            <v>372.19</v>
          </cell>
          <cell r="Q3477" t="str">
            <v>2016_07</v>
          </cell>
        </row>
        <row r="3478">
          <cell r="J3478">
            <v>30</v>
          </cell>
          <cell r="K3478">
            <v>30</v>
          </cell>
          <cell r="N3478">
            <v>353.74</v>
          </cell>
          <cell r="Q3478" t="str">
            <v>2016_08</v>
          </cell>
        </row>
        <row r="3479">
          <cell r="J3479">
            <v>30</v>
          </cell>
          <cell r="K3479">
            <v>30</v>
          </cell>
          <cell r="N3479">
            <v>504.44</v>
          </cell>
          <cell r="Q3479" t="str">
            <v>2016_09</v>
          </cell>
        </row>
        <row r="3480">
          <cell r="J3480">
            <v>30</v>
          </cell>
          <cell r="K3480">
            <v>30</v>
          </cell>
          <cell r="N3480">
            <v>43</v>
          </cell>
          <cell r="Q3480" t="str">
            <v>2015_10</v>
          </cell>
        </row>
        <row r="3481">
          <cell r="J3481">
            <v>30</v>
          </cell>
          <cell r="K3481">
            <v>30</v>
          </cell>
          <cell r="N3481">
            <v>43</v>
          </cell>
          <cell r="Q3481" t="str">
            <v>2015_11</v>
          </cell>
        </row>
        <row r="3482">
          <cell r="J3482">
            <v>30</v>
          </cell>
          <cell r="K3482">
            <v>30</v>
          </cell>
          <cell r="N3482">
            <v>43</v>
          </cell>
          <cell r="Q3482" t="str">
            <v>2015_12</v>
          </cell>
        </row>
        <row r="3483">
          <cell r="J3483">
            <v>30</v>
          </cell>
          <cell r="K3483">
            <v>30</v>
          </cell>
          <cell r="N3483">
            <v>43</v>
          </cell>
          <cell r="Q3483" t="str">
            <v>2016_01</v>
          </cell>
        </row>
        <row r="3484">
          <cell r="J3484">
            <v>30</v>
          </cell>
          <cell r="K3484">
            <v>30</v>
          </cell>
          <cell r="N3484">
            <v>43</v>
          </cell>
          <cell r="Q3484" t="str">
            <v>2016_02</v>
          </cell>
        </row>
        <row r="3485">
          <cell r="J3485">
            <v>30</v>
          </cell>
          <cell r="K3485">
            <v>30</v>
          </cell>
          <cell r="N3485">
            <v>43</v>
          </cell>
          <cell r="Q3485" t="str">
            <v>2016_03</v>
          </cell>
        </row>
        <row r="3486">
          <cell r="J3486">
            <v>30</v>
          </cell>
          <cell r="K3486">
            <v>30</v>
          </cell>
          <cell r="N3486">
            <v>43</v>
          </cell>
          <cell r="Q3486" t="str">
            <v>2016_04</v>
          </cell>
        </row>
        <row r="3487">
          <cell r="J3487">
            <v>30</v>
          </cell>
          <cell r="K3487">
            <v>30</v>
          </cell>
          <cell r="N3487">
            <v>43</v>
          </cell>
          <cell r="Q3487" t="str">
            <v>2016_05</v>
          </cell>
        </row>
        <row r="3488">
          <cell r="J3488">
            <v>30</v>
          </cell>
          <cell r="K3488">
            <v>30</v>
          </cell>
          <cell r="N3488">
            <v>64.5</v>
          </cell>
          <cell r="Q3488" t="str">
            <v>2016_06</v>
          </cell>
        </row>
        <row r="3489">
          <cell r="J3489">
            <v>30</v>
          </cell>
          <cell r="K3489">
            <v>30</v>
          </cell>
          <cell r="N3489">
            <v>64.5</v>
          </cell>
          <cell r="Q3489" t="str">
            <v>2016_07</v>
          </cell>
        </row>
        <row r="3490">
          <cell r="J3490">
            <v>30</v>
          </cell>
          <cell r="K3490">
            <v>30</v>
          </cell>
          <cell r="N3490">
            <v>64.5</v>
          </cell>
          <cell r="Q3490" t="str">
            <v>2016_08</v>
          </cell>
        </row>
        <row r="3491">
          <cell r="J3491">
            <v>30</v>
          </cell>
          <cell r="K3491">
            <v>30</v>
          </cell>
          <cell r="N3491">
            <v>64.5</v>
          </cell>
          <cell r="Q3491" t="str">
            <v>2016_09</v>
          </cell>
        </row>
        <row r="3492">
          <cell r="J3492">
            <v>28</v>
          </cell>
          <cell r="K3492">
            <v>28</v>
          </cell>
          <cell r="N3492">
            <v>276.95999999999998</v>
          </cell>
          <cell r="Q3492" t="str">
            <v>2015_12</v>
          </cell>
        </row>
        <row r="3493">
          <cell r="J3493">
            <v>28</v>
          </cell>
          <cell r="K3493">
            <v>28</v>
          </cell>
          <cell r="N3493">
            <v>200.8</v>
          </cell>
          <cell r="Q3493" t="str">
            <v>2016_01</v>
          </cell>
        </row>
        <row r="3494">
          <cell r="J3494">
            <v>28</v>
          </cell>
          <cell r="K3494">
            <v>28</v>
          </cell>
          <cell r="N3494">
            <v>200.8</v>
          </cell>
          <cell r="Q3494" t="str">
            <v>2016_02</v>
          </cell>
        </row>
        <row r="3495">
          <cell r="J3495">
            <v>28</v>
          </cell>
          <cell r="K3495">
            <v>28</v>
          </cell>
          <cell r="N3495">
            <v>200.8</v>
          </cell>
          <cell r="Q3495" t="str">
            <v>2016_03</v>
          </cell>
        </row>
        <row r="3496">
          <cell r="J3496">
            <v>28</v>
          </cell>
          <cell r="K3496">
            <v>28</v>
          </cell>
          <cell r="N3496">
            <v>200.8</v>
          </cell>
          <cell r="Q3496" t="str">
            <v>2016_04</v>
          </cell>
        </row>
        <row r="3497">
          <cell r="J3497">
            <v>28</v>
          </cell>
          <cell r="K3497">
            <v>28</v>
          </cell>
          <cell r="N3497">
            <v>200.8</v>
          </cell>
          <cell r="Q3497" t="str">
            <v>2016_05</v>
          </cell>
        </row>
        <row r="3498">
          <cell r="J3498">
            <v>28</v>
          </cell>
          <cell r="K3498">
            <v>28</v>
          </cell>
          <cell r="N3498">
            <v>200.8</v>
          </cell>
          <cell r="Q3498" t="str">
            <v>2016_06</v>
          </cell>
        </row>
        <row r="3499">
          <cell r="J3499">
            <v>28</v>
          </cell>
          <cell r="K3499">
            <v>28</v>
          </cell>
          <cell r="N3499">
            <v>200.8</v>
          </cell>
          <cell r="Q3499" t="str">
            <v>2016_07</v>
          </cell>
        </row>
        <row r="3500">
          <cell r="J3500">
            <v>28</v>
          </cell>
          <cell r="K3500">
            <v>28</v>
          </cell>
          <cell r="N3500">
            <v>200.8</v>
          </cell>
          <cell r="Q3500" t="str">
            <v>2016_08</v>
          </cell>
        </row>
        <row r="3501">
          <cell r="J3501">
            <v>28</v>
          </cell>
          <cell r="K3501">
            <v>28</v>
          </cell>
          <cell r="N3501">
            <v>200.8</v>
          </cell>
          <cell r="Q3501" t="str">
            <v>2016_09</v>
          </cell>
        </row>
        <row r="3502">
          <cell r="J3502">
            <v>32</v>
          </cell>
          <cell r="K3502">
            <v>32</v>
          </cell>
          <cell r="N3502">
            <v>553.91</v>
          </cell>
          <cell r="Q3502" t="str">
            <v>2015_10</v>
          </cell>
        </row>
        <row r="3503">
          <cell r="J3503">
            <v>32</v>
          </cell>
          <cell r="K3503">
            <v>32</v>
          </cell>
          <cell r="N3503">
            <v>353.29</v>
          </cell>
          <cell r="Q3503" t="str">
            <v>2015_11</v>
          </cell>
        </row>
        <row r="3504">
          <cell r="J3504">
            <v>32</v>
          </cell>
          <cell r="K3504">
            <v>32</v>
          </cell>
          <cell r="N3504">
            <v>369.88</v>
          </cell>
          <cell r="Q3504" t="str">
            <v>2015_12</v>
          </cell>
        </row>
        <row r="3505">
          <cell r="J3505">
            <v>32</v>
          </cell>
          <cell r="K3505">
            <v>32</v>
          </cell>
          <cell r="N3505">
            <v>415.47</v>
          </cell>
          <cell r="Q3505" t="str">
            <v>2016_01</v>
          </cell>
        </row>
        <row r="3506">
          <cell r="J3506">
            <v>32</v>
          </cell>
          <cell r="K3506">
            <v>32</v>
          </cell>
          <cell r="N3506">
            <v>348.25</v>
          </cell>
          <cell r="Q3506" t="str">
            <v>2016_02</v>
          </cell>
        </row>
        <row r="3507">
          <cell r="J3507">
            <v>32</v>
          </cell>
          <cell r="K3507">
            <v>32</v>
          </cell>
          <cell r="N3507">
            <v>376.79</v>
          </cell>
          <cell r="Q3507" t="str">
            <v>2016_03</v>
          </cell>
        </row>
        <row r="3508">
          <cell r="J3508">
            <v>32</v>
          </cell>
          <cell r="K3508">
            <v>32</v>
          </cell>
          <cell r="N3508">
            <v>715.72</v>
          </cell>
          <cell r="Q3508" t="str">
            <v>2016_04</v>
          </cell>
        </row>
        <row r="3509">
          <cell r="J3509">
            <v>32</v>
          </cell>
          <cell r="K3509">
            <v>32</v>
          </cell>
          <cell r="N3509">
            <v>438.87</v>
          </cell>
          <cell r="Q3509" t="str">
            <v>2016_05</v>
          </cell>
        </row>
        <row r="3510">
          <cell r="J3510">
            <v>32</v>
          </cell>
          <cell r="K3510">
            <v>32</v>
          </cell>
          <cell r="N3510">
            <v>440.82</v>
          </cell>
          <cell r="Q3510" t="str">
            <v>2016_06</v>
          </cell>
        </row>
        <row r="3511">
          <cell r="J3511">
            <v>32</v>
          </cell>
          <cell r="K3511">
            <v>32</v>
          </cell>
          <cell r="N3511">
            <v>461.5</v>
          </cell>
          <cell r="Q3511" t="str">
            <v>2016_07</v>
          </cell>
        </row>
        <row r="3512">
          <cell r="J3512">
            <v>32</v>
          </cell>
          <cell r="K3512">
            <v>32</v>
          </cell>
          <cell r="N3512">
            <v>438.64</v>
          </cell>
          <cell r="Q3512" t="str">
            <v>2016_08</v>
          </cell>
        </row>
        <row r="3513">
          <cell r="J3513">
            <v>32</v>
          </cell>
          <cell r="K3513">
            <v>32</v>
          </cell>
          <cell r="N3513">
            <v>625.52</v>
          </cell>
          <cell r="Q3513" t="str">
            <v>2016_09</v>
          </cell>
        </row>
        <row r="3514">
          <cell r="J3514">
            <v>32</v>
          </cell>
          <cell r="K3514">
            <v>32</v>
          </cell>
          <cell r="N3514">
            <v>129.54</v>
          </cell>
          <cell r="Q3514" t="str">
            <v>2015_10</v>
          </cell>
        </row>
        <row r="3515">
          <cell r="J3515">
            <v>32</v>
          </cell>
          <cell r="K3515">
            <v>32</v>
          </cell>
          <cell r="N3515">
            <v>82.63</v>
          </cell>
          <cell r="Q3515" t="str">
            <v>2015_11</v>
          </cell>
        </row>
        <row r="3516">
          <cell r="J3516">
            <v>32</v>
          </cell>
          <cell r="K3516">
            <v>32</v>
          </cell>
          <cell r="N3516">
            <v>86.51</v>
          </cell>
          <cell r="Q3516" t="str">
            <v>2015_12</v>
          </cell>
        </row>
        <row r="3517">
          <cell r="J3517">
            <v>32</v>
          </cell>
          <cell r="K3517">
            <v>32</v>
          </cell>
          <cell r="N3517">
            <v>97.17</v>
          </cell>
          <cell r="Q3517" t="str">
            <v>2016_01</v>
          </cell>
        </row>
        <row r="3518">
          <cell r="J3518">
            <v>32</v>
          </cell>
          <cell r="K3518">
            <v>32</v>
          </cell>
          <cell r="N3518">
            <v>81.44</v>
          </cell>
          <cell r="Q3518" t="str">
            <v>2016_02</v>
          </cell>
        </row>
        <row r="3519">
          <cell r="J3519">
            <v>32</v>
          </cell>
          <cell r="K3519">
            <v>32</v>
          </cell>
          <cell r="N3519">
            <v>88.12</v>
          </cell>
          <cell r="Q3519" t="str">
            <v>2016_03</v>
          </cell>
        </row>
        <row r="3520">
          <cell r="J3520">
            <v>32</v>
          </cell>
          <cell r="K3520">
            <v>32</v>
          </cell>
          <cell r="N3520">
            <v>167.39</v>
          </cell>
          <cell r="Q3520" t="str">
            <v>2016_04</v>
          </cell>
        </row>
        <row r="3521">
          <cell r="J3521">
            <v>32</v>
          </cell>
          <cell r="K3521">
            <v>32</v>
          </cell>
          <cell r="N3521">
            <v>102.64</v>
          </cell>
          <cell r="Q3521" t="str">
            <v>2016_05</v>
          </cell>
        </row>
        <row r="3522">
          <cell r="J3522">
            <v>32</v>
          </cell>
          <cell r="K3522">
            <v>32</v>
          </cell>
          <cell r="N3522">
            <v>103.09</v>
          </cell>
          <cell r="Q3522" t="str">
            <v>2016_06</v>
          </cell>
        </row>
        <row r="3523">
          <cell r="J3523">
            <v>32</v>
          </cell>
          <cell r="K3523">
            <v>32</v>
          </cell>
          <cell r="N3523">
            <v>107.94</v>
          </cell>
          <cell r="Q3523" t="str">
            <v>2016_07</v>
          </cell>
        </row>
        <row r="3524">
          <cell r="J3524">
            <v>32</v>
          </cell>
          <cell r="K3524">
            <v>32</v>
          </cell>
          <cell r="N3524">
            <v>102.58</v>
          </cell>
          <cell r="Q3524" t="str">
            <v>2016_08</v>
          </cell>
        </row>
        <row r="3525">
          <cell r="J3525">
            <v>32</v>
          </cell>
          <cell r="K3525">
            <v>32</v>
          </cell>
          <cell r="N3525">
            <v>146.29</v>
          </cell>
          <cell r="Q3525" t="str">
            <v>2016_09</v>
          </cell>
        </row>
        <row r="3526">
          <cell r="J3526">
            <v>32</v>
          </cell>
          <cell r="K3526">
            <v>32</v>
          </cell>
          <cell r="N3526">
            <v>40.21</v>
          </cell>
          <cell r="Q3526" t="str">
            <v>2016_01</v>
          </cell>
        </row>
        <row r="3527">
          <cell r="J3527">
            <v>32</v>
          </cell>
          <cell r="K3527">
            <v>32</v>
          </cell>
          <cell r="N3527">
            <v>33.71</v>
          </cell>
          <cell r="Q3527" t="str">
            <v>2016_02</v>
          </cell>
        </row>
        <row r="3528">
          <cell r="J3528">
            <v>32</v>
          </cell>
          <cell r="K3528">
            <v>32</v>
          </cell>
          <cell r="N3528">
            <v>10.09</v>
          </cell>
          <cell r="Q3528" t="str">
            <v>2016_03</v>
          </cell>
        </row>
        <row r="3529">
          <cell r="J3529">
            <v>32</v>
          </cell>
          <cell r="K3529">
            <v>32</v>
          </cell>
          <cell r="N3529">
            <v>0</v>
          </cell>
          <cell r="Q3529" t="str">
            <v>2016_04</v>
          </cell>
        </row>
        <row r="3530">
          <cell r="J3530">
            <v>32</v>
          </cell>
          <cell r="K3530">
            <v>32</v>
          </cell>
          <cell r="N3530">
            <v>0</v>
          </cell>
          <cell r="Q3530" t="str">
            <v>2016_05</v>
          </cell>
        </row>
        <row r="3531">
          <cell r="J3531">
            <v>32</v>
          </cell>
          <cell r="K3531">
            <v>32</v>
          </cell>
          <cell r="N3531">
            <v>0</v>
          </cell>
          <cell r="Q3531" t="str">
            <v>2016_06</v>
          </cell>
        </row>
        <row r="3532">
          <cell r="J3532">
            <v>32</v>
          </cell>
          <cell r="K3532">
            <v>32</v>
          </cell>
          <cell r="N3532">
            <v>0</v>
          </cell>
          <cell r="Q3532" t="str">
            <v>2016_07</v>
          </cell>
        </row>
        <row r="3533">
          <cell r="J3533">
            <v>32</v>
          </cell>
          <cell r="K3533">
            <v>32</v>
          </cell>
          <cell r="N3533">
            <v>0</v>
          </cell>
          <cell r="Q3533" t="str">
            <v>2016_08</v>
          </cell>
        </row>
        <row r="3534">
          <cell r="J3534">
            <v>32</v>
          </cell>
          <cell r="K3534">
            <v>32</v>
          </cell>
          <cell r="N3534">
            <v>0</v>
          </cell>
          <cell r="Q3534" t="str">
            <v>2016_09</v>
          </cell>
        </row>
        <row r="3535">
          <cell r="J3535">
            <v>32</v>
          </cell>
          <cell r="K3535">
            <v>32</v>
          </cell>
          <cell r="N3535">
            <v>37.520000000000003</v>
          </cell>
          <cell r="Q3535" t="str">
            <v>2015_10</v>
          </cell>
        </row>
        <row r="3536">
          <cell r="J3536">
            <v>32</v>
          </cell>
          <cell r="K3536">
            <v>32</v>
          </cell>
          <cell r="N3536">
            <v>23.93</v>
          </cell>
          <cell r="Q3536" t="str">
            <v>2015_11</v>
          </cell>
        </row>
        <row r="3537">
          <cell r="J3537">
            <v>32</v>
          </cell>
          <cell r="K3537">
            <v>32</v>
          </cell>
          <cell r="N3537">
            <v>24.04</v>
          </cell>
          <cell r="Q3537" t="str">
            <v>2015_12</v>
          </cell>
        </row>
        <row r="3538">
          <cell r="J3538">
            <v>32</v>
          </cell>
          <cell r="K3538">
            <v>32</v>
          </cell>
          <cell r="N3538">
            <v>26.52</v>
          </cell>
          <cell r="Q3538" t="str">
            <v>2016_01</v>
          </cell>
        </row>
        <row r="3539">
          <cell r="J3539">
            <v>32</v>
          </cell>
          <cell r="K3539">
            <v>32</v>
          </cell>
          <cell r="N3539">
            <v>20.78</v>
          </cell>
          <cell r="Q3539" t="str">
            <v>2016_02</v>
          </cell>
        </row>
        <row r="3540">
          <cell r="J3540">
            <v>32</v>
          </cell>
          <cell r="K3540">
            <v>32</v>
          </cell>
          <cell r="N3540">
            <v>22.48</v>
          </cell>
          <cell r="Q3540" t="str">
            <v>2016_03</v>
          </cell>
        </row>
        <row r="3541">
          <cell r="J3541">
            <v>32</v>
          </cell>
          <cell r="K3541">
            <v>32</v>
          </cell>
          <cell r="N3541">
            <v>42.71</v>
          </cell>
          <cell r="Q3541" t="str">
            <v>2016_04</v>
          </cell>
        </row>
        <row r="3542">
          <cell r="J3542">
            <v>32</v>
          </cell>
          <cell r="K3542">
            <v>32</v>
          </cell>
          <cell r="N3542">
            <v>26.19</v>
          </cell>
          <cell r="Q3542" t="str">
            <v>2016_05</v>
          </cell>
        </row>
        <row r="3543">
          <cell r="J3543">
            <v>32</v>
          </cell>
          <cell r="K3543">
            <v>32</v>
          </cell>
          <cell r="N3543">
            <v>26.31</v>
          </cell>
          <cell r="Q3543" t="str">
            <v>2016_06</v>
          </cell>
        </row>
        <row r="3544">
          <cell r="J3544">
            <v>32</v>
          </cell>
          <cell r="K3544">
            <v>32</v>
          </cell>
          <cell r="N3544">
            <v>27.53</v>
          </cell>
          <cell r="Q3544" t="str">
            <v>2016_07</v>
          </cell>
        </row>
        <row r="3545">
          <cell r="J3545">
            <v>32</v>
          </cell>
          <cell r="K3545">
            <v>32</v>
          </cell>
          <cell r="N3545">
            <v>26.17</v>
          </cell>
          <cell r="Q3545" t="str">
            <v>2016_08</v>
          </cell>
        </row>
        <row r="3546">
          <cell r="J3546">
            <v>32</v>
          </cell>
          <cell r="K3546">
            <v>32</v>
          </cell>
          <cell r="N3546">
            <v>37.32</v>
          </cell>
          <cell r="Q3546" t="str">
            <v>2016_09</v>
          </cell>
        </row>
        <row r="3547">
          <cell r="J3547">
            <v>31</v>
          </cell>
          <cell r="K3547">
            <v>31</v>
          </cell>
          <cell r="N3547">
            <v>926.69</v>
          </cell>
          <cell r="Q3547" t="str">
            <v>2015_10</v>
          </cell>
        </row>
        <row r="3548">
          <cell r="J3548">
            <v>31</v>
          </cell>
          <cell r="K3548">
            <v>31</v>
          </cell>
          <cell r="N3548">
            <v>596.04999999999995</v>
          </cell>
          <cell r="Q3548" t="str">
            <v>2015_11</v>
          </cell>
        </row>
        <row r="3549">
          <cell r="J3549">
            <v>31</v>
          </cell>
          <cell r="K3549">
            <v>31</v>
          </cell>
          <cell r="N3549">
            <v>593.86</v>
          </cell>
          <cell r="Q3549" t="str">
            <v>2015_12</v>
          </cell>
        </row>
        <row r="3550">
          <cell r="J3550">
            <v>31</v>
          </cell>
          <cell r="K3550">
            <v>31</v>
          </cell>
          <cell r="N3550">
            <v>635.96</v>
          </cell>
          <cell r="Q3550" t="str">
            <v>2016_01</v>
          </cell>
        </row>
        <row r="3551">
          <cell r="J3551">
            <v>31</v>
          </cell>
          <cell r="K3551">
            <v>31</v>
          </cell>
          <cell r="N3551">
            <v>630.36</v>
          </cell>
          <cell r="Q3551" t="str">
            <v>2016_02</v>
          </cell>
        </row>
        <row r="3552">
          <cell r="J3552">
            <v>31</v>
          </cell>
          <cell r="K3552">
            <v>31</v>
          </cell>
          <cell r="N3552">
            <v>671.76</v>
          </cell>
          <cell r="Q3552" t="str">
            <v>2016_03</v>
          </cell>
        </row>
        <row r="3553">
          <cell r="J3553">
            <v>31</v>
          </cell>
          <cell r="K3553">
            <v>31</v>
          </cell>
          <cell r="N3553">
            <v>1193.42</v>
          </cell>
          <cell r="Q3553" t="str">
            <v>2016_04</v>
          </cell>
        </row>
        <row r="3554">
          <cell r="J3554">
            <v>31</v>
          </cell>
          <cell r="K3554">
            <v>31</v>
          </cell>
          <cell r="N3554">
            <v>742.35</v>
          </cell>
          <cell r="Q3554" t="str">
            <v>2016_05</v>
          </cell>
        </row>
        <row r="3555">
          <cell r="J3555">
            <v>31</v>
          </cell>
          <cell r="K3555">
            <v>31</v>
          </cell>
          <cell r="N3555">
            <v>281.95999999999998</v>
          </cell>
          <cell r="Q3555" t="str">
            <v>2016_06</v>
          </cell>
        </row>
        <row r="3556">
          <cell r="J3556">
            <v>31</v>
          </cell>
          <cell r="K3556">
            <v>31</v>
          </cell>
          <cell r="N3556">
            <v>728.31</v>
          </cell>
          <cell r="Q3556" t="str">
            <v>2016_07</v>
          </cell>
        </row>
        <row r="3557">
          <cell r="J3557">
            <v>31</v>
          </cell>
          <cell r="K3557">
            <v>31</v>
          </cell>
          <cell r="N3557">
            <v>723.43</v>
          </cell>
          <cell r="Q3557" t="str">
            <v>2016_08</v>
          </cell>
        </row>
        <row r="3558">
          <cell r="J3558">
            <v>31</v>
          </cell>
          <cell r="K3558">
            <v>31</v>
          </cell>
          <cell r="N3558">
            <v>889.76</v>
          </cell>
          <cell r="Q3558" t="str">
            <v>2016_09</v>
          </cell>
        </row>
        <row r="3559">
          <cell r="J3559">
            <v>29</v>
          </cell>
          <cell r="K3559">
            <v>29</v>
          </cell>
          <cell r="N3559">
            <v>2542.42</v>
          </cell>
          <cell r="Q3559" t="str">
            <v>2015_10</v>
          </cell>
        </row>
        <row r="3560">
          <cell r="J3560">
            <v>29</v>
          </cell>
          <cell r="K3560">
            <v>29</v>
          </cell>
          <cell r="N3560">
            <v>1836.2</v>
          </cell>
          <cell r="Q3560" t="str">
            <v>2015_11</v>
          </cell>
        </row>
        <row r="3561">
          <cell r="J3561">
            <v>29</v>
          </cell>
          <cell r="K3561">
            <v>29</v>
          </cell>
          <cell r="N3561">
            <v>5463.55</v>
          </cell>
          <cell r="Q3561" t="str">
            <v>2015_12</v>
          </cell>
        </row>
        <row r="3562">
          <cell r="J3562">
            <v>29</v>
          </cell>
          <cell r="K3562">
            <v>29</v>
          </cell>
          <cell r="N3562">
            <v>2787.8</v>
          </cell>
          <cell r="Q3562" t="str">
            <v>2016_01</v>
          </cell>
        </row>
        <row r="3563">
          <cell r="J3563">
            <v>29</v>
          </cell>
          <cell r="K3563">
            <v>29</v>
          </cell>
          <cell r="N3563">
            <v>2787.8</v>
          </cell>
          <cell r="Q3563" t="str">
            <v>2016_02</v>
          </cell>
        </row>
        <row r="3564">
          <cell r="J3564">
            <v>29</v>
          </cell>
          <cell r="K3564">
            <v>29</v>
          </cell>
          <cell r="N3564">
            <v>2787.8</v>
          </cell>
          <cell r="Q3564" t="str">
            <v>2016_03</v>
          </cell>
        </row>
        <row r="3565">
          <cell r="J3565">
            <v>29</v>
          </cell>
          <cell r="K3565">
            <v>29</v>
          </cell>
          <cell r="N3565">
            <v>2787.8</v>
          </cell>
          <cell r="Q3565" t="str">
            <v>2016_04</v>
          </cell>
        </row>
        <row r="3566">
          <cell r="J3566">
            <v>29</v>
          </cell>
          <cell r="K3566">
            <v>29</v>
          </cell>
          <cell r="N3566">
            <v>2787.8</v>
          </cell>
          <cell r="Q3566" t="str">
            <v>2016_05</v>
          </cell>
        </row>
        <row r="3567">
          <cell r="J3567">
            <v>29</v>
          </cell>
          <cell r="K3567">
            <v>29</v>
          </cell>
          <cell r="N3567">
            <v>2230.2399999999998</v>
          </cell>
          <cell r="Q3567" t="str">
            <v>2016_06</v>
          </cell>
        </row>
        <row r="3568">
          <cell r="J3568">
            <v>29</v>
          </cell>
          <cell r="K3568">
            <v>29</v>
          </cell>
          <cell r="N3568">
            <v>2230.2399999999998</v>
          </cell>
          <cell r="Q3568" t="str">
            <v>2016_07</v>
          </cell>
        </row>
        <row r="3569">
          <cell r="J3569">
            <v>29</v>
          </cell>
          <cell r="K3569">
            <v>29</v>
          </cell>
          <cell r="N3569">
            <v>2230.2399999999998</v>
          </cell>
          <cell r="Q3569" t="str">
            <v>2016_08</v>
          </cell>
        </row>
        <row r="3570">
          <cell r="J3570">
            <v>29</v>
          </cell>
          <cell r="K3570">
            <v>29</v>
          </cell>
          <cell r="N3570">
            <v>2230.2399999999998</v>
          </cell>
          <cell r="Q3570" t="str">
            <v>2016_09</v>
          </cell>
        </row>
        <row r="3571">
          <cell r="J3571">
            <v>30</v>
          </cell>
          <cell r="K3571">
            <v>30</v>
          </cell>
          <cell r="N3571">
            <v>1382.01</v>
          </cell>
          <cell r="Q3571" t="str">
            <v>2015_10</v>
          </cell>
        </row>
        <row r="3572">
          <cell r="J3572">
            <v>30</v>
          </cell>
          <cell r="K3572">
            <v>30</v>
          </cell>
          <cell r="N3572">
            <v>878.79</v>
          </cell>
          <cell r="Q3572" t="str">
            <v>2015_11</v>
          </cell>
        </row>
        <row r="3573">
          <cell r="J3573">
            <v>30</v>
          </cell>
          <cell r="K3573">
            <v>30</v>
          </cell>
          <cell r="N3573">
            <v>964.56</v>
          </cell>
          <cell r="Q3573" t="str">
            <v>2015_12</v>
          </cell>
        </row>
        <row r="3574">
          <cell r="J3574">
            <v>30</v>
          </cell>
          <cell r="K3574">
            <v>30</v>
          </cell>
          <cell r="N3574">
            <v>1001.36</v>
          </cell>
          <cell r="Q3574" t="str">
            <v>2016_01</v>
          </cell>
        </row>
        <row r="3575">
          <cell r="J3575">
            <v>30</v>
          </cell>
          <cell r="K3575">
            <v>30</v>
          </cell>
          <cell r="N3575">
            <v>839.2</v>
          </cell>
          <cell r="Q3575" t="str">
            <v>2016_02</v>
          </cell>
        </row>
        <row r="3576">
          <cell r="J3576">
            <v>30</v>
          </cell>
          <cell r="K3576">
            <v>30</v>
          </cell>
          <cell r="N3576">
            <v>877.16</v>
          </cell>
          <cell r="Q3576" t="str">
            <v>2016_03</v>
          </cell>
        </row>
        <row r="3577">
          <cell r="J3577">
            <v>30</v>
          </cell>
          <cell r="K3577">
            <v>30</v>
          </cell>
          <cell r="N3577">
            <v>1249.4100000000001</v>
          </cell>
          <cell r="Q3577" t="str">
            <v>2016_04</v>
          </cell>
        </row>
        <row r="3578">
          <cell r="J3578">
            <v>30</v>
          </cell>
          <cell r="K3578">
            <v>30</v>
          </cell>
          <cell r="N3578">
            <v>731.15</v>
          </cell>
          <cell r="Q3578" t="str">
            <v>2016_05</v>
          </cell>
        </row>
        <row r="3579">
          <cell r="J3579">
            <v>30</v>
          </cell>
          <cell r="K3579">
            <v>30</v>
          </cell>
          <cell r="N3579">
            <v>678.57</v>
          </cell>
          <cell r="Q3579" t="str">
            <v>2016_06</v>
          </cell>
        </row>
        <row r="3580">
          <cell r="J3580">
            <v>30</v>
          </cell>
          <cell r="K3580">
            <v>30</v>
          </cell>
          <cell r="N3580">
            <v>770.21</v>
          </cell>
          <cell r="Q3580" t="str">
            <v>2016_07</v>
          </cell>
        </row>
        <row r="3581">
          <cell r="J3581">
            <v>30</v>
          </cell>
          <cell r="K3581">
            <v>30</v>
          </cell>
          <cell r="N3581">
            <v>730.74</v>
          </cell>
          <cell r="Q3581" t="str">
            <v>2016_08</v>
          </cell>
        </row>
        <row r="3582">
          <cell r="J3582">
            <v>30</v>
          </cell>
          <cell r="K3582">
            <v>30</v>
          </cell>
          <cell r="N3582">
            <v>856.12</v>
          </cell>
          <cell r="Q3582" t="str">
            <v>2016_09</v>
          </cell>
        </row>
        <row r="3583">
          <cell r="J3583">
            <v>30</v>
          </cell>
          <cell r="K3583">
            <v>30</v>
          </cell>
          <cell r="N3583">
            <v>107.5</v>
          </cell>
          <cell r="Q3583" t="str">
            <v>2015_10</v>
          </cell>
        </row>
        <row r="3584">
          <cell r="J3584">
            <v>30</v>
          </cell>
          <cell r="K3584">
            <v>30</v>
          </cell>
          <cell r="N3584">
            <v>107.5</v>
          </cell>
          <cell r="Q3584" t="str">
            <v>2015_11</v>
          </cell>
        </row>
        <row r="3585">
          <cell r="J3585">
            <v>30</v>
          </cell>
          <cell r="K3585">
            <v>30</v>
          </cell>
          <cell r="N3585">
            <v>107.5</v>
          </cell>
          <cell r="Q3585" t="str">
            <v>2015_12</v>
          </cell>
        </row>
        <row r="3586">
          <cell r="J3586">
            <v>30</v>
          </cell>
          <cell r="K3586">
            <v>30</v>
          </cell>
          <cell r="N3586">
            <v>107.5</v>
          </cell>
          <cell r="Q3586" t="str">
            <v>2016_01</v>
          </cell>
        </row>
        <row r="3587">
          <cell r="J3587">
            <v>30</v>
          </cell>
          <cell r="K3587">
            <v>30</v>
          </cell>
          <cell r="N3587">
            <v>107.5</v>
          </cell>
          <cell r="Q3587" t="str">
            <v>2016_02</v>
          </cell>
        </row>
        <row r="3588">
          <cell r="J3588">
            <v>30</v>
          </cell>
          <cell r="K3588">
            <v>30</v>
          </cell>
          <cell r="N3588">
            <v>107.5</v>
          </cell>
          <cell r="Q3588" t="str">
            <v>2016_03</v>
          </cell>
        </row>
        <row r="3589">
          <cell r="J3589">
            <v>30</v>
          </cell>
          <cell r="K3589">
            <v>30</v>
          </cell>
          <cell r="N3589">
            <v>107.5</v>
          </cell>
          <cell r="Q3589" t="str">
            <v>2016_04</v>
          </cell>
        </row>
        <row r="3590">
          <cell r="J3590">
            <v>30</v>
          </cell>
          <cell r="K3590">
            <v>30</v>
          </cell>
          <cell r="N3590">
            <v>107.5</v>
          </cell>
          <cell r="Q3590" t="str">
            <v>2016_05</v>
          </cell>
        </row>
        <row r="3591">
          <cell r="J3591">
            <v>30</v>
          </cell>
          <cell r="K3591">
            <v>30</v>
          </cell>
          <cell r="N3591">
            <v>86</v>
          </cell>
          <cell r="Q3591" t="str">
            <v>2016_06</v>
          </cell>
        </row>
        <row r="3592">
          <cell r="J3592">
            <v>30</v>
          </cell>
          <cell r="K3592">
            <v>30</v>
          </cell>
          <cell r="N3592">
            <v>86</v>
          </cell>
          <cell r="Q3592" t="str">
            <v>2016_07</v>
          </cell>
        </row>
        <row r="3593">
          <cell r="J3593">
            <v>30</v>
          </cell>
          <cell r="K3593">
            <v>30</v>
          </cell>
          <cell r="N3593">
            <v>86</v>
          </cell>
          <cell r="Q3593" t="str">
            <v>2016_08</v>
          </cell>
        </row>
        <row r="3594">
          <cell r="J3594">
            <v>30</v>
          </cell>
          <cell r="K3594">
            <v>30</v>
          </cell>
          <cell r="N3594">
            <v>86</v>
          </cell>
          <cell r="Q3594" t="str">
            <v>2016_09</v>
          </cell>
        </row>
        <row r="3595">
          <cell r="J3595">
            <v>28</v>
          </cell>
          <cell r="K3595">
            <v>28</v>
          </cell>
          <cell r="N3595">
            <v>843.2</v>
          </cell>
          <cell r="Q3595" t="str">
            <v>2015_10</v>
          </cell>
        </row>
        <row r="3596">
          <cell r="J3596">
            <v>28</v>
          </cell>
          <cell r="K3596">
            <v>28</v>
          </cell>
          <cell r="N3596">
            <v>1897.2</v>
          </cell>
          <cell r="Q3596" t="str">
            <v>2015_11</v>
          </cell>
        </row>
        <row r="3597">
          <cell r="J3597">
            <v>28</v>
          </cell>
          <cell r="K3597">
            <v>28</v>
          </cell>
          <cell r="N3597">
            <v>2951.2</v>
          </cell>
          <cell r="Q3597" t="str">
            <v>2015_12</v>
          </cell>
        </row>
        <row r="3598">
          <cell r="J3598">
            <v>28</v>
          </cell>
          <cell r="K3598">
            <v>28</v>
          </cell>
          <cell r="N3598">
            <v>1468.09</v>
          </cell>
          <cell r="Q3598" t="str">
            <v>2016_01</v>
          </cell>
        </row>
        <row r="3599">
          <cell r="J3599">
            <v>28</v>
          </cell>
          <cell r="K3599">
            <v>28</v>
          </cell>
          <cell r="N3599">
            <v>1468.09</v>
          </cell>
          <cell r="Q3599" t="str">
            <v>2016_02</v>
          </cell>
        </row>
        <row r="3600">
          <cell r="J3600">
            <v>28</v>
          </cell>
          <cell r="K3600">
            <v>28</v>
          </cell>
          <cell r="N3600">
            <v>1468.09</v>
          </cell>
          <cell r="Q3600" t="str">
            <v>2016_03</v>
          </cell>
        </row>
        <row r="3601">
          <cell r="J3601">
            <v>28</v>
          </cell>
          <cell r="K3601">
            <v>28</v>
          </cell>
          <cell r="N3601">
            <v>1468.09</v>
          </cell>
          <cell r="Q3601" t="str">
            <v>2016_04</v>
          </cell>
        </row>
        <row r="3602">
          <cell r="J3602">
            <v>28</v>
          </cell>
          <cell r="K3602">
            <v>28</v>
          </cell>
          <cell r="N3602">
            <v>1468.09</v>
          </cell>
          <cell r="Q3602" t="str">
            <v>2016_05</v>
          </cell>
        </row>
        <row r="3603">
          <cell r="J3603">
            <v>28</v>
          </cell>
          <cell r="K3603">
            <v>28</v>
          </cell>
          <cell r="N3603">
            <v>1468.09</v>
          </cell>
          <cell r="Q3603" t="str">
            <v>2016_06</v>
          </cell>
        </row>
        <row r="3604">
          <cell r="J3604">
            <v>28</v>
          </cell>
          <cell r="K3604">
            <v>28</v>
          </cell>
          <cell r="N3604">
            <v>1468.09</v>
          </cell>
          <cell r="Q3604" t="str">
            <v>2016_07</v>
          </cell>
        </row>
        <row r="3605">
          <cell r="J3605">
            <v>28</v>
          </cell>
          <cell r="K3605">
            <v>28</v>
          </cell>
          <cell r="N3605">
            <v>1468.09</v>
          </cell>
          <cell r="Q3605" t="str">
            <v>2016_08</v>
          </cell>
        </row>
        <row r="3606">
          <cell r="J3606">
            <v>28</v>
          </cell>
          <cell r="K3606">
            <v>28</v>
          </cell>
          <cell r="N3606">
            <v>1468.09</v>
          </cell>
          <cell r="Q3606" t="str">
            <v>2016_09</v>
          </cell>
        </row>
        <row r="3607">
          <cell r="J3607">
            <v>32</v>
          </cell>
          <cell r="K3607">
            <v>32</v>
          </cell>
          <cell r="N3607">
            <v>1713.7</v>
          </cell>
          <cell r="Q3607" t="str">
            <v>2015_10</v>
          </cell>
        </row>
        <row r="3608">
          <cell r="J3608">
            <v>32</v>
          </cell>
          <cell r="K3608">
            <v>32</v>
          </cell>
          <cell r="N3608">
            <v>1089.71</v>
          </cell>
          <cell r="Q3608" t="str">
            <v>2015_11</v>
          </cell>
        </row>
        <row r="3609">
          <cell r="J3609">
            <v>32</v>
          </cell>
          <cell r="K3609">
            <v>32</v>
          </cell>
          <cell r="N3609">
            <v>1196.06</v>
          </cell>
          <cell r="Q3609" t="str">
            <v>2015_12</v>
          </cell>
        </row>
        <row r="3610">
          <cell r="J3610">
            <v>32</v>
          </cell>
          <cell r="K3610">
            <v>32</v>
          </cell>
          <cell r="N3610">
            <v>1241.7</v>
          </cell>
          <cell r="Q3610" t="str">
            <v>2016_01</v>
          </cell>
        </row>
        <row r="3611">
          <cell r="J3611">
            <v>32</v>
          </cell>
          <cell r="K3611">
            <v>32</v>
          </cell>
          <cell r="N3611">
            <v>1040.6199999999999</v>
          </cell>
          <cell r="Q3611" t="str">
            <v>2016_02</v>
          </cell>
        </row>
        <row r="3612">
          <cell r="J3612">
            <v>32</v>
          </cell>
          <cell r="K3612">
            <v>32</v>
          </cell>
          <cell r="N3612">
            <v>1087.69</v>
          </cell>
          <cell r="Q3612" t="str">
            <v>2016_03</v>
          </cell>
        </row>
        <row r="3613">
          <cell r="J3613">
            <v>32</v>
          </cell>
          <cell r="K3613">
            <v>32</v>
          </cell>
          <cell r="N3613">
            <v>1686.21</v>
          </cell>
          <cell r="Q3613" t="str">
            <v>2016_04</v>
          </cell>
        </row>
        <row r="3614">
          <cell r="J3614">
            <v>32</v>
          </cell>
          <cell r="K3614">
            <v>32</v>
          </cell>
          <cell r="N3614">
            <v>1339.53</v>
          </cell>
          <cell r="Q3614" t="str">
            <v>2016_05</v>
          </cell>
        </row>
        <row r="3615">
          <cell r="J3615">
            <v>32</v>
          </cell>
          <cell r="K3615">
            <v>32</v>
          </cell>
          <cell r="N3615">
            <v>1294.1400000000001</v>
          </cell>
          <cell r="Q3615" t="str">
            <v>2016_06</v>
          </cell>
        </row>
        <row r="3616">
          <cell r="J3616">
            <v>32</v>
          </cell>
          <cell r="K3616">
            <v>32</v>
          </cell>
          <cell r="N3616">
            <v>1169.6099999999999</v>
          </cell>
          <cell r="Q3616" t="str">
            <v>2016_07</v>
          </cell>
        </row>
        <row r="3617">
          <cell r="J3617">
            <v>32</v>
          </cell>
          <cell r="K3617">
            <v>32</v>
          </cell>
          <cell r="N3617">
            <v>1116.03</v>
          </cell>
          <cell r="Q3617" t="str">
            <v>2016_08</v>
          </cell>
        </row>
        <row r="3618">
          <cell r="J3618">
            <v>32</v>
          </cell>
          <cell r="K3618">
            <v>32</v>
          </cell>
          <cell r="N3618">
            <v>1537.41</v>
          </cell>
          <cell r="Q3618" t="str">
            <v>2016_09</v>
          </cell>
        </row>
        <row r="3619">
          <cell r="J3619">
            <v>32</v>
          </cell>
          <cell r="K3619">
            <v>32</v>
          </cell>
          <cell r="N3619">
            <v>400.79</v>
          </cell>
          <cell r="Q3619" t="str">
            <v>2015_10</v>
          </cell>
        </row>
        <row r="3620">
          <cell r="J3620">
            <v>32</v>
          </cell>
          <cell r="K3620">
            <v>32</v>
          </cell>
          <cell r="N3620">
            <v>254.85</v>
          </cell>
          <cell r="Q3620" t="str">
            <v>2015_11</v>
          </cell>
        </row>
        <row r="3621">
          <cell r="J3621">
            <v>32</v>
          </cell>
          <cell r="K3621">
            <v>32</v>
          </cell>
          <cell r="N3621">
            <v>279.73</v>
          </cell>
          <cell r="Q3621" t="str">
            <v>2015_12</v>
          </cell>
        </row>
        <row r="3622">
          <cell r="J3622">
            <v>32</v>
          </cell>
          <cell r="K3622">
            <v>32</v>
          </cell>
          <cell r="N3622">
            <v>290.39999999999998</v>
          </cell>
          <cell r="Q3622" t="str">
            <v>2016_01</v>
          </cell>
        </row>
        <row r="3623">
          <cell r="J3623">
            <v>32</v>
          </cell>
          <cell r="K3623">
            <v>32</v>
          </cell>
          <cell r="N3623">
            <v>243.37</v>
          </cell>
          <cell r="Q3623" t="str">
            <v>2016_02</v>
          </cell>
        </row>
        <row r="3624">
          <cell r="J3624">
            <v>32</v>
          </cell>
          <cell r="K3624">
            <v>32</v>
          </cell>
          <cell r="N3624">
            <v>254.37</v>
          </cell>
          <cell r="Q3624" t="str">
            <v>2016_03</v>
          </cell>
        </row>
        <row r="3625">
          <cell r="J3625">
            <v>32</v>
          </cell>
          <cell r="K3625">
            <v>32</v>
          </cell>
          <cell r="N3625">
            <v>394.35</v>
          </cell>
          <cell r="Q3625" t="str">
            <v>2016_04</v>
          </cell>
        </row>
        <row r="3626">
          <cell r="J3626">
            <v>32</v>
          </cell>
          <cell r="K3626">
            <v>32</v>
          </cell>
          <cell r="N3626">
            <v>313.3</v>
          </cell>
          <cell r="Q3626" t="str">
            <v>2016_05</v>
          </cell>
        </row>
        <row r="3627">
          <cell r="J3627">
            <v>32</v>
          </cell>
          <cell r="K3627">
            <v>32</v>
          </cell>
          <cell r="N3627">
            <v>302.64999999999998</v>
          </cell>
          <cell r="Q3627" t="str">
            <v>2016_06</v>
          </cell>
        </row>
        <row r="3628">
          <cell r="J3628">
            <v>32</v>
          </cell>
          <cell r="K3628">
            <v>32</v>
          </cell>
          <cell r="N3628">
            <v>273.54000000000002</v>
          </cell>
          <cell r="Q3628" t="str">
            <v>2016_07</v>
          </cell>
        </row>
        <row r="3629">
          <cell r="J3629">
            <v>32</v>
          </cell>
          <cell r="K3629">
            <v>32</v>
          </cell>
          <cell r="N3629">
            <v>261.01</v>
          </cell>
          <cell r="Q3629" t="str">
            <v>2016_08</v>
          </cell>
        </row>
        <row r="3630">
          <cell r="J3630">
            <v>32</v>
          </cell>
          <cell r="K3630">
            <v>32</v>
          </cell>
          <cell r="N3630">
            <v>359.56</v>
          </cell>
          <cell r="Q3630" t="str">
            <v>2016_09</v>
          </cell>
        </row>
        <row r="3631">
          <cell r="J3631">
            <v>32</v>
          </cell>
          <cell r="K3631">
            <v>32</v>
          </cell>
          <cell r="N3631">
            <v>120.15</v>
          </cell>
          <cell r="Q3631" t="str">
            <v>2016_01</v>
          </cell>
        </row>
        <row r="3632">
          <cell r="J3632">
            <v>32</v>
          </cell>
          <cell r="K3632">
            <v>32</v>
          </cell>
          <cell r="N3632">
            <v>86.64</v>
          </cell>
          <cell r="Q3632" t="str">
            <v>2016_02</v>
          </cell>
        </row>
        <row r="3633">
          <cell r="J3633">
            <v>32</v>
          </cell>
          <cell r="K3633">
            <v>32</v>
          </cell>
          <cell r="N3633">
            <v>3.18</v>
          </cell>
          <cell r="Q3633" t="str">
            <v>2016_03</v>
          </cell>
        </row>
        <row r="3634">
          <cell r="J3634">
            <v>32</v>
          </cell>
          <cell r="K3634">
            <v>32</v>
          </cell>
          <cell r="N3634">
            <v>0</v>
          </cell>
          <cell r="Q3634" t="str">
            <v>2016_04</v>
          </cell>
        </row>
        <row r="3635">
          <cell r="J3635">
            <v>32</v>
          </cell>
          <cell r="K3635">
            <v>32</v>
          </cell>
          <cell r="N3635">
            <v>0</v>
          </cell>
          <cell r="Q3635" t="str">
            <v>2016_05</v>
          </cell>
        </row>
        <row r="3636">
          <cell r="J3636">
            <v>32</v>
          </cell>
          <cell r="K3636">
            <v>32</v>
          </cell>
          <cell r="N3636">
            <v>0</v>
          </cell>
          <cell r="Q3636" t="str">
            <v>2016_06</v>
          </cell>
        </row>
        <row r="3637">
          <cell r="J3637">
            <v>32</v>
          </cell>
          <cell r="K3637">
            <v>32</v>
          </cell>
          <cell r="N3637">
            <v>0</v>
          </cell>
          <cell r="Q3637" t="str">
            <v>2016_07</v>
          </cell>
        </row>
        <row r="3638">
          <cell r="J3638">
            <v>32</v>
          </cell>
          <cell r="K3638">
            <v>32</v>
          </cell>
          <cell r="N3638">
            <v>0</v>
          </cell>
          <cell r="Q3638" t="str">
            <v>2016_08</v>
          </cell>
        </row>
        <row r="3639">
          <cell r="J3639">
            <v>32</v>
          </cell>
          <cell r="K3639">
            <v>32</v>
          </cell>
          <cell r="N3639">
            <v>17.91</v>
          </cell>
          <cell r="Q3639" t="str">
            <v>2016_09</v>
          </cell>
        </row>
        <row r="3640">
          <cell r="J3640">
            <v>32</v>
          </cell>
          <cell r="K3640">
            <v>32</v>
          </cell>
          <cell r="N3640">
            <v>111.63</v>
          </cell>
          <cell r="Q3640" t="str">
            <v>2015_10</v>
          </cell>
        </row>
        <row r="3641">
          <cell r="J3641">
            <v>32</v>
          </cell>
          <cell r="K3641">
            <v>32</v>
          </cell>
          <cell r="N3641">
            <v>30.21</v>
          </cell>
          <cell r="Q3641" t="str">
            <v>2015_11</v>
          </cell>
        </row>
        <row r="3642">
          <cell r="J3642">
            <v>32</v>
          </cell>
          <cell r="K3642">
            <v>32</v>
          </cell>
          <cell r="N3642">
            <v>1.68</v>
          </cell>
          <cell r="Q3642" t="str">
            <v>2015_12</v>
          </cell>
        </row>
        <row r="3643">
          <cell r="J3643">
            <v>32</v>
          </cell>
          <cell r="K3643">
            <v>32</v>
          </cell>
          <cell r="N3643">
            <v>79.45</v>
          </cell>
          <cell r="Q3643" t="str">
            <v>2016_01</v>
          </cell>
        </row>
        <row r="3644">
          <cell r="J3644">
            <v>32</v>
          </cell>
          <cell r="K3644">
            <v>32</v>
          </cell>
          <cell r="N3644">
            <v>62.13</v>
          </cell>
          <cell r="Q3644" t="str">
            <v>2016_02</v>
          </cell>
        </row>
        <row r="3645">
          <cell r="J3645">
            <v>32</v>
          </cell>
          <cell r="K3645">
            <v>32</v>
          </cell>
          <cell r="N3645">
            <v>64.95</v>
          </cell>
          <cell r="Q3645" t="str">
            <v>2016_03</v>
          </cell>
        </row>
        <row r="3646">
          <cell r="J3646">
            <v>32</v>
          </cell>
          <cell r="K3646">
            <v>32</v>
          </cell>
          <cell r="N3646">
            <v>100.66</v>
          </cell>
          <cell r="Q3646" t="str">
            <v>2016_04</v>
          </cell>
        </row>
        <row r="3647">
          <cell r="J3647">
            <v>32</v>
          </cell>
          <cell r="K3647">
            <v>32</v>
          </cell>
          <cell r="N3647">
            <v>79.959999999999994</v>
          </cell>
          <cell r="Q3647" t="str">
            <v>2016_05</v>
          </cell>
        </row>
        <row r="3648">
          <cell r="J3648">
            <v>32</v>
          </cell>
          <cell r="K3648">
            <v>32</v>
          </cell>
          <cell r="N3648">
            <v>77.23</v>
          </cell>
          <cell r="Q3648" t="str">
            <v>2016_06</v>
          </cell>
        </row>
        <row r="3649">
          <cell r="J3649">
            <v>32</v>
          </cell>
          <cell r="K3649">
            <v>32</v>
          </cell>
          <cell r="N3649">
            <v>69.8</v>
          </cell>
          <cell r="Q3649" t="str">
            <v>2016_07</v>
          </cell>
        </row>
        <row r="3650">
          <cell r="J3650">
            <v>32</v>
          </cell>
          <cell r="K3650">
            <v>32</v>
          </cell>
          <cell r="N3650">
            <v>66.599999999999994</v>
          </cell>
          <cell r="Q3650" t="str">
            <v>2016_08</v>
          </cell>
        </row>
        <row r="3651">
          <cell r="J3651">
            <v>32</v>
          </cell>
          <cell r="K3651">
            <v>32</v>
          </cell>
          <cell r="N3651">
            <v>91.73</v>
          </cell>
          <cell r="Q3651" t="str">
            <v>2016_09</v>
          </cell>
        </row>
        <row r="3652">
          <cell r="J3652">
            <v>31</v>
          </cell>
          <cell r="K3652">
            <v>31</v>
          </cell>
          <cell r="N3652">
            <v>2201.5300000000002</v>
          </cell>
          <cell r="Q3652" t="str">
            <v>2015_10</v>
          </cell>
        </row>
        <row r="3653">
          <cell r="J3653">
            <v>31</v>
          </cell>
          <cell r="K3653">
            <v>31</v>
          </cell>
          <cell r="N3653">
            <v>1259.22</v>
          </cell>
          <cell r="Q3653" t="str">
            <v>2015_11</v>
          </cell>
        </row>
        <row r="3654">
          <cell r="J3654">
            <v>31</v>
          </cell>
          <cell r="K3654">
            <v>31</v>
          </cell>
          <cell r="N3654">
            <v>1323.62</v>
          </cell>
          <cell r="Q3654" t="str">
            <v>2015_12</v>
          </cell>
        </row>
        <row r="3655">
          <cell r="J3655">
            <v>31</v>
          </cell>
          <cell r="K3655">
            <v>31</v>
          </cell>
          <cell r="N3655">
            <v>1442.71</v>
          </cell>
          <cell r="Q3655" t="str">
            <v>2016_01</v>
          </cell>
        </row>
        <row r="3656">
          <cell r="J3656">
            <v>31</v>
          </cell>
          <cell r="K3656">
            <v>31</v>
          </cell>
          <cell r="N3656">
            <v>1367.3</v>
          </cell>
          <cell r="Q3656" t="str">
            <v>2016_02</v>
          </cell>
        </row>
        <row r="3657">
          <cell r="J3657">
            <v>31</v>
          </cell>
          <cell r="K3657">
            <v>31</v>
          </cell>
          <cell r="N3657">
            <v>1162.18</v>
          </cell>
          <cell r="Q3657" t="str">
            <v>2016_03</v>
          </cell>
        </row>
        <row r="3658">
          <cell r="J3658">
            <v>31</v>
          </cell>
          <cell r="K3658">
            <v>31</v>
          </cell>
          <cell r="N3658">
            <v>2037.73</v>
          </cell>
          <cell r="Q3658" t="str">
            <v>2016_04</v>
          </cell>
        </row>
        <row r="3659">
          <cell r="J3659">
            <v>31</v>
          </cell>
          <cell r="K3659">
            <v>31</v>
          </cell>
          <cell r="N3659">
            <v>1751.9</v>
          </cell>
          <cell r="Q3659" t="str">
            <v>2016_05</v>
          </cell>
        </row>
        <row r="3660">
          <cell r="J3660">
            <v>31</v>
          </cell>
          <cell r="K3660">
            <v>31</v>
          </cell>
          <cell r="N3660">
            <v>758.35</v>
          </cell>
          <cell r="Q3660" t="str">
            <v>2016_06</v>
          </cell>
        </row>
        <row r="3661">
          <cell r="J3661">
            <v>31</v>
          </cell>
          <cell r="K3661">
            <v>31</v>
          </cell>
          <cell r="N3661">
            <v>1285.01</v>
          </cell>
          <cell r="Q3661" t="str">
            <v>2016_07</v>
          </cell>
        </row>
        <row r="3662">
          <cell r="J3662">
            <v>31</v>
          </cell>
          <cell r="K3662">
            <v>31</v>
          </cell>
          <cell r="N3662">
            <v>1288.6600000000001</v>
          </cell>
          <cell r="Q3662" t="str">
            <v>2016_08</v>
          </cell>
        </row>
        <row r="3663">
          <cell r="J3663">
            <v>31</v>
          </cell>
          <cell r="K3663">
            <v>31</v>
          </cell>
          <cell r="N3663">
            <v>1703.06</v>
          </cell>
          <cell r="Q3663" t="str">
            <v>2016_09</v>
          </cell>
        </row>
        <row r="3664">
          <cell r="J3664">
            <v>37</v>
          </cell>
          <cell r="K3664">
            <v>37</v>
          </cell>
          <cell r="N3664">
            <v>7547.66</v>
          </cell>
          <cell r="Q3664" t="str">
            <v>2015_10</v>
          </cell>
        </row>
        <row r="3665">
          <cell r="J3665">
            <v>37</v>
          </cell>
          <cell r="K3665">
            <v>37</v>
          </cell>
          <cell r="N3665">
            <v>3305.16</v>
          </cell>
          <cell r="Q3665" t="str">
            <v>2015_11</v>
          </cell>
        </row>
        <row r="3666">
          <cell r="J3666">
            <v>37</v>
          </cell>
          <cell r="K3666">
            <v>37</v>
          </cell>
          <cell r="N3666">
            <v>9834.4</v>
          </cell>
          <cell r="Q3666" t="str">
            <v>2015_12</v>
          </cell>
        </row>
        <row r="3667">
          <cell r="J3667">
            <v>37</v>
          </cell>
          <cell r="K3667">
            <v>37</v>
          </cell>
          <cell r="N3667">
            <v>5018.04</v>
          </cell>
          <cell r="Q3667" t="str">
            <v>2016_01</v>
          </cell>
        </row>
        <row r="3668">
          <cell r="J3668">
            <v>37</v>
          </cell>
          <cell r="K3668">
            <v>37</v>
          </cell>
          <cell r="N3668">
            <v>5575.6</v>
          </cell>
          <cell r="Q3668" t="str">
            <v>2016_02</v>
          </cell>
        </row>
        <row r="3669">
          <cell r="J3669">
            <v>37</v>
          </cell>
          <cell r="K3669">
            <v>37</v>
          </cell>
          <cell r="N3669">
            <v>6690.72</v>
          </cell>
          <cell r="Q3669" t="str">
            <v>2016_03</v>
          </cell>
        </row>
        <row r="3670">
          <cell r="J3670">
            <v>37</v>
          </cell>
          <cell r="K3670">
            <v>37</v>
          </cell>
          <cell r="N3670">
            <v>6690.72</v>
          </cell>
          <cell r="Q3670" t="str">
            <v>2016_04</v>
          </cell>
        </row>
        <row r="3671">
          <cell r="J3671">
            <v>37</v>
          </cell>
          <cell r="K3671">
            <v>37</v>
          </cell>
          <cell r="N3671">
            <v>6690.72</v>
          </cell>
          <cell r="Q3671" t="str">
            <v>2016_05</v>
          </cell>
        </row>
        <row r="3672">
          <cell r="J3672">
            <v>37</v>
          </cell>
          <cell r="K3672">
            <v>37</v>
          </cell>
          <cell r="N3672">
            <v>6690.72</v>
          </cell>
          <cell r="Q3672" t="str">
            <v>2016_06</v>
          </cell>
        </row>
        <row r="3673">
          <cell r="J3673">
            <v>37</v>
          </cell>
          <cell r="K3673">
            <v>37</v>
          </cell>
          <cell r="N3673">
            <v>6690.72</v>
          </cell>
          <cell r="Q3673" t="str">
            <v>2016_07</v>
          </cell>
        </row>
        <row r="3674">
          <cell r="J3674">
            <v>37</v>
          </cell>
          <cell r="K3674">
            <v>37</v>
          </cell>
          <cell r="N3674">
            <v>7248.28</v>
          </cell>
          <cell r="Q3674" t="str">
            <v>2016_08</v>
          </cell>
        </row>
        <row r="3675">
          <cell r="J3675">
            <v>37</v>
          </cell>
          <cell r="K3675">
            <v>37</v>
          </cell>
          <cell r="N3675">
            <v>7805.84</v>
          </cell>
          <cell r="Q3675" t="str">
            <v>2016_09</v>
          </cell>
        </row>
        <row r="3676">
          <cell r="J3676">
            <v>38</v>
          </cell>
          <cell r="K3676">
            <v>38</v>
          </cell>
          <cell r="N3676">
            <v>2360.17</v>
          </cell>
          <cell r="Q3676" t="str">
            <v>2015_10</v>
          </cell>
        </row>
        <row r="3677">
          <cell r="J3677">
            <v>38</v>
          </cell>
          <cell r="K3677">
            <v>38</v>
          </cell>
          <cell r="N3677">
            <v>1596.57</v>
          </cell>
          <cell r="Q3677" t="str">
            <v>2015_11</v>
          </cell>
        </row>
        <row r="3678">
          <cell r="J3678">
            <v>38</v>
          </cell>
          <cell r="K3678">
            <v>38</v>
          </cell>
          <cell r="N3678">
            <v>1529.49</v>
          </cell>
          <cell r="Q3678" t="str">
            <v>2015_12</v>
          </cell>
        </row>
        <row r="3679">
          <cell r="J3679">
            <v>38</v>
          </cell>
          <cell r="K3679">
            <v>38</v>
          </cell>
          <cell r="N3679">
            <v>1488.97</v>
          </cell>
          <cell r="Q3679" t="str">
            <v>2016_01</v>
          </cell>
        </row>
        <row r="3680">
          <cell r="J3680">
            <v>38</v>
          </cell>
          <cell r="K3680">
            <v>38</v>
          </cell>
          <cell r="N3680">
            <v>1527.35</v>
          </cell>
          <cell r="Q3680" t="str">
            <v>2016_02</v>
          </cell>
        </row>
        <row r="3681">
          <cell r="J3681">
            <v>38</v>
          </cell>
          <cell r="K3681">
            <v>38</v>
          </cell>
          <cell r="N3681">
            <v>1525.81</v>
          </cell>
          <cell r="Q3681" t="str">
            <v>2016_03</v>
          </cell>
        </row>
        <row r="3682">
          <cell r="J3682">
            <v>38</v>
          </cell>
          <cell r="K3682">
            <v>38</v>
          </cell>
          <cell r="N3682">
            <v>2314.75</v>
          </cell>
          <cell r="Q3682" t="str">
            <v>2016_04</v>
          </cell>
        </row>
        <row r="3683">
          <cell r="J3683">
            <v>38</v>
          </cell>
          <cell r="K3683">
            <v>38</v>
          </cell>
          <cell r="N3683">
            <v>1619.68</v>
          </cell>
          <cell r="Q3683" t="str">
            <v>2016_05</v>
          </cell>
        </row>
        <row r="3684">
          <cell r="J3684">
            <v>38</v>
          </cell>
          <cell r="K3684">
            <v>38</v>
          </cell>
          <cell r="N3684">
            <v>1642.56</v>
          </cell>
          <cell r="Q3684" t="str">
            <v>2016_06</v>
          </cell>
        </row>
        <row r="3685">
          <cell r="J3685">
            <v>38</v>
          </cell>
          <cell r="K3685">
            <v>38</v>
          </cell>
          <cell r="N3685">
            <v>1724.35</v>
          </cell>
          <cell r="Q3685" t="str">
            <v>2016_07</v>
          </cell>
        </row>
        <row r="3686">
          <cell r="J3686">
            <v>38</v>
          </cell>
          <cell r="K3686">
            <v>38</v>
          </cell>
          <cell r="N3686">
            <v>1654.47</v>
          </cell>
          <cell r="Q3686" t="str">
            <v>2016_08</v>
          </cell>
        </row>
        <row r="3687">
          <cell r="J3687">
            <v>38</v>
          </cell>
          <cell r="K3687">
            <v>38</v>
          </cell>
          <cell r="N3687">
            <v>2137.59</v>
          </cell>
          <cell r="Q3687" t="str">
            <v>2016_09</v>
          </cell>
        </row>
        <row r="3688">
          <cell r="J3688">
            <v>38</v>
          </cell>
          <cell r="K3688">
            <v>38</v>
          </cell>
          <cell r="N3688">
            <v>350.46</v>
          </cell>
          <cell r="Q3688" t="str">
            <v>2015_10</v>
          </cell>
        </row>
        <row r="3689">
          <cell r="J3689">
            <v>38</v>
          </cell>
          <cell r="K3689">
            <v>38</v>
          </cell>
          <cell r="N3689">
            <v>35.479999999999997</v>
          </cell>
          <cell r="Q3689" t="str">
            <v>2015_11</v>
          </cell>
        </row>
        <row r="3690">
          <cell r="J3690">
            <v>38</v>
          </cell>
          <cell r="K3690">
            <v>38</v>
          </cell>
          <cell r="N3690">
            <v>185.98</v>
          </cell>
          <cell r="Q3690" t="str">
            <v>2015_12</v>
          </cell>
        </row>
        <row r="3691">
          <cell r="J3691">
            <v>38</v>
          </cell>
          <cell r="K3691">
            <v>38</v>
          </cell>
          <cell r="N3691">
            <v>185.98</v>
          </cell>
          <cell r="Q3691" t="str">
            <v>2016_01</v>
          </cell>
        </row>
        <row r="3692">
          <cell r="J3692">
            <v>38</v>
          </cell>
          <cell r="K3692">
            <v>38</v>
          </cell>
          <cell r="N3692">
            <v>185.98</v>
          </cell>
          <cell r="Q3692" t="str">
            <v>2016_02</v>
          </cell>
        </row>
        <row r="3693">
          <cell r="J3693">
            <v>38</v>
          </cell>
          <cell r="K3693">
            <v>38</v>
          </cell>
          <cell r="N3693">
            <v>185.98</v>
          </cell>
          <cell r="Q3693" t="str">
            <v>2016_03</v>
          </cell>
        </row>
        <row r="3694">
          <cell r="J3694">
            <v>38</v>
          </cell>
          <cell r="K3694">
            <v>38</v>
          </cell>
          <cell r="N3694">
            <v>228.98</v>
          </cell>
          <cell r="Q3694" t="str">
            <v>2016_04</v>
          </cell>
        </row>
        <row r="3695">
          <cell r="J3695">
            <v>38</v>
          </cell>
          <cell r="K3695">
            <v>38</v>
          </cell>
          <cell r="N3695">
            <v>228.98</v>
          </cell>
          <cell r="Q3695" t="str">
            <v>2016_05</v>
          </cell>
        </row>
        <row r="3696">
          <cell r="J3696">
            <v>38</v>
          </cell>
          <cell r="K3696">
            <v>38</v>
          </cell>
          <cell r="N3696">
            <v>207.48</v>
          </cell>
          <cell r="Q3696" t="str">
            <v>2016_06</v>
          </cell>
        </row>
        <row r="3697">
          <cell r="J3697">
            <v>38</v>
          </cell>
          <cell r="K3697">
            <v>38</v>
          </cell>
          <cell r="N3697">
            <v>207.48</v>
          </cell>
          <cell r="Q3697" t="str">
            <v>2016_07</v>
          </cell>
        </row>
        <row r="3698">
          <cell r="J3698">
            <v>38</v>
          </cell>
          <cell r="K3698">
            <v>38</v>
          </cell>
          <cell r="N3698">
            <v>207.48</v>
          </cell>
          <cell r="Q3698" t="str">
            <v>2016_08</v>
          </cell>
        </row>
        <row r="3699">
          <cell r="J3699">
            <v>38</v>
          </cell>
          <cell r="K3699">
            <v>38</v>
          </cell>
          <cell r="N3699">
            <v>215</v>
          </cell>
          <cell r="Q3699" t="str">
            <v>2016_09</v>
          </cell>
        </row>
        <row r="3700">
          <cell r="J3700">
            <v>36</v>
          </cell>
          <cell r="K3700">
            <v>36</v>
          </cell>
          <cell r="N3700">
            <v>3324.72</v>
          </cell>
          <cell r="Q3700" t="str">
            <v>2015_10</v>
          </cell>
        </row>
        <row r="3701">
          <cell r="J3701">
            <v>36</v>
          </cell>
          <cell r="K3701">
            <v>36</v>
          </cell>
          <cell r="N3701">
            <v>3483.04</v>
          </cell>
          <cell r="Q3701" t="str">
            <v>2015_11</v>
          </cell>
        </row>
        <row r="3702">
          <cell r="J3702">
            <v>36</v>
          </cell>
          <cell r="K3702">
            <v>36</v>
          </cell>
          <cell r="N3702">
            <v>2824.24</v>
          </cell>
          <cell r="Q3702" t="str">
            <v>2015_12</v>
          </cell>
        </row>
        <row r="3703">
          <cell r="J3703">
            <v>36</v>
          </cell>
          <cell r="K3703">
            <v>36</v>
          </cell>
          <cell r="N3703">
            <v>2246.5500000000002</v>
          </cell>
          <cell r="Q3703" t="str">
            <v>2016_01</v>
          </cell>
        </row>
        <row r="3704">
          <cell r="J3704">
            <v>36</v>
          </cell>
          <cell r="K3704">
            <v>36</v>
          </cell>
          <cell r="N3704">
            <v>2246.5500000000002</v>
          </cell>
          <cell r="Q3704" t="str">
            <v>2016_02</v>
          </cell>
        </row>
        <row r="3705">
          <cell r="J3705">
            <v>36</v>
          </cell>
          <cell r="K3705">
            <v>36</v>
          </cell>
          <cell r="N3705">
            <v>2246.5500000000002</v>
          </cell>
          <cell r="Q3705" t="str">
            <v>2016_03</v>
          </cell>
        </row>
        <row r="3706">
          <cell r="J3706">
            <v>36</v>
          </cell>
          <cell r="K3706">
            <v>36</v>
          </cell>
          <cell r="N3706">
            <v>2246.5500000000002</v>
          </cell>
          <cell r="Q3706" t="str">
            <v>2016_04</v>
          </cell>
        </row>
        <row r="3707">
          <cell r="J3707">
            <v>36</v>
          </cell>
          <cell r="K3707">
            <v>36</v>
          </cell>
          <cell r="N3707">
            <v>2246.5500000000002</v>
          </cell>
          <cell r="Q3707" t="str">
            <v>2016_05</v>
          </cell>
        </row>
        <row r="3708">
          <cell r="J3708">
            <v>36</v>
          </cell>
          <cell r="K3708">
            <v>36</v>
          </cell>
          <cell r="N3708">
            <v>2246.5500000000002</v>
          </cell>
          <cell r="Q3708" t="str">
            <v>2016_06</v>
          </cell>
        </row>
        <row r="3709">
          <cell r="J3709">
            <v>36</v>
          </cell>
          <cell r="K3709">
            <v>36</v>
          </cell>
          <cell r="N3709">
            <v>2246.5500000000002</v>
          </cell>
          <cell r="Q3709" t="str">
            <v>2016_07</v>
          </cell>
        </row>
        <row r="3710">
          <cell r="J3710">
            <v>36</v>
          </cell>
          <cell r="K3710">
            <v>36</v>
          </cell>
          <cell r="N3710">
            <v>2246.5500000000002</v>
          </cell>
          <cell r="Q3710" t="str">
            <v>2016_08</v>
          </cell>
        </row>
        <row r="3711">
          <cell r="J3711">
            <v>36</v>
          </cell>
          <cell r="K3711">
            <v>36</v>
          </cell>
          <cell r="N3711">
            <v>2246.5500000000002</v>
          </cell>
          <cell r="Q3711" t="str">
            <v>2016_09</v>
          </cell>
        </row>
        <row r="3712">
          <cell r="J3712">
            <v>40</v>
          </cell>
          <cell r="K3712">
            <v>40</v>
          </cell>
          <cell r="N3712">
            <v>3243.35</v>
          </cell>
          <cell r="Q3712" t="str">
            <v>2015_10</v>
          </cell>
        </row>
        <row r="3713">
          <cell r="J3713">
            <v>40</v>
          </cell>
          <cell r="K3713">
            <v>40</v>
          </cell>
          <cell r="N3713">
            <v>2191.9899999999998</v>
          </cell>
          <cell r="Q3713" t="str">
            <v>2015_11</v>
          </cell>
        </row>
        <row r="3714">
          <cell r="J3714">
            <v>40</v>
          </cell>
          <cell r="K3714">
            <v>40</v>
          </cell>
          <cell r="N3714">
            <v>2381.46</v>
          </cell>
          <cell r="Q3714" t="str">
            <v>2015_12</v>
          </cell>
        </row>
        <row r="3715">
          <cell r="J3715">
            <v>40</v>
          </cell>
          <cell r="K3715">
            <v>40</v>
          </cell>
          <cell r="N3715">
            <v>2523.17</v>
          </cell>
          <cell r="Q3715" t="str">
            <v>2016_01</v>
          </cell>
        </row>
        <row r="3716">
          <cell r="J3716">
            <v>40</v>
          </cell>
          <cell r="K3716">
            <v>40</v>
          </cell>
          <cell r="N3716">
            <v>2677.45</v>
          </cell>
          <cell r="Q3716" t="str">
            <v>2016_02</v>
          </cell>
        </row>
        <row r="3717">
          <cell r="J3717">
            <v>40</v>
          </cell>
          <cell r="K3717">
            <v>40</v>
          </cell>
          <cell r="N3717">
            <v>2697.26</v>
          </cell>
          <cell r="Q3717" t="str">
            <v>2016_03</v>
          </cell>
        </row>
        <row r="3718">
          <cell r="J3718">
            <v>40</v>
          </cell>
          <cell r="K3718">
            <v>40</v>
          </cell>
          <cell r="N3718">
            <v>3714.46</v>
          </cell>
          <cell r="Q3718" t="str">
            <v>2016_04</v>
          </cell>
        </row>
        <row r="3719">
          <cell r="J3719">
            <v>40</v>
          </cell>
          <cell r="K3719">
            <v>40</v>
          </cell>
          <cell r="N3719">
            <v>2326.14</v>
          </cell>
          <cell r="Q3719" t="str">
            <v>2016_05</v>
          </cell>
        </row>
        <row r="3720">
          <cell r="J3720">
            <v>40</v>
          </cell>
          <cell r="K3720">
            <v>40</v>
          </cell>
          <cell r="N3720">
            <v>2422.09</v>
          </cell>
          <cell r="Q3720" t="str">
            <v>2016_06</v>
          </cell>
        </row>
        <row r="3721">
          <cell r="J3721">
            <v>40</v>
          </cell>
          <cell r="K3721">
            <v>40</v>
          </cell>
          <cell r="N3721">
            <v>2489.54</v>
          </cell>
          <cell r="Q3721" t="str">
            <v>2016_07</v>
          </cell>
        </row>
        <row r="3722">
          <cell r="J3722">
            <v>40</v>
          </cell>
          <cell r="K3722">
            <v>40</v>
          </cell>
          <cell r="N3722">
            <v>2420.14</v>
          </cell>
          <cell r="Q3722" t="str">
            <v>2016_08</v>
          </cell>
        </row>
        <row r="3723">
          <cell r="J3723">
            <v>40</v>
          </cell>
          <cell r="K3723">
            <v>40</v>
          </cell>
          <cell r="N3723">
            <v>3795.17</v>
          </cell>
          <cell r="Q3723" t="str">
            <v>2016_09</v>
          </cell>
        </row>
        <row r="3724">
          <cell r="J3724">
            <v>40</v>
          </cell>
          <cell r="K3724">
            <v>40</v>
          </cell>
          <cell r="N3724">
            <v>758.52</v>
          </cell>
          <cell r="Q3724" t="str">
            <v>2015_10</v>
          </cell>
        </row>
        <row r="3725">
          <cell r="J3725">
            <v>40</v>
          </cell>
          <cell r="K3725">
            <v>40</v>
          </cell>
          <cell r="N3725">
            <v>512.64</v>
          </cell>
          <cell r="Q3725" t="str">
            <v>2015_11</v>
          </cell>
        </row>
        <row r="3726">
          <cell r="J3726">
            <v>40</v>
          </cell>
          <cell r="K3726">
            <v>40</v>
          </cell>
          <cell r="N3726">
            <v>556.98</v>
          </cell>
          <cell r="Q3726" t="str">
            <v>2015_12</v>
          </cell>
        </row>
        <row r="3727">
          <cell r="J3727">
            <v>40</v>
          </cell>
          <cell r="K3727">
            <v>40</v>
          </cell>
          <cell r="N3727">
            <v>590.1</v>
          </cell>
          <cell r="Q3727" t="str">
            <v>2016_01</v>
          </cell>
        </row>
        <row r="3728">
          <cell r="J3728">
            <v>40</v>
          </cell>
          <cell r="K3728">
            <v>40</v>
          </cell>
          <cell r="N3728">
            <v>626.16</v>
          </cell>
          <cell r="Q3728" t="str">
            <v>2016_02</v>
          </cell>
        </row>
        <row r="3729">
          <cell r="J3729">
            <v>40</v>
          </cell>
          <cell r="K3729">
            <v>40</v>
          </cell>
          <cell r="N3729">
            <v>630.83000000000004</v>
          </cell>
          <cell r="Q3729" t="str">
            <v>2016_03</v>
          </cell>
        </row>
        <row r="3730">
          <cell r="J3730">
            <v>40</v>
          </cell>
          <cell r="K3730">
            <v>40</v>
          </cell>
          <cell r="N3730">
            <v>868.71</v>
          </cell>
          <cell r="Q3730" t="str">
            <v>2016_04</v>
          </cell>
        </row>
        <row r="3731">
          <cell r="J3731">
            <v>40</v>
          </cell>
          <cell r="K3731">
            <v>40</v>
          </cell>
          <cell r="N3731">
            <v>543.99</v>
          </cell>
          <cell r="Q3731" t="str">
            <v>2016_05</v>
          </cell>
        </row>
        <row r="3732">
          <cell r="J3732">
            <v>40</v>
          </cell>
          <cell r="K3732">
            <v>40</v>
          </cell>
          <cell r="N3732">
            <v>566.47</v>
          </cell>
          <cell r="Q3732" t="str">
            <v>2016_06</v>
          </cell>
        </row>
        <row r="3733">
          <cell r="J3733">
            <v>40</v>
          </cell>
          <cell r="K3733">
            <v>40</v>
          </cell>
          <cell r="N3733">
            <v>582.25</v>
          </cell>
          <cell r="Q3733" t="str">
            <v>2016_07</v>
          </cell>
        </row>
        <row r="3734">
          <cell r="J3734">
            <v>40</v>
          </cell>
          <cell r="K3734">
            <v>40</v>
          </cell>
          <cell r="N3734">
            <v>565.98</v>
          </cell>
          <cell r="Q3734" t="str">
            <v>2016_08</v>
          </cell>
        </row>
        <row r="3735">
          <cell r="J3735">
            <v>40</v>
          </cell>
          <cell r="K3735">
            <v>40</v>
          </cell>
          <cell r="N3735">
            <v>887.58</v>
          </cell>
          <cell r="Q3735" t="str">
            <v>2016_09</v>
          </cell>
        </row>
        <row r="3736">
          <cell r="J3736">
            <v>40</v>
          </cell>
          <cell r="K3736">
            <v>40</v>
          </cell>
          <cell r="N3736">
            <v>0</v>
          </cell>
          <cell r="Q3736" t="str">
            <v>2015_10</v>
          </cell>
        </row>
        <row r="3737">
          <cell r="J3737">
            <v>40</v>
          </cell>
          <cell r="K3737">
            <v>40</v>
          </cell>
          <cell r="N3737">
            <v>0</v>
          </cell>
          <cell r="Q3737" t="str">
            <v>2015_11</v>
          </cell>
        </row>
        <row r="3738">
          <cell r="J3738">
            <v>40</v>
          </cell>
          <cell r="K3738">
            <v>40</v>
          </cell>
          <cell r="N3738">
            <v>24.24</v>
          </cell>
          <cell r="Q3738" t="str">
            <v>2015_12</v>
          </cell>
        </row>
        <row r="3739">
          <cell r="J3739">
            <v>40</v>
          </cell>
          <cell r="K3739">
            <v>40</v>
          </cell>
          <cell r="N3739">
            <v>244.17</v>
          </cell>
          <cell r="Q3739" t="str">
            <v>2016_01</v>
          </cell>
        </row>
        <row r="3740">
          <cell r="J3740">
            <v>40</v>
          </cell>
          <cell r="K3740">
            <v>40</v>
          </cell>
          <cell r="N3740">
            <v>230.81</v>
          </cell>
          <cell r="Q3740" t="str">
            <v>2016_02</v>
          </cell>
        </row>
        <row r="3741">
          <cell r="J3741">
            <v>40</v>
          </cell>
          <cell r="K3741">
            <v>40</v>
          </cell>
          <cell r="N3741">
            <v>29.01</v>
          </cell>
          <cell r="Q3741" t="str">
            <v>2016_03</v>
          </cell>
        </row>
        <row r="3742">
          <cell r="J3742">
            <v>40</v>
          </cell>
          <cell r="K3742">
            <v>40</v>
          </cell>
          <cell r="N3742">
            <v>0</v>
          </cell>
          <cell r="Q3742" t="str">
            <v>2016_04</v>
          </cell>
        </row>
        <row r="3743">
          <cell r="J3743">
            <v>40</v>
          </cell>
          <cell r="K3743">
            <v>40</v>
          </cell>
          <cell r="N3743">
            <v>3.37</v>
          </cell>
          <cell r="Q3743" t="str">
            <v>2016_05</v>
          </cell>
        </row>
        <row r="3744">
          <cell r="J3744">
            <v>40</v>
          </cell>
          <cell r="K3744">
            <v>40</v>
          </cell>
          <cell r="N3744">
            <v>16.61</v>
          </cell>
          <cell r="Q3744" t="str">
            <v>2016_06</v>
          </cell>
        </row>
        <row r="3745">
          <cell r="J3745">
            <v>40</v>
          </cell>
          <cell r="K3745">
            <v>40</v>
          </cell>
          <cell r="N3745">
            <v>34</v>
          </cell>
          <cell r="Q3745" t="str">
            <v>2016_07</v>
          </cell>
        </row>
        <row r="3746">
          <cell r="J3746">
            <v>40</v>
          </cell>
          <cell r="K3746">
            <v>40</v>
          </cell>
          <cell r="N3746">
            <v>40.98</v>
          </cell>
          <cell r="Q3746" t="str">
            <v>2016_08</v>
          </cell>
        </row>
        <row r="3747">
          <cell r="J3747">
            <v>40</v>
          </cell>
          <cell r="K3747">
            <v>40</v>
          </cell>
          <cell r="N3747">
            <v>31.03</v>
          </cell>
          <cell r="Q3747" t="str">
            <v>2016_09</v>
          </cell>
        </row>
        <row r="3748">
          <cell r="J3748">
            <v>40</v>
          </cell>
          <cell r="K3748">
            <v>40</v>
          </cell>
          <cell r="N3748">
            <v>178.29</v>
          </cell>
          <cell r="Q3748" t="str">
            <v>2015_10</v>
          </cell>
        </row>
        <row r="3749">
          <cell r="J3749">
            <v>40</v>
          </cell>
          <cell r="K3749">
            <v>40</v>
          </cell>
          <cell r="N3749">
            <v>46.24</v>
          </cell>
          <cell r="Q3749" t="str">
            <v>2015_11</v>
          </cell>
        </row>
        <row r="3750">
          <cell r="J3750">
            <v>40</v>
          </cell>
          <cell r="K3750">
            <v>40</v>
          </cell>
          <cell r="N3750">
            <v>45.14</v>
          </cell>
          <cell r="Q3750" t="str">
            <v>2015_12</v>
          </cell>
        </row>
        <row r="3751">
          <cell r="J3751">
            <v>40</v>
          </cell>
          <cell r="K3751">
            <v>40</v>
          </cell>
          <cell r="N3751">
            <v>159.72</v>
          </cell>
          <cell r="Q3751" t="str">
            <v>2016_01</v>
          </cell>
        </row>
        <row r="3752">
          <cell r="J3752">
            <v>40</v>
          </cell>
          <cell r="K3752">
            <v>40</v>
          </cell>
          <cell r="N3752">
            <v>159.77000000000001</v>
          </cell>
          <cell r="Q3752" t="str">
            <v>2016_02</v>
          </cell>
        </row>
        <row r="3753">
          <cell r="J3753">
            <v>40</v>
          </cell>
          <cell r="K3753">
            <v>40</v>
          </cell>
          <cell r="N3753">
            <v>160.94999999999999</v>
          </cell>
          <cell r="Q3753" t="str">
            <v>2016_03</v>
          </cell>
        </row>
        <row r="3754">
          <cell r="J3754">
            <v>40</v>
          </cell>
          <cell r="K3754">
            <v>40</v>
          </cell>
          <cell r="N3754">
            <v>221.67</v>
          </cell>
          <cell r="Q3754" t="str">
            <v>2016_04</v>
          </cell>
        </row>
        <row r="3755">
          <cell r="J3755">
            <v>40</v>
          </cell>
          <cell r="K3755">
            <v>40</v>
          </cell>
          <cell r="N3755">
            <v>138.78</v>
          </cell>
          <cell r="Q3755" t="str">
            <v>2016_05</v>
          </cell>
        </row>
        <row r="3756">
          <cell r="J3756">
            <v>40</v>
          </cell>
          <cell r="K3756">
            <v>40</v>
          </cell>
          <cell r="N3756">
            <v>144.54</v>
          </cell>
          <cell r="Q3756" t="str">
            <v>2016_06</v>
          </cell>
        </row>
        <row r="3757">
          <cell r="J3757">
            <v>40</v>
          </cell>
          <cell r="K3757">
            <v>40</v>
          </cell>
          <cell r="N3757">
            <v>148.56</v>
          </cell>
          <cell r="Q3757" t="str">
            <v>2016_07</v>
          </cell>
        </row>
        <row r="3758">
          <cell r="J3758">
            <v>40</v>
          </cell>
          <cell r="K3758">
            <v>40</v>
          </cell>
          <cell r="N3758">
            <v>144.41999999999999</v>
          </cell>
          <cell r="Q3758" t="str">
            <v>2016_08</v>
          </cell>
        </row>
        <row r="3759">
          <cell r="J3759">
            <v>40</v>
          </cell>
          <cell r="K3759">
            <v>40</v>
          </cell>
          <cell r="N3759">
            <v>226.55</v>
          </cell>
          <cell r="Q3759" t="str">
            <v>2016_09</v>
          </cell>
        </row>
        <row r="3760">
          <cell r="J3760">
            <v>39</v>
          </cell>
          <cell r="K3760">
            <v>39</v>
          </cell>
          <cell r="N3760">
            <v>4262.62</v>
          </cell>
          <cell r="Q3760" t="str">
            <v>2015_10</v>
          </cell>
        </row>
        <row r="3761">
          <cell r="J3761">
            <v>39</v>
          </cell>
          <cell r="K3761">
            <v>39</v>
          </cell>
          <cell r="N3761">
            <v>2788.93</v>
          </cell>
          <cell r="Q3761" t="str">
            <v>2015_11</v>
          </cell>
        </row>
        <row r="3762">
          <cell r="J3762">
            <v>39</v>
          </cell>
          <cell r="K3762">
            <v>39</v>
          </cell>
          <cell r="N3762">
            <v>3157.86</v>
          </cell>
          <cell r="Q3762" t="str">
            <v>2015_12</v>
          </cell>
        </row>
        <row r="3763">
          <cell r="J3763">
            <v>39</v>
          </cell>
          <cell r="K3763">
            <v>39</v>
          </cell>
          <cell r="N3763">
            <v>3251.17</v>
          </cell>
          <cell r="Q3763" t="str">
            <v>2016_01</v>
          </cell>
        </row>
        <row r="3764">
          <cell r="J3764">
            <v>39</v>
          </cell>
          <cell r="K3764">
            <v>39</v>
          </cell>
          <cell r="N3764">
            <v>3872.12</v>
          </cell>
          <cell r="Q3764" t="str">
            <v>2016_02</v>
          </cell>
        </row>
        <row r="3765">
          <cell r="J3765">
            <v>39</v>
          </cell>
          <cell r="K3765">
            <v>39</v>
          </cell>
          <cell r="N3765">
            <v>3878.2</v>
          </cell>
          <cell r="Q3765" t="str">
            <v>2016_03</v>
          </cell>
        </row>
        <row r="3766">
          <cell r="J3766">
            <v>39</v>
          </cell>
          <cell r="K3766">
            <v>39</v>
          </cell>
          <cell r="N3766">
            <v>5174.9799999999996</v>
          </cell>
          <cell r="Q3766" t="str">
            <v>2016_04</v>
          </cell>
        </row>
        <row r="3767">
          <cell r="J3767">
            <v>39</v>
          </cell>
          <cell r="K3767">
            <v>39</v>
          </cell>
          <cell r="N3767">
            <v>3174.45</v>
          </cell>
          <cell r="Q3767" t="str">
            <v>2016_05</v>
          </cell>
        </row>
        <row r="3768">
          <cell r="J3768">
            <v>39</v>
          </cell>
          <cell r="K3768">
            <v>39</v>
          </cell>
          <cell r="N3768">
            <v>1006.42</v>
          </cell>
          <cell r="Q3768" t="str">
            <v>2016_06</v>
          </cell>
        </row>
        <row r="3769">
          <cell r="J3769">
            <v>39</v>
          </cell>
          <cell r="K3769">
            <v>39</v>
          </cell>
          <cell r="N3769">
            <v>3213.02</v>
          </cell>
          <cell r="Q3769" t="str">
            <v>2016_07</v>
          </cell>
        </row>
        <row r="3770">
          <cell r="J3770">
            <v>39</v>
          </cell>
          <cell r="K3770">
            <v>39</v>
          </cell>
          <cell r="N3770">
            <v>3498.54</v>
          </cell>
          <cell r="Q3770" t="str">
            <v>2016_08</v>
          </cell>
        </row>
        <row r="3771">
          <cell r="J3771">
            <v>39</v>
          </cell>
          <cell r="K3771">
            <v>39</v>
          </cell>
          <cell r="N3771">
            <v>4824.09</v>
          </cell>
          <cell r="Q3771" t="str">
            <v>2016_09</v>
          </cell>
        </row>
        <row r="3772">
          <cell r="J3772">
            <v>38</v>
          </cell>
          <cell r="K3772">
            <v>38</v>
          </cell>
          <cell r="N3772">
            <v>1992.67</v>
          </cell>
          <cell r="Q3772" t="str">
            <v>2016_09</v>
          </cell>
        </row>
        <row r="3773">
          <cell r="J3773">
            <v>41</v>
          </cell>
          <cell r="K3773">
            <v>41</v>
          </cell>
          <cell r="N3773">
            <v>861.95</v>
          </cell>
          <cell r="Q3773" t="str">
            <v>2015_10</v>
          </cell>
        </row>
        <row r="3774">
          <cell r="J3774">
            <v>41</v>
          </cell>
          <cell r="K3774">
            <v>41</v>
          </cell>
          <cell r="N3774">
            <v>0</v>
          </cell>
          <cell r="Q3774" t="str">
            <v>2015_11</v>
          </cell>
        </row>
        <row r="3775">
          <cell r="J3775">
            <v>41</v>
          </cell>
          <cell r="K3775">
            <v>41</v>
          </cell>
          <cell r="N3775">
            <v>0</v>
          </cell>
          <cell r="Q3775" t="str">
            <v>2015_12</v>
          </cell>
        </row>
        <row r="3776">
          <cell r="J3776">
            <v>41</v>
          </cell>
          <cell r="K3776">
            <v>41</v>
          </cell>
          <cell r="N3776">
            <v>166.16</v>
          </cell>
          <cell r="Q3776" t="str">
            <v>2016_03</v>
          </cell>
        </row>
        <row r="3777">
          <cell r="J3777">
            <v>41</v>
          </cell>
          <cell r="K3777">
            <v>41</v>
          </cell>
          <cell r="N3777">
            <v>0</v>
          </cell>
          <cell r="Q3777" t="str">
            <v>2016_04</v>
          </cell>
        </row>
        <row r="3778">
          <cell r="J3778">
            <v>41</v>
          </cell>
          <cell r="K3778">
            <v>41</v>
          </cell>
          <cell r="N3778">
            <v>136</v>
          </cell>
          <cell r="Q3778" t="str">
            <v>2016_05</v>
          </cell>
        </row>
        <row r="3779">
          <cell r="J3779">
            <v>41</v>
          </cell>
          <cell r="K3779">
            <v>41</v>
          </cell>
          <cell r="N3779">
            <v>0</v>
          </cell>
          <cell r="Q3779" t="str">
            <v>2016_06</v>
          </cell>
        </row>
        <row r="3780">
          <cell r="J3780">
            <v>41</v>
          </cell>
          <cell r="K3780">
            <v>41</v>
          </cell>
          <cell r="N3780">
            <v>50</v>
          </cell>
          <cell r="Q3780" t="str">
            <v>2016_07</v>
          </cell>
        </row>
        <row r="3781">
          <cell r="J3781">
            <v>41</v>
          </cell>
          <cell r="K3781">
            <v>41</v>
          </cell>
          <cell r="N3781">
            <v>103.03</v>
          </cell>
          <cell r="Q3781" t="str">
            <v>2016_08</v>
          </cell>
        </row>
        <row r="3782">
          <cell r="J3782">
            <v>41</v>
          </cell>
          <cell r="K3782">
            <v>41</v>
          </cell>
          <cell r="N3782">
            <v>0</v>
          </cell>
          <cell r="Q3782" t="str">
            <v>2016_09</v>
          </cell>
        </row>
        <row r="3783">
          <cell r="J3783">
            <v>58</v>
          </cell>
          <cell r="K3783">
            <v>58</v>
          </cell>
          <cell r="N3783">
            <v>24655.35</v>
          </cell>
          <cell r="Q3783" t="str">
            <v>2015_10</v>
          </cell>
        </row>
        <row r="3784">
          <cell r="J3784">
            <v>58</v>
          </cell>
          <cell r="K3784">
            <v>58</v>
          </cell>
          <cell r="N3784">
            <v>29075.78</v>
          </cell>
          <cell r="Q3784" t="str">
            <v>2015_11</v>
          </cell>
        </row>
        <row r="3785">
          <cell r="J3785">
            <v>58</v>
          </cell>
          <cell r="K3785">
            <v>58</v>
          </cell>
          <cell r="N3785">
            <v>-11348.47</v>
          </cell>
          <cell r="Q3785" t="str">
            <v>2015_12</v>
          </cell>
        </row>
        <row r="3786">
          <cell r="J3786">
            <v>58</v>
          </cell>
          <cell r="K3786">
            <v>58</v>
          </cell>
          <cell r="N3786">
            <v>6840.92</v>
          </cell>
          <cell r="Q3786" t="str">
            <v>2016_01</v>
          </cell>
        </row>
        <row r="3787">
          <cell r="J3787">
            <v>58</v>
          </cell>
          <cell r="K3787">
            <v>58</v>
          </cell>
          <cell r="N3787">
            <v>7712.85</v>
          </cell>
          <cell r="Q3787" t="str">
            <v>2016_02</v>
          </cell>
        </row>
        <row r="3788">
          <cell r="J3788">
            <v>58</v>
          </cell>
          <cell r="K3788">
            <v>58</v>
          </cell>
          <cell r="N3788">
            <v>7507.78</v>
          </cell>
          <cell r="Q3788" t="str">
            <v>2016_03</v>
          </cell>
        </row>
        <row r="3789">
          <cell r="J3789">
            <v>58</v>
          </cell>
          <cell r="K3789">
            <v>58</v>
          </cell>
          <cell r="N3789">
            <v>2997.07</v>
          </cell>
          <cell r="Q3789" t="str">
            <v>2016_04</v>
          </cell>
        </row>
        <row r="3790">
          <cell r="J3790">
            <v>58</v>
          </cell>
          <cell r="K3790">
            <v>58</v>
          </cell>
          <cell r="N3790">
            <v>6602.29</v>
          </cell>
          <cell r="Q3790" t="str">
            <v>2016_05</v>
          </cell>
        </row>
        <row r="3791">
          <cell r="J3791">
            <v>58</v>
          </cell>
          <cell r="K3791">
            <v>58</v>
          </cell>
          <cell r="N3791">
            <v>2586.06</v>
          </cell>
          <cell r="Q3791" t="str">
            <v>2016_06</v>
          </cell>
        </row>
        <row r="3792">
          <cell r="J3792">
            <v>58</v>
          </cell>
          <cell r="K3792">
            <v>58</v>
          </cell>
          <cell r="N3792">
            <v>-3921.58</v>
          </cell>
          <cell r="Q3792" t="str">
            <v>2016_07</v>
          </cell>
        </row>
        <row r="3793">
          <cell r="J3793">
            <v>58</v>
          </cell>
          <cell r="K3793">
            <v>58</v>
          </cell>
          <cell r="N3793">
            <v>3240.96</v>
          </cell>
          <cell r="Q3793" t="str">
            <v>2016_08</v>
          </cell>
        </row>
        <row r="3794">
          <cell r="J3794">
            <v>58</v>
          </cell>
          <cell r="K3794">
            <v>58</v>
          </cell>
          <cell r="N3794">
            <v>1402.22</v>
          </cell>
          <cell r="Q3794" t="str">
            <v>2016_09</v>
          </cell>
        </row>
        <row r="3795">
          <cell r="J3795">
            <v>59</v>
          </cell>
          <cell r="K3795">
            <v>59</v>
          </cell>
          <cell r="N3795">
            <v>14119.31</v>
          </cell>
          <cell r="Q3795" t="str">
            <v>2015_10</v>
          </cell>
        </row>
        <row r="3796">
          <cell r="J3796">
            <v>59</v>
          </cell>
          <cell r="K3796">
            <v>59</v>
          </cell>
          <cell r="N3796">
            <v>2836.88</v>
          </cell>
          <cell r="Q3796" t="str">
            <v>2015_11</v>
          </cell>
        </row>
        <row r="3797">
          <cell r="J3797">
            <v>59</v>
          </cell>
          <cell r="K3797">
            <v>59</v>
          </cell>
          <cell r="N3797">
            <v>4598.6099999999997</v>
          </cell>
          <cell r="Q3797" t="str">
            <v>2015_12</v>
          </cell>
        </row>
        <row r="3798">
          <cell r="J3798">
            <v>59</v>
          </cell>
          <cell r="K3798">
            <v>59</v>
          </cell>
          <cell r="N3798">
            <v>5167.1899999999996</v>
          </cell>
          <cell r="Q3798" t="str">
            <v>2016_01</v>
          </cell>
        </row>
        <row r="3799">
          <cell r="J3799">
            <v>59</v>
          </cell>
          <cell r="K3799">
            <v>59</v>
          </cell>
          <cell r="N3799">
            <v>1727.07</v>
          </cell>
          <cell r="Q3799" t="str">
            <v>2016_02</v>
          </cell>
        </row>
        <row r="3800">
          <cell r="J3800">
            <v>59</v>
          </cell>
          <cell r="K3800">
            <v>59</v>
          </cell>
          <cell r="N3800">
            <v>7330.27</v>
          </cell>
          <cell r="Q3800" t="str">
            <v>2016_03</v>
          </cell>
        </row>
        <row r="3801">
          <cell r="J3801">
            <v>59</v>
          </cell>
          <cell r="K3801">
            <v>59</v>
          </cell>
          <cell r="N3801">
            <v>8038.14</v>
          </cell>
          <cell r="Q3801" t="str">
            <v>2016_04</v>
          </cell>
        </row>
        <row r="3802">
          <cell r="J3802">
            <v>59</v>
          </cell>
          <cell r="K3802">
            <v>59</v>
          </cell>
          <cell r="N3802">
            <v>2332.9</v>
          </cell>
          <cell r="Q3802" t="str">
            <v>2016_05</v>
          </cell>
        </row>
        <row r="3803">
          <cell r="J3803">
            <v>59</v>
          </cell>
          <cell r="K3803">
            <v>59</v>
          </cell>
          <cell r="N3803">
            <v>6245.27</v>
          </cell>
          <cell r="Q3803" t="str">
            <v>2016_06</v>
          </cell>
        </row>
        <row r="3804">
          <cell r="J3804">
            <v>59</v>
          </cell>
          <cell r="K3804">
            <v>59</v>
          </cell>
          <cell r="N3804">
            <v>4527.92</v>
          </cell>
          <cell r="Q3804" t="str">
            <v>2016_07</v>
          </cell>
        </row>
        <row r="3805">
          <cell r="J3805">
            <v>59</v>
          </cell>
          <cell r="K3805">
            <v>59</v>
          </cell>
          <cell r="N3805">
            <v>11979.68</v>
          </cell>
          <cell r="Q3805" t="str">
            <v>2016_08</v>
          </cell>
        </row>
        <row r="3806">
          <cell r="J3806">
            <v>59</v>
          </cell>
          <cell r="K3806">
            <v>59</v>
          </cell>
          <cell r="N3806">
            <v>5796.41</v>
          </cell>
          <cell r="Q3806" t="str">
            <v>2016_09</v>
          </cell>
        </row>
        <row r="3807">
          <cell r="J3807">
            <v>60</v>
          </cell>
          <cell r="K3807">
            <v>60</v>
          </cell>
          <cell r="N3807">
            <v>20539.95</v>
          </cell>
          <cell r="Q3807" t="str">
            <v>2015_10</v>
          </cell>
        </row>
        <row r="3808">
          <cell r="J3808">
            <v>60</v>
          </cell>
          <cell r="K3808">
            <v>60</v>
          </cell>
          <cell r="N3808">
            <v>29616.58</v>
          </cell>
          <cell r="Q3808" t="str">
            <v>2015_11</v>
          </cell>
        </row>
        <row r="3809">
          <cell r="J3809">
            <v>60</v>
          </cell>
          <cell r="K3809">
            <v>60</v>
          </cell>
          <cell r="N3809">
            <v>3033.65</v>
          </cell>
          <cell r="Q3809" t="str">
            <v>2015_12</v>
          </cell>
        </row>
        <row r="3810">
          <cell r="J3810">
            <v>60</v>
          </cell>
          <cell r="K3810">
            <v>60</v>
          </cell>
          <cell r="N3810">
            <v>2907.28</v>
          </cell>
          <cell r="Q3810" t="str">
            <v>2016_01</v>
          </cell>
        </row>
        <row r="3811">
          <cell r="J3811">
            <v>60</v>
          </cell>
          <cell r="K3811">
            <v>60</v>
          </cell>
          <cell r="N3811">
            <v>13643.84</v>
          </cell>
          <cell r="Q3811" t="str">
            <v>2016_02</v>
          </cell>
        </row>
        <row r="3812">
          <cell r="J3812">
            <v>60</v>
          </cell>
          <cell r="K3812">
            <v>60</v>
          </cell>
          <cell r="N3812">
            <v>18604.63</v>
          </cell>
          <cell r="Q3812" t="str">
            <v>2016_03</v>
          </cell>
        </row>
        <row r="3813">
          <cell r="J3813">
            <v>60</v>
          </cell>
          <cell r="K3813">
            <v>60</v>
          </cell>
          <cell r="N3813">
            <v>3279.23</v>
          </cell>
          <cell r="Q3813" t="str">
            <v>2016_04</v>
          </cell>
        </row>
        <row r="3814">
          <cell r="J3814">
            <v>60</v>
          </cell>
          <cell r="K3814">
            <v>60</v>
          </cell>
          <cell r="N3814">
            <v>18877.310000000001</v>
          </cell>
          <cell r="Q3814" t="str">
            <v>2016_05</v>
          </cell>
        </row>
        <row r="3815">
          <cell r="J3815">
            <v>60</v>
          </cell>
          <cell r="K3815">
            <v>60</v>
          </cell>
          <cell r="N3815">
            <v>11985.81</v>
          </cell>
          <cell r="Q3815" t="str">
            <v>2016_06</v>
          </cell>
        </row>
        <row r="3816">
          <cell r="J3816">
            <v>60</v>
          </cell>
          <cell r="K3816">
            <v>60</v>
          </cell>
          <cell r="N3816">
            <v>34477.9</v>
          </cell>
          <cell r="Q3816" t="str">
            <v>2016_07</v>
          </cell>
        </row>
        <row r="3817">
          <cell r="J3817">
            <v>60</v>
          </cell>
          <cell r="K3817">
            <v>60</v>
          </cell>
          <cell r="N3817">
            <v>14633.26</v>
          </cell>
          <cell r="Q3817" t="str">
            <v>2016_08</v>
          </cell>
        </row>
        <row r="3818">
          <cell r="J3818">
            <v>60</v>
          </cell>
          <cell r="K3818">
            <v>60</v>
          </cell>
          <cell r="N3818">
            <v>23033.15</v>
          </cell>
          <cell r="Q3818" t="str">
            <v>2016_09</v>
          </cell>
        </row>
        <row r="3819">
          <cell r="J3819">
            <v>61</v>
          </cell>
          <cell r="K3819">
            <v>61</v>
          </cell>
          <cell r="N3819">
            <v>2284.9699999999998</v>
          </cell>
          <cell r="Q3819" t="str">
            <v>2015_10</v>
          </cell>
        </row>
        <row r="3820">
          <cell r="J3820">
            <v>61</v>
          </cell>
          <cell r="K3820">
            <v>61</v>
          </cell>
          <cell r="N3820">
            <v>25668.05</v>
          </cell>
          <cell r="Q3820" t="str">
            <v>2015_11</v>
          </cell>
        </row>
        <row r="3821">
          <cell r="J3821">
            <v>61</v>
          </cell>
          <cell r="K3821">
            <v>61</v>
          </cell>
          <cell r="N3821">
            <v>3865.12</v>
          </cell>
          <cell r="Q3821" t="str">
            <v>2015_12</v>
          </cell>
        </row>
        <row r="3822">
          <cell r="J3822">
            <v>61</v>
          </cell>
          <cell r="K3822">
            <v>61</v>
          </cell>
          <cell r="N3822">
            <v>86.88</v>
          </cell>
          <cell r="Q3822" t="str">
            <v>2016_02</v>
          </cell>
        </row>
        <row r="3823">
          <cell r="J3823">
            <v>61</v>
          </cell>
          <cell r="K3823">
            <v>61</v>
          </cell>
          <cell r="N3823">
            <v>0</v>
          </cell>
          <cell r="Q3823" t="str">
            <v>2016_03</v>
          </cell>
        </row>
        <row r="3824">
          <cell r="J3824">
            <v>61</v>
          </cell>
          <cell r="K3824">
            <v>61</v>
          </cell>
          <cell r="N3824">
            <v>0</v>
          </cell>
          <cell r="Q3824" t="str">
            <v>2016_04</v>
          </cell>
        </row>
        <row r="3825">
          <cell r="J3825">
            <v>61</v>
          </cell>
          <cell r="K3825">
            <v>61</v>
          </cell>
          <cell r="N3825">
            <v>0</v>
          </cell>
          <cell r="Q3825" t="str">
            <v>2016_05</v>
          </cell>
        </row>
        <row r="3826">
          <cell r="J3826">
            <v>61</v>
          </cell>
          <cell r="K3826">
            <v>61</v>
          </cell>
          <cell r="N3826">
            <v>0</v>
          </cell>
          <cell r="Q3826" t="str">
            <v>2016_06</v>
          </cell>
        </row>
        <row r="3827">
          <cell r="J3827">
            <v>61</v>
          </cell>
          <cell r="K3827">
            <v>61</v>
          </cell>
          <cell r="N3827">
            <v>0</v>
          </cell>
          <cell r="Q3827" t="str">
            <v>2016_07</v>
          </cell>
        </row>
        <row r="3828">
          <cell r="J3828">
            <v>61</v>
          </cell>
          <cell r="K3828">
            <v>61</v>
          </cell>
          <cell r="N3828">
            <v>-27.15</v>
          </cell>
          <cell r="Q3828" t="str">
            <v>2016_08</v>
          </cell>
        </row>
        <row r="3829">
          <cell r="J3829">
            <v>61</v>
          </cell>
          <cell r="K3829">
            <v>61</v>
          </cell>
          <cell r="N3829">
            <v>0</v>
          </cell>
          <cell r="Q3829" t="str">
            <v>2016_09</v>
          </cell>
        </row>
        <row r="3830">
          <cell r="J3830">
            <v>58</v>
          </cell>
          <cell r="K3830">
            <v>58</v>
          </cell>
          <cell r="N3830">
            <v>13.49</v>
          </cell>
          <cell r="Q3830" t="str">
            <v>2015_12</v>
          </cell>
        </row>
        <row r="3831">
          <cell r="J3831">
            <v>58</v>
          </cell>
          <cell r="K3831">
            <v>58</v>
          </cell>
          <cell r="N3831">
            <v>595.14</v>
          </cell>
          <cell r="Q3831" t="str">
            <v>2016_01</v>
          </cell>
        </row>
        <row r="3832">
          <cell r="J3832">
            <v>58</v>
          </cell>
          <cell r="K3832">
            <v>58</v>
          </cell>
          <cell r="N3832">
            <v>160.53</v>
          </cell>
          <cell r="Q3832" t="str">
            <v>2016_02</v>
          </cell>
        </row>
        <row r="3833">
          <cell r="J3833">
            <v>58</v>
          </cell>
          <cell r="K3833">
            <v>58</v>
          </cell>
          <cell r="N3833">
            <v>48.53</v>
          </cell>
          <cell r="Q3833" t="str">
            <v>2016_03</v>
          </cell>
        </row>
        <row r="3834">
          <cell r="J3834">
            <v>58</v>
          </cell>
          <cell r="K3834">
            <v>58</v>
          </cell>
          <cell r="N3834">
            <v>1011.05</v>
          </cell>
          <cell r="Q3834" t="str">
            <v>2016_04</v>
          </cell>
        </row>
        <row r="3835">
          <cell r="J3835">
            <v>58</v>
          </cell>
          <cell r="K3835">
            <v>58</v>
          </cell>
          <cell r="N3835">
            <v>628.22</v>
          </cell>
          <cell r="Q3835" t="str">
            <v>2016_05</v>
          </cell>
        </row>
        <row r="3836">
          <cell r="J3836">
            <v>58</v>
          </cell>
          <cell r="K3836">
            <v>58</v>
          </cell>
          <cell r="N3836">
            <v>427.88</v>
          </cell>
          <cell r="Q3836" t="str">
            <v>2016_06</v>
          </cell>
        </row>
        <row r="3837">
          <cell r="J3837">
            <v>58</v>
          </cell>
          <cell r="K3837">
            <v>58</v>
          </cell>
          <cell r="N3837">
            <v>1812.91</v>
          </cell>
          <cell r="Q3837" t="str">
            <v>2016_07</v>
          </cell>
        </row>
        <row r="3838">
          <cell r="J3838">
            <v>58</v>
          </cell>
          <cell r="K3838">
            <v>58</v>
          </cell>
          <cell r="N3838">
            <v>1043.48</v>
          </cell>
          <cell r="Q3838" t="str">
            <v>2016_08</v>
          </cell>
        </row>
        <row r="3839">
          <cell r="J3839">
            <v>58</v>
          </cell>
          <cell r="K3839">
            <v>58</v>
          </cell>
          <cell r="N3839">
            <v>234.11</v>
          </cell>
          <cell r="Q3839" t="str">
            <v>2016_09</v>
          </cell>
        </row>
        <row r="3840">
          <cell r="J3840">
            <v>60</v>
          </cell>
          <cell r="K3840">
            <v>60</v>
          </cell>
          <cell r="N3840">
            <v>191.95</v>
          </cell>
          <cell r="Q3840" t="str">
            <v>2015_12</v>
          </cell>
        </row>
        <row r="3841">
          <cell r="J3841">
            <v>60</v>
          </cell>
          <cell r="K3841">
            <v>60</v>
          </cell>
          <cell r="N3841">
            <v>1618.6</v>
          </cell>
          <cell r="Q3841" t="str">
            <v>2016_01</v>
          </cell>
        </row>
        <row r="3842">
          <cell r="J3842">
            <v>60</v>
          </cell>
          <cell r="K3842">
            <v>60</v>
          </cell>
          <cell r="N3842">
            <v>582.19000000000005</v>
          </cell>
          <cell r="Q3842" t="str">
            <v>2016_02</v>
          </cell>
        </row>
        <row r="3843">
          <cell r="J3843">
            <v>60</v>
          </cell>
          <cell r="K3843">
            <v>60</v>
          </cell>
          <cell r="N3843">
            <v>0</v>
          </cell>
          <cell r="Q3843" t="str">
            <v>2016_03</v>
          </cell>
        </row>
        <row r="3844">
          <cell r="J3844">
            <v>60</v>
          </cell>
          <cell r="K3844">
            <v>60</v>
          </cell>
          <cell r="N3844">
            <v>251.25</v>
          </cell>
          <cell r="Q3844" t="str">
            <v>2016_04</v>
          </cell>
        </row>
        <row r="3845">
          <cell r="J3845">
            <v>60</v>
          </cell>
          <cell r="K3845">
            <v>60</v>
          </cell>
          <cell r="N3845">
            <v>200.39</v>
          </cell>
          <cell r="Q3845" t="str">
            <v>2016_05</v>
          </cell>
        </row>
        <row r="3846">
          <cell r="J3846">
            <v>60</v>
          </cell>
          <cell r="K3846">
            <v>60</v>
          </cell>
          <cell r="N3846">
            <v>52.1</v>
          </cell>
          <cell r="Q3846" t="str">
            <v>2016_06</v>
          </cell>
        </row>
        <row r="3847">
          <cell r="J3847">
            <v>60</v>
          </cell>
          <cell r="K3847">
            <v>60</v>
          </cell>
          <cell r="N3847">
            <v>0</v>
          </cell>
          <cell r="Q3847" t="str">
            <v>2016_07</v>
          </cell>
        </row>
        <row r="3848">
          <cell r="J3848">
            <v>60</v>
          </cell>
          <cell r="K3848">
            <v>60</v>
          </cell>
          <cell r="N3848">
            <v>191.53</v>
          </cell>
          <cell r="Q3848" t="str">
            <v>2016_08</v>
          </cell>
        </row>
        <row r="3849">
          <cell r="J3849">
            <v>60</v>
          </cell>
          <cell r="K3849">
            <v>60</v>
          </cell>
          <cell r="N3849">
            <v>67.98</v>
          </cell>
          <cell r="Q3849" t="str">
            <v>2016_09</v>
          </cell>
        </row>
        <row r="3850">
          <cell r="J3850">
            <v>61</v>
          </cell>
          <cell r="K3850">
            <v>61</v>
          </cell>
          <cell r="N3850">
            <v>1440</v>
          </cell>
          <cell r="Q3850" t="str">
            <v>2016_01</v>
          </cell>
        </row>
        <row r="3851">
          <cell r="J3851">
            <v>61</v>
          </cell>
          <cell r="K3851">
            <v>61</v>
          </cell>
          <cell r="N3851">
            <v>0</v>
          </cell>
          <cell r="Q3851" t="str">
            <v>2016_02</v>
          </cell>
        </row>
        <row r="3852">
          <cell r="J3852">
            <v>61</v>
          </cell>
          <cell r="K3852">
            <v>61</v>
          </cell>
          <cell r="N3852">
            <v>772.65</v>
          </cell>
          <cell r="Q3852" t="str">
            <v>2016_03</v>
          </cell>
        </row>
        <row r="3853">
          <cell r="J3853">
            <v>61</v>
          </cell>
          <cell r="K3853">
            <v>61</v>
          </cell>
          <cell r="N3853">
            <v>0</v>
          </cell>
          <cell r="Q3853" t="str">
            <v>2016_04</v>
          </cell>
        </row>
        <row r="3854">
          <cell r="J3854">
            <v>61</v>
          </cell>
          <cell r="K3854">
            <v>61</v>
          </cell>
          <cell r="N3854">
            <v>0</v>
          </cell>
          <cell r="Q3854" t="str">
            <v>2016_05</v>
          </cell>
        </row>
        <row r="3855">
          <cell r="J3855">
            <v>61</v>
          </cell>
          <cell r="K3855">
            <v>61</v>
          </cell>
          <cell r="N3855">
            <v>0</v>
          </cell>
          <cell r="Q3855" t="str">
            <v>2016_06</v>
          </cell>
        </row>
        <row r="3856">
          <cell r="J3856">
            <v>61</v>
          </cell>
          <cell r="K3856">
            <v>61</v>
          </cell>
          <cell r="N3856">
            <v>837.36</v>
          </cell>
          <cell r="Q3856" t="str">
            <v>2016_07</v>
          </cell>
        </row>
        <row r="3857">
          <cell r="J3857">
            <v>61</v>
          </cell>
          <cell r="K3857">
            <v>61</v>
          </cell>
          <cell r="N3857">
            <v>510.42</v>
          </cell>
          <cell r="Q3857" t="str">
            <v>2016_08</v>
          </cell>
        </row>
        <row r="3858">
          <cell r="J3858">
            <v>61</v>
          </cell>
          <cell r="K3858">
            <v>61</v>
          </cell>
          <cell r="N3858">
            <v>0</v>
          </cell>
          <cell r="Q3858" t="str">
            <v>2016_09</v>
          </cell>
        </row>
        <row r="3859">
          <cell r="J3859">
            <v>58</v>
          </cell>
          <cell r="K3859">
            <v>58</v>
          </cell>
          <cell r="N3859">
            <v>190.05</v>
          </cell>
          <cell r="Q3859" t="str">
            <v>2015_10</v>
          </cell>
        </row>
        <row r="3860">
          <cell r="J3860">
            <v>58</v>
          </cell>
          <cell r="K3860">
            <v>58</v>
          </cell>
          <cell r="N3860">
            <v>38.01</v>
          </cell>
          <cell r="Q3860" t="str">
            <v>2015_11</v>
          </cell>
        </row>
        <row r="3861">
          <cell r="J3861">
            <v>58</v>
          </cell>
          <cell r="K3861">
            <v>58</v>
          </cell>
          <cell r="N3861">
            <v>38.01</v>
          </cell>
          <cell r="Q3861" t="str">
            <v>2015_12</v>
          </cell>
        </row>
        <row r="3862">
          <cell r="J3862">
            <v>58</v>
          </cell>
          <cell r="K3862">
            <v>58</v>
          </cell>
          <cell r="N3862">
            <v>152.04</v>
          </cell>
          <cell r="Q3862" t="str">
            <v>2016_01</v>
          </cell>
        </row>
        <row r="3863">
          <cell r="J3863">
            <v>58</v>
          </cell>
          <cell r="K3863">
            <v>58</v>
          </cell>
          <cell r="N3863">
            <v>152.04</v>
          </cell>
          <cell r="Q3863" t="str">
            <v>2016_02</v>
          </cell>
        </row>
        <row r="3864">
          <cell r="J3864">
            <v>58</v>
          </cell>
          <cell r="K3864">
            <v>58</v>
          </cell>
          <cell r="N3864">
            <v>0</v>
          </cell>
          <cell r="Q3864" t="str">
            <v>2016_03</v>
          </cell>
        </row>
        <row r="3865">
          <cell r="J3865">
            <v>58</v>
          </cell>
          <cell r="K3865">
            <v>58</v>
          </cell>
          <cell r="N3865">
            <v>152.04</v>
          </cell>
          <cell r="Q3865" t="str">
            <v>2016_04</v>
          </cell>
        </row>
        <row r="3866">
          <cell r="J3866">
            <v>58</v>
          </cell>
          <cell r="K3866">
            <v>58</v>
          </cell>
          <cell r="N3866">
            <v>152.04</v>
          </cell>
          <cell r="Q3866" t="str">
            <v>2016_05</v>
          </cell>
        </row>
        <row r="3867">
          <cell r="J3867">
            <v>58</v>
          </cell>
          <cell r="K3867">
            <v>58</v>
          </cell>
          <cell r="N3867">
            <v>152.04</v>
          </cell>
          <cell r="Q3867" t="str">
            <v>2016_06</v>
          </cell>
        </row>
        <row r="3868">
          <cell r="J3868">
            <v>58</v>
          </cell>
          <cell r="K3868">
            <v>58</v>
          </cell>
          <cell r="N3868">
            <v>38.01</v>
          </cell>
          <cell r="Q3868" t="str">
            <v>2016_07</v>
          </cell>
        </row>
        <row r="3869">
          <cell r="J3869">
            <v>58</v>
          </cell>
          <cell r="K3869">
            <v>58</v>
          </cell>
          <cell r="N3869">
            <v>152.04</v>
          </cell>
          <cell r="Q3869" t="str">
            <v>2016_08</v>
          </cell>
        </row>
        <row r="3870">
          <cell r="J3870">
            <v>58</v>
          </cell>
          <cell r="K3870">
            <v>58</v>
          </cell>
          <cell r="N3870">
            <v>152.04</v>
          </cell>
          <cell r="Q3870" t="str">
            <v>2016_09</v>
          </cell>
        </row>
        <row r="3871">
          <cell r="J3871">
            <v>62</v>
          </cell>
          <cell r="K3871">
            <v>62</v>
          </cell>
          <cell r="N3871">
            <v>759.49</v>
          </cell>
          <cell r="Q3871" t="str">
            <v>2015_10</v>
          </cell>
        </row>
        <row r="3872">
          <cell r="J3872">
            <v>62</v>
          </cell>
          <cell r="K3872">
            <v>62</v>
          </cell>
          <cell r="N3872">
            <v>178.1</v>
          </cell>
          <cell r="Q3872" t="str">
            <v>2015_11</v>
          </cell>
        </row>
        <row r="3873">
          <cell r="J3873">
            <v>62</v>
          </cell>
          <cell r="K3873">
            <v>62</v>
          </cell>
          <cell r="N3873">
            <v>432</v>
          </cell>
          <cell r="Q3873" t="str">
            <v>2015_12</v>
          </cell>
        </row>
        <row r="3874">
          <cell r="J3874">
            <v>62</v>
          </cell>
          <cell r="K3874">
            <v>62</v>
          </cell>
          <cell r="N3874">
            <v>2098.5700000000002</v>
          </cell>
          <cell r="Q3874" t="str">
            <v>2016_01</v>
          </cell>
        </row>
        <row r="3875">
          <cell r="J3875">
            <v>62</v>
          </cell>
          <cell r="K3875">
            <v>62</v>
          </cell>
          <cell r="N3875">
            <v>2924.42</v>
          </cell>
          <cell r="Q3875" t="str">
            <v>2016_02</v>
          </cell>
        </row>
        <row r="3876">
          <cell r="J3876">
            <v>62</v>
          </cell>
          <cell r="K3876">
            <v>62</v>
          </cell>
          <cell r="N3876">
            <v>475.83</v>
          </cell>
          <cell r="Q3876" t="str">
            <v>2016_03</v>
          </cell>
        </row>
        <row r="3877">
          <cell r="J3877">
            <v>62</v>
          </cell>
          <cell r="K3877">
            <v>62</v>
          </cell>
          <cell r="N3877">
            <v>2148.36</v>
          </cell>
          <cell r="Q3877" t="str">
            <v>2016_04</v>
          </cell>
        </row>
        <row r="3878">
          <cell r="J3878">
            <v>62</v>
          </cell>
          <cell r="K3878">
            <v>62</v>
          </cell>
          <cell r="N3878">
            <v>-93.19</v>
          </cell>
          <cell r="Q3878" t="str">
            <v>2016_05</v>
          </cell>
        </row>
        <row r="3879">
          <cell r="J3879">
            <v>62</v>
          </cell>
          <cell r="K3879">
            <v>62</v>
          </cell>
          <cell r="N3879">
            <v>256.85000000000002</v>
          </cell>
          <cell r="Q3879" t="str">
            <v>2016_06</v>
          </cell>
        </row>
        <row r="3880">
          <cell r="J3880">
            <v>62</v>
          </cell>
          <cell r="K3880">
            <v>62</v>
          </cell>
          <cell r="N3880">
            <v>1601.51</v>
          </cell>
          <cell r="Q3880" t="str">
            <v>2016_07</v>
          </cell>
        </row>
        <row r="3881">
          <cell r="J3881">
            <v>62</v>
          </cell>
          <cell r="K3881">
            <v>62</v>
          </cell>
          <cell r="N3881">
            <v>438.83</v>
          </cell>
          <cell r="Q3881" t="str">
            <v>2016_08</v>
          </cell>
        </row>
        <row r="3882">
          <cell r="J3882">
            <v>62</v>
          </cell>
          <cell r="K3882">
            <v>62</v>
          </cell>
          <cell r="N3882">
            <v>1116.24</v>
          </cell>
          <cell r="Q3882" t="str">
            <v>2016_09</v>
          </cell>
        </row>
        <row r="3883">
          <cell r="J3883">
            <v>58</v>
          </cell>
          <cell r="K3883">
            <v>58</v>
          </cell>
          <cell r="N3883">
            <v>10647.29</v>
          </cell>
          <cell r="Q3883" t="str">
            <v>2015_12</v>
          </cell>
        </row>
        <row r="3884">
          <cell r="J3884">
            <v>58</v>
          </cell>
          <cell r="K3884">
            <v>58</v>
          </cell>
          <cell r="N3884">
            <v>22380.73</v>
          </cell>
          <cell r="Q3884" t="str">
            <v>2016_01</v>
          </cell>
        </row>
        <row r="3885">
          <cell r="J3885">
            <v>58</v>
          </cell>
          <cell r="K3885">
            <v>58</v>
          </cell>
          <cell r="N3885">
            <v>5054.63</v>
          </cell>
          <cell r="Q3885" t="str">
            <v>2016_02</v>
          </cell>
        </row>
        <row r="3886">
          <cell r="J3886">
            <v>58</v>
          </cell>
          <cell r="K3886">
            <v>58</v>
          </cell>
          <cell r="N3886">
            <v>3725.12</v>
          </cell>
          <cell r="Q3886" t="str">
            <v>2016_03</v>
          </cell>
        </row>
        <row r="3887">
          <cell r="J3887">
            <v>58</v>
          </cell>
          <cell r="K3887">
            <v>58</v>
          </cell>
          <cell r="N3887">
            <v>1486.07</v>
          </cell>
          <cell r="Q3887" t="str">
            <v>2016_04</v>
          </cell>
        </row>
        <row r="3888">
          <cell r="J3888">
            <v>58</v>
          </cell>
          <cell r="K3888">
            <v>58</v>
          </cell>
          <cell r="N3888">
            <v>8876.7199999999993</v>
          </cell>
          <cell r="Q3888" t="str">
            <v>2016_05</v>
          </cell>
        </row>
        <row r="3889">
          <cell r="J3889">
            <v>58</v>
          </cell>
          <cell r="K3889">
            <v>58</v>
          </cell>
          <cell r="N3889">
            <v>9377.11</v>
          </cell>
          <cell r="Q3889" t="str">
            <v>2016_06</v>
          </cell>
        </row>
        <row r="3890">
          <cell r="J3890">
            <v>58</v>
          </cell>
          <cell r="K3890">
            <v>58</v>
          </cell>
          <cell r="N3890">
            <v>2642.1</v>
          </cell>
          <cell r="Q3890" t="str">
            <v>2016_07</v>
          </cell>
        </row>
        <row r="3891">
          <cell r="J3891">
            <v>58</v>
          </cell>
          <cell r="K3891">
            <v>58</v>
          </cell>
          <cell r="N3891">
            <v>18825.36</v>
          </cell>
          <cell r="Q3891" t="str">
            <v>2016_08</v>
          </cell>
        </row>
        <row r="3892">
          <cell r="J3892">
            <v>58</v>
          </cell>
          <cell r="K3892">
            <v>58</v>
          </cell>
          <cell r="N3892">
            <v>20603.84</v>
          </cell>
          <cell r="Q3892" t="str">
            <v>2016_09</v>
          </cell>
        </row>
        <row r="3893">
          <cell r="J3893">
            <v>60</v>
          </cell>
          <cell r="K3893">
            <v>60</v>
          </cell>
          <cell r="N3893">
            <v>819.51</v>
          </cell>
          <cell r="Q3893" t="str">
            <v>2015_12</v>
          </cell>
        </row>
        <row r="3894">
          <cell r="J3894">
            <v>60</v>
          </cell>
          <cell r="K3894">
            <v>60</v>
          </cell>
          <cell r="N3894">
            <v>2642.8</v>
          </cell>
          <cell r="Q3894" t="str">
            <v>2016_01</v>
          </cell>
        </row>
        <row r="3895">
          <cell r="J3895">
            <v>60</v>
          </cell>
          <cell r="K3895">
            <v>60</v>
          </cell>
          <cell r="N3895">
            <v>4816.6400000000003</v>
          </cell>
          <cell r="Q3895" t="str">
            <v>2016_02</v>
          </cell>
        </row>
        <row r="3896">
          <cell r="J3896">
            <v>60</v>
          </cell>
          <cell r="K3896">
            <v>60</v>
          </cell>
          <cell r="N3896">
            <v>1398.85</v>
          </cell>
          <cell r="Q3896" t="str">
            <v>2016_03</v>
          </cell>
        </row>
        <row r="3897">
          <cell r="J3897">
            <v>60</v>
          </cell>
          <cell r="K3897">
            <v>60</v>
          </cell>
          <cell r="N3897">
            <v>2821.57</v>
          </cell>
          <cell r="Q3897" t="str">
            <v>2016_04</v>
          </cell>
        </row>
        <row r="3898">
          <cell r="J3898">
            <v>60</v>
          </cell>
          <cell r="K3898">
            <v>60</v>
          </cell>
          <cell r="N3898">
            <v>2911.97</v>
          </cell>
          <cell r="Q3898" t="str">
            <v>2016_05</v>
          </cell>
        </row>
        <row r="3899">
          <cell r="J3899">
            <v>60</v>
          </cell>
          <cell r="K3899">
            <v>60</v>
          </cell>
          <cell r="N3899">
            <v>913.52</v>
          </cell>
          <cell r="Q3899" t="str">
            <v>2016_06</v>
          </cell>
        </row>
        <row r="3900">
          <cell r="J3900">
            <v>60</v>
          </cell>
          <cell r="K3900">
            <v>60</v>
          </cell>
          <cell r="N3900">
            <v>1584.92</v>
          </cell>
          <cell r="Q3900" t="str">
            <v>2016_07</v>
          </cell>
        </row>
        <row r="3901">
          <cell r="J3901">
            <v>60</v>
          </cell>
          <cell r="K3901">
            <v>60</v>
          </cell>
          <cell r="N3901">
            <v>2639.44</v>
          </cell>
          <cell r="Q3901" t="str">
            <v>2016_08</v>
          </cell>
        </row>
        <row r="3902">
          <cell r="J3902">
            <v>60</v>
          </cell>
          <cell r="K3902">
            <v>60</v>
          </cell>
          <cell r="N3902">
            <v>3022.72</v>
          </cell>
          <cell r="Q3902" t="str">
            <v>2016_09</v>
          </cell>
        </row>
        <row r="3903">
          <cell r="J3903">
            <v>61</v>
          </cell>
          <cell r="K3903">
            <v>61</v>
          </cell>
          <cell r="N3903">
            <v>5262.72</v>
          </cell>
          <cell r="Q3903" t="str">
            <v>2016_02</v>
          </cell>
        </row>
        <row r="3904">
          <cell r="J3904">
            <v>61</v>
          </cell>
          <cell r="K3904">
            <v>61</v>
          </cell>
          <cell r="N3904">
            <v>81.45</v>
          </cell>
          <cell r="Q3904" t="str">
            <v>2016_03</v>
          </cell>
        </row>
        <row r="3905">
          <cell r="J3905">
            <v>61</v>
          </cell>
          <cell r="K3905">
            <v>61</v>
          </cell>
          <cell r="N3905">
            <v>215.27</v>
          </cell>
          <cell r="Q3905" t="str">
            <v>2016_04</v>
          </cell>
        </row>
        <row r="3906">
          <cell r="J3906">
            <v>61</v>
          </cell>
          <cell r="K3906">
            <v>61</v>
          </cell>
          <cell r="N3906">
            <v>0</v>
          </cell>
          <cell r="Q3906" t="str">
            <v>2016_05</v>
          </cell>
        </row>
        <row r="3907">
          <cell r="J3907">
            <v>61</v>
          </cell>
          <cell r="K3907">
            <v>61</v>
          </cell>
          <cell r="N3907">
            <v>7922.19</v>
          </cell>
          <cell r="Q3907" t="str">
            <v>2016_06</v>
          </cell>
        </row>
        <row r="3908">
          <cell r="J3908">
            <v>61</v>
          </cell>
          <cell r="K3908">
            <v>61</v>
          </cell>
          <cell r="N3908">
            <v>2428.65</v>
          </cell>
          <cell r="Q3908" t="str">
            <v>2016_07</v>
          </cell>
        </row>
        <row r="3909">
          <cell r="J3909">
            <v>61</v>
          </cell>
          <cell r="K3909">
            <v>61</v>
          </cell>
          <cell r="N3909">
            <v>909.47</v>
          </cell>
          <cell r="Q3909" t="str">
            <v>2016_08</v>
          </cell>
        </row>
        <row r="3910">
          <cell r="J3910">
            <v>61</v>
          </cell>
          <cell r="K3910">
            <v>61</v>
          </cell>
          <cell r="N3910">
            <v>2163.56</v>
          </cell>
          <cell r="Q3910" t="str">
            <v>2016_09</v>
          </cell>
        </row>
        <row r="3911">
          <cell r="J3911">
            <v>63</v>
          </cell>
          <cell r="K3911">
            <v>63</v>
          </cell>
          <cell r="N3911">
            <v>3642.29</v>
          </cell>
          <cell r="Q3911" t="str">
            <v>2015_10</v>
          </cell>
        </row>
        <row r="3912">
          <cell r="J3912">
            <v>63</v>
          </cell>
          <cell r="K3912">
            <v>63</v>
          </cell>
          <cell r="N3912">
            <v>2005.55</v>
          </cell>
          <cell r="Q3912" t="str">
            <v>2015_11</v>
          </cell>
        </row>
        <row r="3913">
          <cell r="J3913">
            <v>63</v>
          </cell>
          <cell r="K3913">
            <v>63</v>
          </cell>
          <cell r="N3913">
            <v>2861.28</v>
          </cell>
          <cell r="Q3913" t="str">
            <v>2015_12</v>
          </cell>
        </row>
        <row r="3914">
          <cell r="J3914">
            <v>63</v>
          </cell>
          <cell r="K3914">
            <v>63</v>
          </cell>
          <cell r="N3914">
            <v>1913.69</v>
          </cell>
          <cell r="Q3914" t="str">
            <v>2016_01</v>
          </cell>
        </row>
        <row r="3915">
          <cell r="J3915">
            <v>63</v>
          </cell>
          <cell r="K3915">
            <v>63</v>
          </cell>
          <cell r="N3915">
            <v>2510.73</v>
          </cell>
          <cell r="Q3915" t="str">
            <v>2016_02</v>
          </cell>
        </row>
        <row r="3916">
          <cell r="J3916">
            <v>63</v>
          </cell>
          <cell r="K3916">
            <v>63</v>
          </cell>
          <cell r="N3916">
            <v>5284.32</v>
          </cell>
          <cell r="Q3916" t="str">
            <v>2016_03</v>
          </cell>
        </row>
        <row r="3917">
          <cell r="J3917">
            <v>63</v>
          </cell>
          <cell r="K3917">
            <v>63</v>
          </cell>
          <cell r="N3917">
            <v>7676.48</v>
          </cell>
          <cell r="Q3917" t="str">
            <v>2016_04</v>
          </cell>
        </row>
        <row r="3918">
          <cell r="J3918">
            <v>63</v>
          </cell>
          <cell r="K3918">
            <v>63</v>
          </cell>
          <cell r="N3918">
            <v>3132.03</v>
          </cell>
          <cell r="Q3918" t="str">
            <v>2016_05</v>
          </cell>
        </row>
        <row r="3919">
          <cell r="J3919">
            <v>63</v>
          </cell>
          <cell r="K3919">
            <v>63</v>
          </cell>
          <cell r="N3919">
            <v>3226.42</v>
          </cell>
          <cell r="Q3919" t="str">
            <v>2016_06</v>
          </cell>
        </row>
        <row r="3920">
          <cell r="J3920">
            <v>63</v>
          </cell>
          <cell r="K3920">
            <v>63</v>
          </cell>
          <cell r="N3920">
            <v>2169.39</v>
          </cell>
          <cell r="Q3920" t="str">
            <v>2016_07</v>
          </cell>
        </row>
        <row r="3921">
          <cell r="J3921">
            <v>63</v>
          </cell>
          <cell r="K3921">
            <v>63</v>
          </cell>
          <cell r="N3921">
            <v>15355.2</v>
          </cell>
          <cell r="Q3921" t="str">
            <v>2016_08</v>
          </cell>
        </row>
        <row r="3922">
          <cell r="J3922">
            <v>63</v>
          </cell>
          <cell r="K3922">
            <v>63</v>
          </cell>
          <cell r="N3922">
            <v>7984.71</v>
          </cell>
          <cell r="Q3922" t="str">
            <v>2016_09</v>
          </cell>
        </row>
        <row r="3923">
          <cell r="J3923">
            <v>58</v>
          </cell>
          <cell r="K3923">
            <v>58</v>
          </cell>
          <cell r="N3923">
            <v>1482.39</v>
          </cell>
          <cell r="Q3923" t="str">
            <v>2015_10</v>
          </cell>
        </row>
        <row r="3924">
          <cell r="J3924">
            <v>58</v>
          </cell>
          <cell r="K3924">
            <v>58</v>
          </cell>
          <cell r="N3924">
            <v>456.12</v>
          </cell>
          <cell r="Q3924" t="str">
            <v>2015_11</v>
          </cell>
        </row>
        <row r="3925">
          <cell r="J3925">
            <v>58</v>
          </cell>
          <cell r="K3925">
            <v>58</v>
          </cell>
          <cell r="N3925">
            <v>950.25</v>
          </cell>
          <cell r="Q3925" t="str">
            <v>2015_12</v>
          </cell>
        </row>
        <row r="3926">
          <cell r="J3926">
            <v>58</v>
          </cell>
          <cell r="K3926">
            <v>58</v>
          </cell>
          <cell r="N3926">
            <v>1102.29</v>
          </cell>
          <cell r="Q3926" t="str">
            <v>2016_01</v>
          </cell>
        </row>
        <row r="3927">
          <cell r="J3927">
            <v>58</v>
          </cell>
          <cell r="K3927">
            <v>58</v>
          </cell>
          <cell r="N3927">
            <v>1064.28</v>
          </cell>
          <cell r="Q3927" t="str">
            <v>2016_02</v>
          </cell>
        </row>
        <row r="3928">
          <cell r="J3928">
            <v>58</v>
          </cell>
          <cell r="K3928">
            <v>58</v>
          </cell>
          <cell r="N3928">
            <v>342.09</v>
          </cell>
          <cell r="Q3928" t="str">
            <v>2016_03</v>
          </cell>
        </row>
        <row r="3929">
          <cell r="J3929">
            <v>58</v>
          </cell>
          <cell r="K3929">
            <v>58</v>
          </cell>
          <cell r="N3929">
            <v>988.26</v>
          </cell>
          <cell r="Q3929" t="str">
            <v>2016_04</v>
          </cell>
        </row>
        <row r="3930">
          <cell r="J3930">
            <v>58</v>
          </cell>
          <cell r="K3930">
            <v>58</v>
          </cell>
          <cell r="N3930">
            <v>874.23</v>
          </cell>
          <cell r="Q3930" t="str">
            <v>2016_05</v>
          </cell>
        </row>
        <row r="3931">
          <cell r="J3931">
            <v>58</v>
          </cell>
          <cell r="K3931">
            <v>58</v>
          </cell>
          <cell r="N3931">
            <v>760.2</v>
          </cell>
          <cell r="Q3931" t="str">
            <v>2016_06</v>
          </cell>
        </row>
        <row r="3932">
          <cell r="J3932">
            <v>58</v>
          </cell>
          <cell r="K3932">
            <v>58</v>
          </cell>
          <cell r="N3932">
            <v>380.1</v>
          </cell>
          <cell r="Q3932" t="str">
            <v>2016_07</v>
          </cell>
        </row>
        <row r="3933">
          <cell r="J3933">
            <v>58</v>
          </cell>
          <cell r="K3933">
            <v>58</v>
          </cell>
          <cell r="N3933">
            <v>874.23</v>
          </cell>
          <cell r="Q3933" t="str">
            <v>2016_08</v>
          </cell>
        </row>
        <row r="3934">
          <cell r="J3934">
            <v>58</v>
          </cell>
          <cell r="K3934">
            <v>58</v>
          </cell>
          <cell r="N3934">
            <v>950.25</v>
          </cell>
          <cell r="Q3934" t="str">
            <v>2016_09</v>
          </cell>
        </row>
        <row r="3935">
          <cell r="J3935">
            <v>58</v>
          </cell>
          <cell r="K3935">
            <v>58</v>
          </cell>
          <cell r="N3935">
            <v>274.05</v>
          </cell>
          <cell r="Q3935" t="str">
            <v>2015_12</v>
          </cell>
        </row>
        <row r="3936">
          <cell r="J3936">
            <v>58</v>
          </cell>
          <cell r="K3936">
            <v>58</v>
          </cell>
          <cell r="N3936">
            <v>612.96</v>
          </cell>
          <cell r="Q3936" t="str">
            <v>2016_01</v>
          </cell>
        </row>
        <row r="3937">
          <cell r="J3937">
            <v>58</v>
          </cell>
          <cell r="K3937">
            <v>58</v>
          </cell>
          <cell r="N3937">
            <v>1871.8</v>
          </cell>
          <cell r="Q3937" t="str">
            <v>2016_02</v>
          </cell>
        </row>
        <row r="3938">
          <cell r="J3938">
            <v>58</v>
          </cell>
          <cell r="K3938">
            <v>58</v>
          </cell>
          <cell r="N3938">
            <v>3141.32</v>
          </cell>
          <cell r="Q3938" t="str">
            <v>2016_03</v>
          </cell>
        </row>
        <row r="3939">
          <cell r="J3939">
            <v>58</v>
          </cell>
          <cell r="K3939">
            <v>58</v>
          </cell>
          <cell r="N3939">
            <v>7491.06</v>
          </cell>
          <cell r="Q3939" t="str">
            <v>2016_04</v>
          </cell>
        </row>
        <row r="3940">
          <cell r="J3940">
            <v>58</v>
          </cell>
          <cell r="K3940">
            <v>58</v>
          </cell>
          <cell r="N3940">
            <v>1194.08</v>
          </cell>
          <cell r="Q3940" t="str">
            <v>2016_05</v>
          </cell>
        </row>
        <row r="3941">
          <cell r="J3941">
            <v>58</v>
          </cell>
          <cell r="K3941">
            <v>58</v>
          </cell>
          <cell r="N3941">
            <v>5891.49</v>
          </cell>
          <cell r="Q3941" t="str">
            <v>2016_06</v>
          </cell>
        </row>
        <row r="3942">
          <cell r="J3942">
            <v>58</v>
          </cell>
          <cell r="K3942">
            <v>58</v>
          </cell>
          <cell r="N3942">
            <v>646.11</v>
          </cell>
          <cell r="Q3942" t="str">
            <v>2016_07</v>
          </cell>
        </row>
        <row r="3943">
          <cell r="J3943">
            <v>58</v>
          </cell>
          <cell r="K3943">
            <v>58</v>
          </cell>
          <cell r="N3943">
            <v>2327.41</v>
          </cell>
          <cell r="Q3943" t="str">
            <v>2016_08</v>
          </cell>
        </row>
        <row r="3944">
          <cell r="J3944">
            <v>58</v>
          </cell>
          <cell r="K3944">
            <v>58</v>
          </cell>
          <cell r="N3944">
            <v>678.51</v>
          </cell>
          <cell r="Q3944" t="str">
            <v>2016_09</v>
          </cell>
        </row>
        <row r="3945">
          <cell r="J3945">
            <v>64</v>
          </cell>
          <cell r="K3945">
            <v>64</v>
          </cell>
          <cell r="N3945">
            <v>1527.18</v>
          </cell>
          <cell r="Q3945" t="str">
            <v>2015_10</v>
          </cell>
        </row>
        <row r="3946">
          <cell r="J3946">
            <v>64</v>
          </cell>
          <cell r="K3946">
            <v>64</v>
          </cell>
          <cell r="N3946">
            <v>2408.89</v>
          </cell>
          <cell r="Q3946" t="str">
            <v>2015_11</v>
          </cell>
        </row>
        <row r="3947">
          <cell r="J3947">
            <v>64</v>
          </cell>
          <cell r="K3947">
            <v>64</v>
          </cell>
          <cell r="N3947">
            <v>2204.13</v>
          </cell>
          <cell r="Q3947" t="str">
            <v>2015_12</v>
          </cell>
        </row>
        <row r="3948">
          <cell r="J3948">
            <v>64</v>
          </cell>
          <cell r="K3948">
            <v>64</v>
          </cell>
          <cell r="N3948">
            <v>7257.27</v>
          </cell>
          <cell r="Q3948" t="str">
            <v>2016_01</v>
          </cell>
        </row>
        <row r="3949">
          <cell r="J3949">
            <v>64</v>
          </cell>
          <cell r="K3949">
            <v>64</v>
          </cell>
          <cell r="N3949">
            <v>1379.05</v>
          </cell>
          <cell r="Q3949" t="str">
            <v>2016_02</v>
          </cell>
        </row>
        <row r="3950">
          <cell r="J3950">
            <v>64</v>
          </cell>
          <cell r="K3950">
            <v>64</v>
          </cell>
          <cell r="N3950">
            <v>6019.05</v>
          </cell>
          <cell r="Q3950" t="str">
            <v>2016_03</v>
          </cell>
        </row>
        <row r="3951">
          <cell r="J3951">
            <v>64</v>
          </cell>
          <cell r="K3951">
            <v>64</v>
          </cell>
          <cell r="N3951">
            <v>2103.1799999999998</v>
          </cell>
          <cell r="Q3951" t="str">
            <v>2016_04</v>
          </cell>
        </row>
        <row r="3952">
          <cell r="J3952">
            <v>64</v>
          </cell>
          <cell r="K3952">
            <v>64</v>
          </cell>
          <cell r="N3952">
            <v>2331.7800000000002</v>
          </cell>
          <cell r="Q3952" t="str">
            <v>2016_05</v>
          </cell>
        </row>
        <row r="3953">
          <cell r="J3953">
            <v>64</v>
          </cell>
          <cell r="K3953">
            <v>64</v>
          </cell>
          <cell r="N3953">
            <v>529.92999999999995</v>
          </cell>
          <cell r="Q3953" t="str">
            <v>2016_06</v>
          </cell>
        </row>
        <row r="3954">
          <cell r="J3954">
            <v>64</v>
          </cell>
          <cell r="K3954">
            <v>64</v>
          </cell>
          <cell r="N3954">
            <v>1270.8</v>
          </cell>
          <cell r="Q3954" t="str">
            <v>2016_07</v>
          </cell>
        </row>
        <row r="3955">
          <cell r="J3955">
            <v>64</v>
          </cell>
          <cell r="K3955">
            <v>64</v>
          </cell>
          <cell r="N3955">
            <v>1460.15</v>
          </cell>
          <cell r="Q3955" t="str">
            <v>2016_08</v>
          </cell>
        </row>
        <row r="3956">
          <cell r="J3956">
            <v>64</v>
          </cell>
          <cell r="K3956">
            <v>64</v>
          </cell>
          <cell r="N3956">
            <v>1655.05</v>
          </cell>
          <cell r="Q3956" t="str">
            <v>2016_09</v>
          </cell>
        </row>
        <row r="3957">
          <cell r="J3957">
            <v>58</v>
          </cell>
          <cell r="K3957">
            <v>58</v>
          </cell>
          <cell r="N3957">
            <v>-764.28</v>
          </cell>
          <cell r="Q3957" t="str">
            <v>2015_10</v>
          </cell>
        </row>
        <row r="3958">
          <cell r="J3958">
            <v>58</v>
          </cell>
          <cell r="K3958">
            <v>58</v>
          </cell>
          <cell r="N3958">
            <v>721.27</v>
          </cell>
          <cell r="Q3958" t="str">
            <v>2015_11</v>
          </cell>
        </row>
        <row r="3959">
          <cell r="J3959">
            <v>58</v>
          </cell>
          <cell r="K3959">
            <v>58</v>
          </cell>
          <cell r="N3959">
            <v>-1976.52</v>
          </cell>
          <cell r="Q3959" t="str">
            <v>2015_12</v>
          </cell>
        </row>
        <row r="3960">
          <cell r="J3960">
            <v>58</v>
          </cell>
          <cell r="K3960">
            <v>58</v>
          </cell>
          <cell r="N3960">
            <v>-2660.7</v>
          </cell>
          <cell r="Q3960" t="str">
            <v>2016_01</v>
          </cell>
        </row>
        <row r="3961">
          <cell r="J3961">
            <v>58</v>
          </cell>
          <cell r="K3961">
            <v>58</v>
          </cell>
          <cell r="N3961">
            <v>1739.09</v>
          </cell>
          <cell r="Q3961" t="str">
            <v>2016_02</v>
          </cell>
        </row>
        <row r="3962">
          <cell r="J3962">
            <v>58</v>
          </cell>
          <cell r="K3962">
            <v>58</v>
          </cell>
          <cell r="N3962">
            <v>2079.13</v>
          </cell>
          <cell r="Q3962" t="str">
            <v>2016_03</v>
          </cell>
        </row>
        <row r="3963">
          <cell r="J3963">
            <v>58</v>
          </cell>
          <cell r="K3963">
            <v>58</v>
          </cell>
          <cell r="N3963">
            <v>-2508.66</v>
          </cell>
          <cell r="Q3963" t="str">
            <v>2016_04</v>
          </cell>
        </row>
        <row r="3964">
          <cell r="J3964">
            <v>58</v>
          </cell>
          <cell r="K3964">
            <v>58</v>
          </cell>
          <cell r="N3964">
            <v>910.92</v>
          </cell>
          <cell r="Q3964" t="str">
            <v>2016_05</v>
          </cell>
        </row>
        <row r="3965">
          <cell r="J3965">
            <v>58</v>
          </cell>
          <cell r="K3965">
            <v>58</v>
          </cell>
          <cell r="N3965">
            <v>-418.78</v>
          </cell>
          <cell r="Q3965" t="str">
            <v>2016_06</v>
          </cell>
        </row>
        <row r="3966">
          <cell r="J3966">
            <v>58</v>
          </cell>
          <cell r="K3966">
            <v>58</v>
          </cell>
          <cell r="N3966">
            <v>6331.79</v>
          </cell>
          <cell r="Q3966" t="str">
            <v>2016_07</v>
          </cell>
        </row>
        <row r="3967">
          <cell r="J3967">
            <v>58</v>
          </cell>
          <cell r="K3967">
            <v>58</v>
          </cell>
          <cell r="N3967">
            <v>1053.92</v>
          </cell>
          <cell r="Q3967" t="str">
            <v>2016_08</v>
          </cell>
        </row>
        <row r="3968">
          <cell r="J3968">
            <v>58</v>
          </cell>
          <cell r="K3968">
            <v>58</v>
          </cell>
          <cell r="N3968">
            <v>-1092.53</v>
          </cell>
          <cell r="Q3968" t="str">
            <v>2016_09</v>
          </cell>
        </row>
        <row r="3969">
          <cell r="J3969">
            <v>60</v>
          </cell>
          <cell r="K3969">
            <v>60</v>
          </cell>
          <cell r="N3969">
            <v>307.52999999999997</v>
          </cell>
          <cell r="Q3969" t="str">
            <v>2015_12</v>
          </cell>
        </row>
        <row r="3970">
          <cell r="J3970">
            <v>60</v>
          </cell>
          <cell r="K3970">
            <v>60</v>
          </cell>
          <cell r="N3970">
            <v>255.43</v>
          </cell>
          <cell r="Q3970" t="str">
            <v>2016_01</v>
          </cell>
        </row>
        <row r="3971">
          <cell r="J3971">
            <v>60</v>
          </cell>
          <cell r="K3971">
            <v>60</v>
          </cell>
          <cell r="N3971">
            <v>3474.57</v>
          </cell>
          <cell r="Q3971" t="str">
            <v>2016_02</v>
          </cell>
        </row>
        <row r="3972">
          <cell r="J3972">
            <v>60</v>
          </cell>
          <cell r="K3972">
            <v>60</v>
          </cell>
          <cell r="N3972">
            <v>208.49</v>
          </cell>
          <cell r="Q3972" t="str">
            <v>2016_03</v>
          </cell>
        </row>
        <row r="3973">
          <cell r="J3973">
            <v>60</v>
          </cell>
          <cell r="K3973">
            <v>60</v>
          </cell>
          <cell r="N3973">
            <v>306.58</v>
          </cell>
          <cell r="Q3973" t="str">
            <v>2016_04</v>
          </cell>
        </row>
        <row r="3974">
          <cell r="J3974">
            <v>60</v>
          </cell>
          <cell r="K3974">
            <v>60</v>
          </cell>
          <cell r="N3974">
            <v>1309.1500000000001</v>
          </cell>
          <cell r="Q3974" t="str">
            <v>2016_05</v>
          </cell>
        </row>
        <row r="3975">
          <cell r="J3975">
            <v>60</v>
          </cell>
          <cell r="K3975">
            <v>60</v>
          </cell>
          <cell r="N3975">
            <v>510.86</v>
          </cell>
          <cell r="Q3975" t="str">
            <v>2016_06</v>
          </cell>
        </row>
        <row r="3976">
          <cell r="J3976">
            <v>60</v>
          </cell>
          <cell r="K3976">
            <v>60</v>
          </cell>
          <cell r="N3976">
            <v>0</v>
          </cell>
          <cell r="Q3976" t="str">
            <v>2016_07</v>
          </cell>
        </row>
        <row r="3977">
          <cell r="J3977">
            <v>60</v>
          </cell>
          <cell r="K3977">
            <v>60</v>
          </cell>
          <cell r="N3977">
            <v>286.48</v>
          </cell>
          <cell r="Q3977" t="str">
            <v>2016_08</v>
          </cell>
        </row>
        <row r="3978">
          <cell r="J3978">
            <v>60</v>
          </cell>
          <cell r="K3978">
            <v>60</v>
          </cell>
          <cell r="N3978">
            <v>1623.7</v>
          </cell>
          <cell r="Q3978" t="str">
            <v>2016_09</v>
          </cell>
        </row>
        <row r="3979">
          <cell r="J3979">
            <v>61</v>
          </cell>
          <cell r="K3979">
            <v>61</v>
          </cell>
          <cell r="N3979">
            <v>242.34</v>
          </cell>
          <cell r="Q3979" t="str">
            <v>2016_06</v>
          </cell>
        </row>
        <row r="3980">
          <cell r="J3980">
            <v>61</v>
          </cell>
          <cell r="K3980">
            <v>61</v>
          </cell>
          <cell r="N3980">
            <v>0</v>
          </cell>
          <cell r="Q3980" t="str">
            <v>2016_07</v>
          </cell>
        </row>
        <row r="3981">
          <cell r="J3981">
            <v>61</v>
          </cell>
          <cell r="K3981">
            <v>61</v>
          </cell>
          <cell r="N3981">
            <v>0</v>
          </cell>
          <cell r="Q3981" t="str">
            <v>2016_08</v>
          </cell>
        </row>
        <row r="3982">
          <cell r="J3982">
            <v>61</v>
          </cell>
          <cell r="K3982">
            <v>61</v>
          </cell>
          <cell r="N3982">
            <v>0</v>
          </cell>
          <cell r="Q3982" t="str">
            <v>2016_09</v>
          </cell>
        </row>
        <row r="3983">
          <cell r="J3983">
            <v>65</v>
          </cell>
          <cell r="K3983">
            <v>65</v>
          </cell>
          <cell r="N3983">
            <v>1844.41</v>
          </cell>
          <cell r="Q3983" t="str">
            <v>2015_10</v>
          </cell>
        </row>
        <row r="3984">
          <cell r="J3984">
            <v>65</v>
          </cell>
          <cell r="K3984">
            <v>65</v>
          </cell>
          <cell r="N3984">
            <v>0</v>
          </cell>
          <cell r="Q3984" t="str">
            <v>2015_11</v>
          </cell>
        </row>
        <row r="3985">
          <cell r="J3985">
            <v>65</v>
          </cell>
          <cell r="K3985">
            <v>65</v>
          </cell>
          <cell r="N3985">
            <v>1844.41</v>
          </cell>
          <cell r="Q3985" t="str">
            <v>2015_12</v>
          </cell>
        </row>
        <row r="3986">
          <cell r="J3986">
            <v>65</v>
          </cell>
          <cell r="K3986">
            <v>65</v>
          </cell>
          <cell r="N3986">
            <v>1844.41</v>
          </cell>
          <cell r="Q3986" t="str">
            <v>2016_03</v>
          </cell>
        </row>
        <row r="3987">
          <cell r="J3987">
            <v>65</v>
          </cell>
          <cell r="K3987">
            <v>65</v>
          </cell>
          <cell r="N3987">
            <v>0</v>
          </cell>
          <cell r="Q3987" t="str">
            <v>2016_04</v>
          </cell>
        </row>
        <row r="3988">
          <cell r="J3988">
            <v>65</v>
          </cell>
          <cell r="K3988">
            <v>65</v>
          </cell>
          <cell r="N3988">
            <v>0</v>
          </cell>
          <cell r="Q3988" t="str">
            <v>2016_05</v>
          </cell>
        </row>
        <row r="3989">
          <cell r="J3989">
            <v>65</v>
          </cell>
          <cell r="K3989">
            <v>65</v>
          </cell>
          <cell r="N3989">
            <v>0</v>
          </cell>
          <cell r="Q3989" t="str">
            <v>2016_06</v>
          </cell>
        </row>
        <row r="3990">
          <cell r="J3990">
            <v>65</v>
          </cell>
          <cell r="K3990">
            <v>65</v>
          </cell>
          <cell r="N3990">
            <v>0</v>
          </cell>
          <cell r="Q3990" t="str">
            <v>2016_07</v>
          </cell>
        </row>
        <row r="3991">
          <cell r="J3991">
            <v>65</v>
          </cell>
          <cell r="K3991">
            <v>65</v>
          </cell>
          <cell r="N3991">
            <v>0</v>
          </cell>
          <cell r="Q3991" t="str">
            <v>2016_08</v>
          </cell>
        </row>
        <row r="3992">
          <cell r="J3992">
            <v>65</v>
          </cell>
          <cell r="K3992">
            <v>65</v>
          </cell>
          <cell r="N3992">
            <v>3688.82</v>
          </cell>
          <cell r="Q3992" t="str">
            <v>2016_09</v>
          </cell>
        </row>
        <row r="3993">
          <cell r="J3993">
            <v>58</v>
          </cell>
          <cell r="K3993">
            <v>58</v>
          </cell>
          <cell r="N3993">
            <v>228.06</v>
          </cell>
          <cell r="Q3993" t="str">
            <v>2015_10</v>
          </cell>
        </row>
        <row r="3994">
          <cell r="J3994">
            <v>58</v>
          </cell>
          <cell r="K3994">
            <v>58</v>
          </cell>
          <cell r="N3994">
            <v>76.02</v>
          </cell>
          <cell r="Q3994" t="str">
            <v>2015_11</v>
          </cell>
        </row>
        <row r="3995">
          <cell r="J3995">
            <v>58</v>
          </cell>
          <cell r="K3995">
            <v>58</v>
          </cell>
          <cell r="N3995">
            <v>152.04</v>
          </cell>
          <cell r="Q3995" t="str">
            <v>2015_12</v>
          </cell>
        </row>
        <row r="3996">
          <cell r="J3996">
            <v>58</v>
          </cell>
          <cell r="K3996">
            <v>58</v>
          </cell>
          <cell r="N3996">
            <v>152.04</v>
          </cell>
          <cell r="Q3996" t="str">
            <v>2016_01</v>
          </cell>
        </row>
        <row r="3997">
          <cell r="J3997">
            <v>58</v>
          </cell>
          <cell r="K3997">
            <v>58</v>
          </cell>
          <cell r="N3997">
            <v>76.02</v>
          </cell>
          <cell r="Q3997" t="str">
            <v>2016_02</v>
          </cell>
        </row>
        <row r="3998">
          <cell r="J3998">
            <v>58</v>
          </cell>
          <cell r="K3998">
            <v>58</v>
          </cell>
          <cell r="N3998">
            <v>76.02</v>
          </cell>
          <cell r="Q3998" t="str">
            <v>2016_03</v>
          </cell>
        </row>
        <row r="3999">
          <cell r="J3999">
            <v>58</v>
          </cell>
          <cell r="K3999">
            <v>58</v>
          </cell>
          <cell r="N3999">
            <v>114.03</v>
          </cell>
          <cell r="Q3999" t="str">
            <v>2016_04</v>
          </cell>
        </row>
        <row r="4000">
          <cell r="J4000">
            <v>58</v>
          </cell>
          <cell r="K4000">
            <v>58</v>
          </cell>
          <cell r="N4000">
            <v>76.02</v>
          </cell>
          <cell r="Q4000" t="str">
            <v>2016_05</v>
          </cell>
        </row>
        <row r="4001">
          <cell r="J4001">
            <v>58</v>
          </cell>
          <cell r="K4001">
            <v>58</v>
          </cell>
          <cell r="N4001">
            <v>228.06</v>
          </cell>
          <cell r="Q4001" t="str">
            <v>2016_06</v>
          </cell>
        </row>
        <row r="4002">
          <cell r="J4002">
            <v>58</v>
          </cell>
          <cell r="K4002">
            <v>58</v>
          </cell>
          <cell r="N4002">
            <v>76.02</v>
          </cell>
          <cell r="Q4002" t="str">
            <v>2016_07</v>
          </cell>
        </row>
        <row r="4003">
          <cell r="J4003">
            <v>58</v>
          </cell>
          <cell r="K4003">
            <v>58</v>
          </cell>
          <cell r="N4003">
            <v>76.02</v>
          </cell>
          <cell r="Q4003" t="str">
            <v>2016_08</v>
          </cell>
        </row>
        <row r="4004">
          <cell r="J4004">
            <v>58</v>
          </cell>
          <cell r="K4004">
            <v>58</v>
          </cell>
          <cell r="N4004">
            <v>228.06</v>
          </cell>
          <cell r="Q4004" t="str">
            <v>2016_09</v>
          </cell>
        </row>
        <row r="4005">
          <cell r="J4005">
            <v>58</v>
          </cell>
          <cell r="K4005">
            <v>58</v>
          </cell>
          <cell r="N4005">
            <v>1671.34</v>
          </cell>
          <cell r="Q4005" t="str">
            <v>2015_12</v>
          </cell>
        </row>
        <row r="4006">
          <cell r="J4006">
            <v>58</v>
          </cell>
          <cell r="K4006">
            <v>58</v>
          </cell>
          <cell r="N4006">
            <v>10107.76</v>
          </cell>
          <cell r="Q4006" t="str">
            <v>2016_01</v>
          </cell>
        </row>
        <row r="4007">
          <cell r="J4007">
            <v>58</v>
          </cell>
          <cell r="K4007">
            <v>58</v>
          </cell>
          <cell r="N4007">
            <v>5116.53</v>
          </cell>
          <cell r="Q4007" t="str">
            <v>2016_02</v>
          </cell>
        </row>
        <row r="4008">
          <cell r="J4008">
            <v>58</v>
          </cell>
          <cell r="K4008">
            <v>58</v>
          </cell>
          <cell r="N4008">
            <v>906.44</v>
          </cell>
          <cell r="Q4008" t="str">
            <v>2016_03</v>
          </cell>
        </row>
        <row r="4009">
          <cell r="J4009">
            <v>58</v>
          </cell>
          <cell r="K4009">
            <v>58</v>
          </cell>
          <cell r="N4009">
            <v>1209.46</v>
          </cell>
          <cell r="Q4009" t="str">
            <v>2016_04</v>
          </cell>
        </row>
        <row r="4010">
          <cell r="J4010">
            <v>58</v>
          </cell>
          <cell r="K4010">
            <v>58</v>
          </cell>
          <cell r="N4010">
            <v>2494.7399999999998</v>
          </cell>
          <cell r="Q4010" t="str">
            <v>2016_05</v>
          </cell>
        </row>
        <row r="4011">
          <cell r="J4011">
            <v>58</v>
          </cell>
          <cell r="K4011">
            <v>58</v>
          </cell>
          <cell r="N4011">
            <v>3145.41</v>
          </cell>
          <cell r="Q4011" t="str">
            <v>2016_06</v>
          </cell>
        </row>
        <row r="4012">
          <cell r="J4012">
            <v>58</v>
          </cell>
          <cell r="K4012">
            <v>58</v>
          </cell>
          <cell r="N4012">
            <v>3879</v>
          </cell>
          <cell r="Q4012" t="str">
            <v>2016_07</v>
          </cell>
        </row>
        <row r="4013">
          <cell r="J4013">
            <v>58</v>
          </cell>
          <cell r="K4013">
            <v>58</v>
          </cell>
          <cell r="N4013">
            <v>3727.76</v>
          </cell>
          <cell r="Q4013" t="str">
            <v>2016_08</v>
          </cell>
        </row>
        <row r="4014">
          <cell r="J4014">
            <v>58</v>
          </cell>
          <cell r="K4014">
            <v>58</v>
          </cell>
          <cell r="N4014">
            <v>7194.16</v>
          </cell>
          <cell r="Q4014" t="str">
            <v>2016_09</v>
          </cell>
        </row>
        <row r="4015">
          <cell r="J4015">
            <v>65</v>
          </cell>
          <cell r="K4015">
            <v>65</v>
          </cell>
          <cell r="N4015">
            <v>43166.52</v>
          </cell>
          <cell r="Q4015" t="str">
            <v>2015_10</v>
          </cell>
        </row>
        <row r="4016">
          <cell r="J4016">
            <v>65</v>
          </cell>
          <cell r="K4016">
            <v>65</v>
          </cell>
          <cell r="N4016">
            <v>39682.620000000003</v>
          </cell>
          <cell r="Q4016" t="str">
            <v>2015_11</v>
          </cell>
        </row>
        <row r="4017">
          <cell r="J4017">
            <v>65</v>
          </cell>
          <cell r="K4017">
            <v>65</v>
          </cell>
          <cell r="N4017">
            <v>37326.53</v>
          </cell>
          <cell r="Q4017" t="str">
            <v>2015_12</v>
          </cell>
        </row>
        <row r="4018">
          <cell r="J4018">
            <v>65</v>
          </cell>
          <cell r="K4018">
            <v>65</v>
          </cell>
          <cell r="N4018">
            <v>28862.38</v>
          </cell>
          <cell r="Q4018" t="str">
            <v>2016_01</v>
          </cell>
        </row>
        <row r="4019">
          <cell r="J4019">
            <v>65</v>
          </cell>
          <cell r="K4019">
            <v>65</v>
          </cell>
          <cell r="N4019">
            <v>28310.47</v>
          </cell>
          <cell r="Q4019" t="str">
            <v>2016_02</v>
          </cell>
        </row>
        <row r="4020">
          <cell r="J4020">
            <v>65</v>
          </cell>
          <cell r="K4020">
            <v>65</v>
          </cell>
          <cell r="N4020">
            <v>32273.03</v>
          </cell>
          <cell r="Q4020" t="str">
            <v>2016_03</v>
          </cell>
        </row>
        <row r="4021">
          <cell r="J4021">
            <v>65</v>
          </cell>
          <cell r="K4021">
            <v>65</v>
          </cell>
          <cell r="N4021">
            <v>32977.43</v>
          </cell>
          <cell r="Q4021" t="str">
            <v>2016_04</v>
          </cell>
        </row>
        <row r="4022">
          <cell r="J4022">
            <v>65</v>
          </cell>
          <cell r="K4022">
            <v>65</v>
          </cell>
          <cell r="N4022">
            <v>38466.339999999997</v>
          </cell>
          <cell r="Q4022" t="str">
            <v>2016_05</v>
          </cell>
        </row>
        <row r="4023">
          <cell r="J4023">
            <v>65</v>
          </cell>
          <cell r="K4023">
            <v>65</v>
          </cell>
          <cell r="N4023">
            <v>46095.15</v>
          </cell>
          <cell r="Q4023" t="str">
            <v>2016_06</v>
          </cell>
        </row>
        <row r="4024">
          <cell r="J4024">
            <v>65</v>
          </cell>
          <cell r="K4024">
            <v>65</v>
          </cell>
          <cell r="N4024">
            <v>39367.06</v>
          </cell>
          <cell r="Q4024" t="str">
            <v>2016_07</v>
          </cell>
        </row>
        <row r="4025">
          <cell r="J4025">
            <v>65</v>
          </cell>
          <cell r="K4025">
            <v>65</v>
          </cell>
          <cell r="N4025">
            <v>43282.35</v>
          </cell>
          <cell r="Q4025" t="str">
            <v>2016_08</v>
          </cell>
        </row>
        <row r="4026">
          <cell r="J4026">
            <v>65</v>
          </cell>
          <cell r="K4026">
            <v>65</v>
          </cell>
          <cell r="N4026">
            <v>39363.440000000002</v>
          </cell>
          <cell r="Q4026" t="str">
            <v>2016_09</v>
          </cell>
        </row>
        <row r="4027">
          <cell r="J4027">
            <v>65</v>
          </cell>
          <cell r="K4027">
            <v>65</v>
          </cell>
          <cell r="N4027">
            <v>-39231</v>
          </cell>
          <cell r="Q4027" t="str">
            <v>2016_03</v>
          </cell>
        </row>
        <row r="4028">
          <cell r="J4028">
            <v>65</v>
          </cell>
          <cell r="K4028">
            <v>65</v>
          </cell>
          <cell r="N4028">
            <v>0</v>
          </cell>
          <cell r="Q4028" t="str">
            <v>2016_04</v>
          </cell>
        </row>
        <row r="4029">
          <cell r="J4029">
            <v>65</v>
          </cell>
          <cell r="K4029">
            <v>65</v>
          </cell>
          <cell r="N4029">
            <v>0</v>
          </cell>
          <cell r="Q4029" t="str">
            <v>2016_05</v>
          </cell>
        </row>
        <row r="4030">
          <cell r="J4030">
            <v>65</v>
          </cell>
          <cell r="K4030">
            <v>65</v>
          </cell>
          <cell r="N4030">
            <v>0</v>
          </cell>
          <cell r="Q4030" t="str">
            <v>2016_06</v>
          </cell>
        </row>
        <row r="4031">
          <cell r="J4031">
            <v>65</v>
          </cell>
          <cell r="K4031">
            <v>65</v>
          </cell>
          <cell r="N4031">
            <v>0</v>
          </cell>
          <cell r="Q4031" t="str">
            <v>2016_07</v>
          </cell>
        </row>
        <row r="4032">
          <cell r="J4032">
            <v>65</v>
          </cell>
          <cell r="K4032">
            <v>65</v>
          </cell>
          <cell r="N4032">
            <v>0</v>
          </cell>
          <cell r="Q4032" t="str">
            <v>2016_08</v>
          </cell>
        </row>
        <row r="4033">
          <cell r="J4033">
            <v>65</v>
          </cell>
          <cell r="K4033">
            <v>65</v>
          </cell>
          <cell r="N4033">
            <v>0</v>
          </cell>
          <cell r="Q4033" t="str">
            <v>2016_09</v>
          </cell>
        </row>
        <row r="4034">
          <cell r="J4034">
            <v>60</v>
          </cell>
          <cell r="K4034">
            <v>60</v>
          </cell>
          <cell r="N4034">
            <v>3236.5</v>
          </cell>
          <cell r="Q4034" t="str">
            <v>2015_12</v>
          </cell>
        </row>
        <row r="4035">
          <cell r="J4035">
            <v>60</v>
          </cell>
          <cell r="K4035">
            <v>60</v>
          </cell>
          <cell r="N4035">
            <v>4324.1400000000003</v>
          </cell>
          <cell r="Q4035" t="str">
            <v>2016_01</v>
          </cell>
        </row>
        <row r="4036">
          <cell r="J4036">
            <v>60</v>
          </cell>
          <cell r="K4036">
            <v>60</v>
          </cell>
          <cell r="N4036">
            <v>3425.59</v>
          </cell>
          <cell r="Q4036" t="str">
            <v>2016_02</v>
          </cell>
        </row>
        <row r="4037">
          <cell r="J4037">
            <v>60</v>
          </cell>
          <cell r="K4037">
            <v>60</v>
          </cell>
          <cell r="N4037">
            <v>610.70000000000005</v>
          </cell>
          <cell r="Q4037" t="str">
            <v>2016_03</v>
          </cell>
        </row>
        <row r="4038">
          <cell r="J4038">
            <v>60</v>
          </cell>
          <cell r="K4038">
            <v>60</v>
          </cell>
          <cell r="N4038">
            <v>634.96</v>
          </cell>
          <cell r="Q4038" t="str">
            <v>2016_04</v>
          </cell>
        </row>
        <row r="4039">
          <cell r="J4039">
            <v>60</v>
          </cell>
          <cell r="K4039">
            <v>60</v>
          </cell>
          <cell r="N4039">
            <v>950.03</v>
          </cell>
          <cell r="Q4039" t="str">
            <v>2016_05</v>
          </cell>
        </row>
        <row r="4040">
          <cell r="J4040">
            <v>60</v>
          </cell>
          <cell r="K4040">
            <v>60</v>
          </cell>
          <cell r="N4040">
            <v>744.91</v>
          </cell>
          <cell r="Q4040" t="str">
            <v>2016_06</v>
          </cell>
        </row>
        <row r="4041">
          <cell r="J4041">
            <v>60</v>
          </cell>
          <cell r="K4041">
            <v>60</v>
          </cell>
          <cell r="N4041">
            <v>912.15</v>
          </cell>
          <cell r="Q4041" t="str">
            <v>2016_07</v>
          </cell>
        </row>
        <row r="4042">
          <cell r="J4042">
            <v>60</v>
          </cell>
          <cell r="K4042">
            <v>60</v>
          </cell>
          <cell r="N4042">
            <v>1266.3900000000001</v>
          </cell>
          <cell r="Q4042" t="str">
            <v>2016_08</v>
          </cell>
        </row>
        <row r="4043">
          <cell r="J4043">
            <v>60</v>
          </cell>
          <cell r="K4043">
            <v>60</v>
          </cell>
          <cell r="N4043">
            <v>1942.59</v>
          </cell>
          <cell r="Q4043" t="str">
            <v>2016_09</v>
          </cell>
        </row>
        <row r="4044">
          <cell r="J4044">
            <v>61</v>
          </cell>
          <cell r="K4044">
            <v>61</v>
          </cell>
          <cell r="N4044">
            <v>847.13</v>
          </cell>
          <cell r="Q4044" t="str">
            <v>2016_02</v>
          </cell>
        </row>
        <row r="4045">
          <cell r="J4045">
            <v>61</v>
          </cell>
          <cell r="K4045">
            <v>61</v>
          </cell>
          <cell r="N4045">
            <v>173.76</v>
          </cell>
          <cell r="Q4045" t="str">
            <v>2016_03</v>
          </cell>
        </row>
        <row r="4046">
          <cell r="J4046">
            <v>61</v>
          </cell>
          <cell r="K4046">
            <v>61</v>
          </cell>
          <cell r="N4046">
            <v>0</v>
          </cell>
          <cell r="Q4046" t="str">
            <v>2016_04</v>
          </cell>
        </row>
        <row r="4047">
          <cell r="J4047">
            <v>61</v>
          </cell>
          <cell r="K4047">
            <v>61</v>
          </cell>
          <cell r="N4047">
            <v>0</v>
          </cell>
          <cell r="Q4047" t="str">
            <v>2016_05</v>
          </cell>
        </row>
        <row r="4048">
          <cell r="J4048">
            <v>61</v>
          </cell>
          <cell r="K4048">
            <v>61</v>
          </cell>
          <cell r="N4048">
            <v>0</v>
          </cell>
          <cell r="Q4048" t="str">
            <v>2016_06</v>
          </cell>
        </row>
        <row r="4049">
          <cell r="J4049">
            <v>61</v>
          </cell>
          <cell r="K4049">
            <v>61</v>
          </cell>
          <cell r="N4049">
            <v>81.45</v>
          </cell>
          <cell r="Q4049" t="str">
            <v>2016_07</v>
          </cell>
        </row>
        <row r="4050">
          <cell r="J4050">
            <v>61</v>
          </cell>
          <cell r="K4050">
            <v>61</v>
          </cell>
          <cell r="N4050">
            <v>81.45</v>
          </cell>
          <cell r="Q4050" t="str">
            <v>2016_08</v>
          </cell>
        </row>
        <row r="4051">
          <cell r="J4051">
            <v>61</v>
          </cell>
          <cell r="K4051">
            <v>61</v>
          </cell>
          <cell r="N4051">
            <v>0</v>
          </cell>
          <cell r="Q4051" t="str">
            <v>2016_09</v>
          </cell>
        </row>
        <row r="4052">
          <cell r="J4052">
            <v>58</v>
          </cell>
          <cell r="K4052">
            <v>58</v>
          </cell>
          <cell r="N4052">
            <v>874.23</v>
          </cell>
          <cell r="Q4052" t="str">
            <v>2015_10</v>
          </cell>
        </row>
        <row r="4053">
          <cell r="J4053">
            <v>58</v>
          </cell>
          <cell r="K4053">
            <v>58</v>
          </cell>
          <cell r="N4053">
            <v>304.08</v>
          </cell>
          <cell r="Q4053" t="str">
            <v>2015_11</v>
          </cell>
        </row>
        <row r="4054">
          <cell r="J4054">
            <v>58</v>
          </cell>
          <cell r="K4054">
            <v>58</v>
          </cell>
          <cell r="N4054">
            <v>342.09</v>
          </cell>
          <cell r="Q4054" t="str">
            <v>2015_12</v>
          </cell>
        </row>
        <row r="4055">
          <cell r="J4055">
            <v>58</v>
          </cell>
          <cell r="K4055">
            <v>58</v>
          </cell>
          <cell r="N4055">
            <v>646.16999999999996</v>
          </cell>
          <cell r="Q4055" t="str">
            <v>2016_01</v>
          </cell>
        </row>
        <row r="4056">
          <cell r="J4056">
            <v>58</v>
          </cell>
          <cell r="K4056">
            <v>58</v>
          </cell>
          <cell r="N4056">
            <v>760.2</v>
          </cell>
          <cell r="Q4056" t="str">
            <v>2016_02</v>
          </cell>
        </row>
        <row r="4057">
          <cell r="J4057">
            <v>58</v>
          </cell>
          <cell r="K4057">
            <v>58</v>
          </cell>
          <cell r="N4057">
            <v>418.11</v>
          </cell>
          <cell r="Q4057" t="str">
            <v>2016_03</v>
          </cell>
        </row>
        <row r="4058">
          <cell r="J4058">
            <v>58</v>
          </cell>
          <cell r="K4058">
            <v>58</v>
          </cell>
          <cell r="N4058">
            <v>722.19</v>
          </cell>
          <cell r="Q4058" t="str">
            <v>2016_04</v>
          </cell>
        </row>
        <row r="4059">
          <cell r="J4059">
            <v>58</v>
          </cell>
          <cell r="K4059">
            <v>58</v>
          </cell>
          <cell r="N4059">
            <v>608.16</v>
          </cell>
          <cell r="Q4059" t="str">
            <v>2016_05</v>
          </cell>
        </row>
        <row r="4060">
          <cell r="J4060">
            <v>58</v>
          </cell>
          <cell r="K4060">
            <v>58</v>
          </cell>
          <cell r="N4060">
            <v>646.16999999999996</v>
          </cell>
          <cell r="Q4060" t="str">
            <v>2016_06</v>
          </cell>
        </row>
        <row r="4061">
          <cell r="J4061">
            <v>58</v>
          </cell>
          <cell r="K4061">
            <v>58</v>
          </cell>
          <cell r="N4061">
            <v>0</v>
          </cell>
          <cell r="Q4061" t="str">
            <v>2016_07</v>
          </cell>
        </row>
        <row r="4062">
          <cell r="J4062">
            <v>58</v>
          </cell>
          <cell r="K4062">
            <v>58</v>
          </cell>
          <cell r="N4062">
            <v>228.06</v>
          </cell>
          <cell r="Q4062" t="str">
            <v>2016_08</v>
          </cell>
        </row>
        <row r="4063">
          <cell r="J4063">
            <v>58</v>
          </cell>
          <cell r="K4063">
            <v>58</v>
          </cell>
          <cell r="N4063">
            <v>152.04</v>
          </cell>
          <cell r="Q4063" t="str">
            <v>2016_09</v>
          </cell>
        </row>
        <row r="4064">
          <cell r="J4064">
            <v>58</v>
          </cell>
          <cell r="K4064">
            <v>58</v>
          </cell>
          <cell r="N4064">
            <v>2785.09</v>
          </cell>
          <cell r="Q4064" t="str">
            <v>2015_12</v>
          </cell>
        </row>
        <row r="4065">
          <cell r="J4065">
            <v>58</v>
          </cell>
          <cell r="K4065">
            <v>58</v>
          </cell>
          <cell r="N4065">
            <v>4593.05</v>
          </cell>
          <cell r="Q4065" t="str">
            <v>2016_01</v>
          </cell>
        </row>
        <row r="4066">
          <cell r="J4066">
            <v>58</v>
          </cell>
          <cell r="K4066">
            <v>58</v>
          </cell>
          <cell r="N4066">
            <v>7040.27</v>
          </cell>
          <cell r="Q4066" t="str">
            <v>2016_02</v>
          </cell>
        </row>
        <row r="4067">
          <cell r="J4067">
            <v>58</v>
          </cell>
          <cell r="K4067">
            <v>58</v>
          </cell>
          <cell r="N4067">
            <v>4691.8</v>
          </cell>
          <cell r="Q4067" t="str">
            <v>2016_03</v>
          </cell>
        </row>
        <row r="4068">
          <cell r="J4068">
            <v>58</v>
          </cell>
          <cell r="K4068">
            <v>58</v>
          </cell>
          <cell r="N4068">
            <v>1569.82</v>
          </cell>
          <cell r="Q4068" t="str">
            <v>2016_04</v>
          </cell>
        </row>
        <row r="4069">
          <cell r="J4069">
            <v>58</v>
          </cell>
          <cell r="K4069">
            <v>58</v>
          </cell>
          <cell r="N4069">
            <v>2803.28</v>
          </cell>
          <cell r="Q4069" t="str">
            <v>2016_05</v>
          </cell>
        </row>
        <row r="4070">
          <cell r="J4070">
            <v>58</v>
          </cell>
          <cell r="K4070">
            <v>58</v>
          </cell>
          <cell r="N4070">
            <v>3028.9</v>
          </cell>
          <cell r="Q4070" t="str">
            <v>2016_06</v>
          </cell>
        </row>
        <row r="4071">
          <cell r="J4071">
            <v>58</v>
          </cell>
          <cell r="K4071">
            <v>58</v>
          </cell>
          <cell r="N4071">
            <v>6645.02</v>
          </cell>
          <cell r="Q4071" t="str">
            <v>2016_07</v>
          </cell>
        </row>
        <row r="4072">
          <cell r="J4072">
            <v>58</v>
          </cell>
          <cell r="K4072">
            <v>58</v>
          </cell>
          <cell r="N4072">
            <v>9442.61</v>
          </cell>
          <cell r="Q4072" t="str">
            <v>2016_08</v>
          </cell>
        </row>
        <row r="4073">
          <cell r="J4073">
            <v>58</v>
          </cell>
          <cell r="K4073">
            <v>58</v>
          </cell>
          <cell r="N4073">
            <v>3448.01</v>
          </cell>
          <cell r="Q4073" t="str">
            <v>2016_09</v>
          </cell>
        </row>
        <row r="4074">
          <cell r="J4074">
            <v>19</v>
          </cell>
          <cell r="K4074">
            <v>19</v>
          </cell>
          <cell r="N4074">
            <v>92344.52</v>
          </cell>
          <cell r="Q4074" t="str">
            <v>2015_10</v>
          </cell>
        </row>
        <row r="4075">
          <cell r="J4075">
            <v>19</v>
          </cell>
          <cell r="K4075">
            <v>19</v>
          </cell>
          <cell r="N4075">
            <v>84514.55</v>
          </cell>
          <cell r="Q4075" t="str">
            <v>2015_11</v>
          </cell>
        </row>
        <row r="4076">
          <cell r="J4076">
            <v>19</v>
          </cell>
          <cell r="K4076">
            <v>19</v>
          </cell>
          <cell r="N4076">
            <v>76959.02</v>
          </cell>
          <cell r="Q4076" t="str">
            <v>2015_12</v>
          </cell>
        </row>
        <row r="4077">
          <cell r="J4077">
            <v>19</v>
          </cell>
          <cell r="K4077">
            <v>19</v>
          </cell>
          <cell r="N4077">
            <v>57985.72</v>
          </cell>
          <cell r="Q4077" t="str">
            <v>2016_01</v>
          </cell>
        </row>
        <row r="4078">
          <cell r="J4078">
            <v>19</v>
          </cell>
          <cell r="K4078">
            <v>19</v>
          </cell>
          <cell r="N4078">
            <v>63737.95</v>
          </cell>
          <cell r="Q4078" t="str">
            <v>2016_02</v>
          </cell>
        </row>
        <row r="4079">
          <cell r="J4079">
            <v>19</v>
          </cell>
          <cell r="K4079">
            <v>19</v>
          </cell>
          <cell r="N4079">
            <v>74278.12</v>
          </cell>
          <cell r="Q4079" t="str">
            <v>2016_03</v>
          </cell>
        </row>
        <row r="4080">
          <cell r="J4080">
            <v>19</v>
          </cell>
          <cell r="K4080">
            <v>19</v>
          </cell>
          <cell r="N4080">
            <v>80530.759999999995</v>
          </cell>
          <cell r="Q4080" t="str">
            <v>2016_04</v>
          </cell>
        </row>
        <row r="4081">
          <cell r="J4081">
            <v>19</v>
          </cell>
          <cell r="K4081">
            <v>19</v>
          </cell>
          <cell r="N4081">
            <v>92373.19</v>
          </cell>
          <cell r="Q4081" t="str">
            <v>2016_05</v>
          </cell>
        </row>
        <row r="4082">
          <cell r="J4082">
            <v>19</v>
          </cell>
          <cell r="K4082">
            <v>19</v>
          </cell>
          <cell r="N4082">
            <v>100862.51</v>
          </cell>
          <cell r="Q4082" t="str">
            <v>2016_06</v>
          </cell>
        </row>
        <row r="4083">
          <cell r="J4083">
            <v>19</v>
          </cell>
          <cell r="K4083">
            <v>19</v>
          </cell>
          <cell r="N4083">
            <v>90941.59</v>
          </cell>
          <cell r="Q4083" t="str">
            <v>2016_07</v>
          </cell>
        </row>
        <row r="4084">
          <cell r="J4084">
            <v>19</v>
          </cell>
          <cell r="K4084">
            <v>19</v>
          </cell>
          <cell r="N4084">
            <v>99767.22</v>
          </cell>
          <cell r="Q4084" t="str">
            <v>2016_08</v>
          </cell>
        </row>
        <row r="4085">
          <cell r="J4085">
            <v>19</v>
          </cell>
          <cell r="K4085">
            <v>19</v>
          </cell>
          <cell r="N4085">
            <v>93290.81</v>
          </cell>
          <cell r="Q4085" t="str">
            <v>2016_09</v>
          </cell>
        </row>
        <row r="4086">
          <cell r="J4086">
            <v>60</v>
          </cell>
          <cell r="K4086">
            <v>60</v>
          </cell>
          <cell r="N4086">
            <v>524.92999999999995</v>
          </cell>
          <cell r="Q4086" t="str">
            <v>2015_12</v>
          </cell>
        </row>
        <row r="4087">
          <cell r="J4087">
            <v>60</v>
          </cell>
          <cell r="K4087">
            <v>60</v>
          </cell>
          <cell r="N4087">
            <v>10372.35</v>
          </cell>
          <cell r="Q4087" t="str">
            <v>2016_01</v>
          </cell>
        </row>
        <row r="4088">
          <cell r="J4088">
            <v>60</v>
          </cell>
          <cell r="K4088">
            <v>60</v>
          </cell>
          <cell r="N4088">
            <v>709.97</v>
          </cell>
          <cell r="Q4088" t="str">
            <v>2016_02</v>
          </cell>
        </row>
        <row r="4089">
          <cell r="J4089">
            <v>60</v>
          </cell>
          <cell r="K4089">
            <v>60</v>
          </cell>
          <cell r="N4089">
            <v>1309.32</v>
          </cell>
          <cell r="Q4089" t="str">
            <v>2016_03</v>
          </cell>
        </row>
        <row r="4090">
          <cell r="J4090">
            <v>60</v>
          </cell>
          <cell r="K4090">
            <v>60</v>
          </cell>
          <cell r="N4090">
            <v>1267.0899999999999</v>
          </cell>
          <cell r="Q4090" t="str">
            <v>2016_04</v>
          </cell>
        </row>
        <row r="4091">
          <cell r="J4091">
            <v>60</v>
          </cell>
          <cell r="K4091">
            <v>60</v>
          </cell>
          <cell r="N4091">
            <v>1315.95</v>
          </cell>
          <cell r="Q4091" t="str">
            <v>2016_05</v>
          </cell>
        </row>
        <row r="4092">
          <cell r="J4092">
            <v>60</v>
          </cell>
          <cell r="K4092">
            <v>60</v>
          </cell>
          <cell r="N4092">
            <v>723.4</v>
          </cell>
          <cell r="Q4092" t="str">
            <v>2016_06</v>
          </cell>
        </row>
        <row r="4093">
          <cell r="J4093">
            <v>60</v>
          </cell>
          <cell r="K4093">
            <v>60</v>
          </cell>
          <cell r="N4093">
            <v>1195.54</v>
          </cell>
          <cell r="Q4093" t="str">
            <v>2016_07</v>
          </cell>
        </row>
        <row r="4094">
          <cell r="J4094">
            <v>60</v>
          </cell>
          <cell r="K4094">
            <v>60</v>
          </cell>
          <cell r="N4094">
            <v>1563.03</v>
          </cell>
          <cell r="Q4094" t="str">
            <v>2016_08</v>
          </cell>
        </row>
        <row r="4095">
          <cell r="J4095">
            <v>60</v>
          </cell>
          <cell r="K4095">
            <v>60</v>
          </cell>
          <cell r="N4095">
            <v>752.7</v>
          </cell>
          <cell r="Q4095" t="str">
            <v>2016_09</v>
          </cell>
        </row>
        <row r="4096">
          <cell r="J4096">
            <v>61</v>
          </cell>
          <cell r="K4096">
            <v>61</v>
          </cell>
          <cell r="N4096">
            <v>1270.1400000000001</v>
          </cell>
          <cell r="Q4096" t="str">
            <v>2016_01</v>
          </cell>
        </row>
        <row r="4097">
          <cell r="J4097">
            <v>61</v>
          </cell>
          <cell r="K4097">
            <v>61</v>
          </cell>
          <cell r="N4097">
            <v>152.04</v>
          </cell>
          <cell r="Q4097" t="str">
            <v>2016_02</v>
          </cell>
        </row>
        <row r="4098">
          <cell r="J4098">
            <v>61</v>
          </cell>
          <cell r="K4098">
            <v>61</v>
          </cell>
          <cell r="N4098">
            <v>1122.1400000000001</v>
          </cell>
          <cell r="Q4098" t="str">
            <v>2016_03</v>
          </cell>
        </row>
        <row r="4099">
          <cell r="J4099">
            <v>61</v>
          </cell>
          <cell r="K4099">
            <v>61</v>
          </cell>
          <cell r="N4099">
            <v>0</v>
          </cell>
          <cell r="Q4099" t="str">
            <v>2016_04</v>
          </cell>
        </row>
        <row r="4100">
          <cell r="J4100">
            <v>61</v>
          </cell>
          <cell r="K4100">
            <v>61</v>
          </cell>
          <cell r="N4100">
            <v>3386.14</v>
          </cell>
          <cell r="Q4100" t="str">
            <v>2016_05</v>
          </cell>
        </row>
        <row r="4101">
          <cell r="J4101">
            <v>61</v>
          </cell>
          <cell r="K4101">
            <v>61</v>
          </cell>
          <cell r="N4101">
            <v>0</v>
          </cell>
          <cell r="Q4101" t="str">
            <v>2016_06</v>
          </cell>
        </row>
        <row r="4102">
          <cell r="J4102">
            <v>61</v>
          </cell>
          <cell r="K4102">
            <v>61</v>
          </cell>
          <cell r="N4102">
            <v>0</v>
          </cell>
          <cell r="Q4102" t="str">
            <v>2016_07</v>
          </cell>
        </row>
        <row r="4103">
          <cell r="J4103">
            <v>61</v>
          </cell>
          <cell r="K4103">
            <v>61</v>
          </cell>
          <cell r="N4103">
            <v>0</v>
          </cell>
          <cell r="Q4103" t="str">
            <v>2016_08</v>
          </cell>
        </row>
        <row r="4104">
          <cell r="J4104">
            <v>61</v>
          </cell>
          <cell r="K4104">
            <v>61</v>
          </cell>
          <cell r="N4104">
            <v>0</v>
          </cell>
          <cell r="Q4104" t="str">
            <v>2016_09</v>
          </cell>
        </row>
        <row r="4105">
          <cell r="J4105">
            <v>65</v>
          </cell>
          <cell r="K4105">
            <v>65</v>
          </cell>
          <cell r="N4105">
            <v>17986.990000000002</v>
          </cell>
          <cell r="Q4105" t="str">
            <v>2015_10</v>
          </cell>
        </row>
        <row r="4106">
          <cell r="J4106">
            <v>65</v>
          </cell>
          <cell r="K4106">
            <v>65</v>
          </cell>
          <cell r="N4106">
            <v>17094.71</v>
          </cell>
          <cell r="Q4106" t="str">
            <v>2015_11</v>
          </cell>
        </row>
        <row r="4107">
          <cell r="J4107">
            <v>65</v>
          </cell>
          <cell r="K4107">
            <v>65</v>
          </cell>
          <cell r="N4107">
            <v>18218.09</v>
          </cell>
          <cell r="Q4107" t="str">
            <v>2015_12</v>
          </cell>
        </row>
        <row r="4108">
          <cell r="J4108">
            <v>65</v>
          </cell>
          <cell r="K4108">
            <v>65</v>
          </cell>
          <cell r="N4108">
            <v>17383.580000000002</v>
          </cell>
          <cell r="Q4108" t="str">
            <v>2016_01</v>
          </cell>
        </row>
        <row r="4109">
          <cell r="J4109">
            <v>65</v>
          </cell>
          <cell r="K4109">
            <v>65</v>
          </cell>
          <cell r="N4109">
            <v>20000</v>
          </cell>
          <cell r="Q4109" t="str">
            <v>2016_02</v>
          </cell>
        </row>
        <row r="4110">
          <cell r="J4110">
            <v>65</v>
          </cell>
          <cell r="K4110">
            <v>65</v>
          </cell>
          <cell r="N4110">
            <v>20077.560000000001</v>
          </cell>
          <cell r="Q4110" t="str">
            <v>2016_03</v>
          </cell>
        </row>
        <row r="4111">
          <cell r="J4111">
            <v>65</v>
          </cell>
          <cell r="K4111">
            <v>65</v>
          </cell>
          <cell r="N4111">
            <v>24188.799999999999</v>
          </cell>
          <cell r="Q4111" t="str">
            <v>2016_04</v>
          </cell>
        </row>
        <row r="4112">
          <cell r="J4112">
            <v>65</v>
          </cell>
          <cell r="K4112">
            <v>65</v>
          </cell>
          <cell r="N4112">
            <v>24468.2</v>
          </cell>
          <cell r="Q4112" t="str">
            <v>2016_05</v>
          </cell>
        </row>
        <row r="4113">
          <cell r="J4113">
            <v>65</v>
          </cell>
          <cell r="K4113">
            <v>65</v>
          </cell>
          <cell r="N4113">
            <v>25213.34</v>
          </cell>
          <cell r="Q4113" t="str">
            <v>2016_06</v>
          </cell>
        </row>
        <row r="4114">
          <cell r="J4114">
            <v>65</v>
          </cell>
          <cell r="K4114">
            <v>65</v>
          </cell>
          <cell r="N4114">
            <v>25344.54</v>
          </cell>
          <cell r="Q4114" t="str">
            <v>2016_07</v>
          </cell>
        </row>
        <row r="4115">
          <cell r="J4115">
            <v>65</v>
          </cell>
          <cell r="K4115">
            <v>65</v>
          </cell>
          <cell r="N4115">
            <v>27896.48</v>
          </cell>
          <cell r="Q4115" t="str">
            <v>2016_08</v>
          </cell>
        </row>
        <row r="4116">
          <cell r="J4116">
            <v>65</v>
          </cell>
          <cell r="K4116">
            <v>65</v>
          </cell>
          <cell r="N4116">
            <v>26928.51</v>
          </cell>
          <cell r="Q4116" t="str">
            <v>2016_09</v>
          </cell>
        </row>
        <row r="4117">
          <cell r="J4117">
            <v>58</v>
          </cell>
          <cell r="K4117">
            <v>58</v>
          </cell>
          <cell r="N4117">
            <v>608.16</v>
          </cell>
          <cell r="Q4117" t="str">
            <v>2015_10</v>
          </cell>
        </row>
        <row r="4118">
          <cell r="J4118">
            <v>58</v>
          </cell>
          <cell r="K4118">
            <v>58</v>
          </cell>
          <cell r="N4118">
            <v>228.06</v>
          </cell>
          <cell r="Q4118" t="str">
            <v>2015_11</v>
          </cell>
        </row>
        <row r="4119">
          <cell r="J4119">
            <v>58</v>
          </cell>
          <cell r="K4119">
            <v>58</v>
          </cell>
          <cell r="N4119">
            <v>494.13</v>
          </cell>
          <cell r="Q4119" t="str">
            <v>2015_12</v>
          </cell>
        </row>
        <row r="4120">
          <cell r="J4120">
            <v>58</v>
          </cell>
          <cell r="K4120">
            <v>58</v>
          </cell>
          <cell r="N4120">
            <v>608.16</v>
          </cell>
          <cell r="Q4120" t="str">
            <v>2016_01</v>
          </cell>
        </row>
        <row r="4121">
          <cell r="J4121">
            <v>58</v>
          </cell>
          <cell r="K4121">
            <v>58</v>
          </cell>
          <cell r="N4121">
            <v>532.14</v>
          </cell>
          <cell r="Q4121" t="str">
            <v>2016_02</v>
          </cell>
        </row>
        <row r="4122">
          <cell r="J4122">
            <v>58</v>
          </cell>
          <cell r="K4122">
            <v>58</v>
          </cell>
          <cell r="N4122">
            <v>228.06</v>
          </cell>
          <cell r="Q4122" t="str">
            <v>2016_03</v>
          </cell>
        </row>
        <row r="4123">
          <cell r="J4123">
            <v>58</v>
          </cell>
          <cell r="K4123">
            <v>58</v>
          </cell>
          <cell r="N4123">
            <v>532.14</v>
          </cell>
          <cell r="Q4123" t="str">
            <v>2016_04</v>
          </cell>
        </row>
        <row r="4124">
          <cell r="J4124">
            <v>58</v>
          </cell>
          <cell r="K4124">
            <v>58</v>
          </cell>
          <cell r="N4124">
            <v>760.2</v>
          </cell>
          <cell r="Q4124" t="str">
            <v>2016_05</v>
          </cell>
        </row>
        <row r="4125">
          <cell r="J4125">
            <v>58</v>
          </cell>
          <cell r="K4125">
            <v>58</v>
          </cell>
          <cell r="N4125">
            <v>380.1</v>
          </cell>
          <cell r="Q4125" t="str">
            <v>2016_06</v>
          </cell>
        </row>
        <row r="4126">
          <cell r="J4126">
            <v>58</v>
          </cell>
          <cell r="K4126">
            <v>58</v>
          </cell>
          <cell r="N4126">
            <v>152.04</v>
          </cell>
          <cell r="Q4126" t="str">
            <v>2016_07</v>
          </cell>
        </row>
        <row r="4127">
          <cell r="J4127">
            <v>58</v>
          </cell>
          <cell r="K4127">
            <v>58</v>
          </cell>
          <cell r="N4127">
            <v>152.04</v>
          </cell>
          <cell r="Q4127" t="str">
            <v>2016_08</v>
          </cell>
        </row>
        <row r="4128">
          <cell r="J4128">
            <v>58</v>
          </cell>
          <cell r="K4128">
            <v>58</v>
          </cell>
          <cell r="N4128">
            <v>114.03</v>
          </cell>
          <cell r="Q4128" t="str">
            <v>2016_09</v>
          </cell>
        </row>
        <row r="4129">
          <cell r="J4129">
            <v>43</v>
          </cell>
          <cell r="K4129">
            <v>43</v>
          </cell>
          <cell r="N4129">
            <v>0</v>
          </cell>
          <cell r="Q4129" t="str">
            <v>2015_10</v>
          </cell>
        </row>
        <row r="4130">
          <cell r="J4130">
            <v>43</v>
          </cell>
          <cell r="K4130">
            <v>43</v>
          </cell>
          <cell r="N4130">
            <v>0</v>
          </cell>
          <cell r="Q4130" t="str">
            <v>2015_11</v>
          </cell>
        </row>
        <row r="4131">
          <cell r="J4131">
            <v>43</v>
          </cell>
          <cell r="K4131">
            <v>43</v>
          </cell>
          <cell r="N4131">
            <v>0</v>
          </cell>
          <cell r="Q4131" t="str">
            <v>2015_12</v>
          </cell>
        </row>
        <row r="4132">
          <cell r="J4132">
            <v>43</v>
          </cell>
          <cell r="K4132">
            <v>43</v>
          </cell>
          <cell r="N4132">
            <v>1384.35</v>
          </cell>
          <cell r="Q4132" t="str">
            <v>2015_10</v>
          </cell>
        </row>
        <row r="4133">
          <cell r="J4133">
            <v>43</v>
          </cell>
          <cell r="K4133">
            <v>43</v>
          </cell>
          <cell r="N4133">
            <v>1384.35</v>
          </cell>
          <cell r="Q4133" t="str">
            <v>2015_11</v>
          </cell>
        </row>
        <row r="4134">
          <cell r="J4134">
            <v>43</v>
          </cell>
          <cell r="K4134">
            <v>43</v>
          </cell>
          <cell r="N4134">
            <v>2925.92</v>
          </cell>
          <cell r="Q4134" t="str">
            <v>2015_12</v>
          </cell>
        </row>
        <row r="4135">
          <cell r="J4135">
            <v>43</v>
          </cell>
          <cell r="K4135">
            <v>43</v>
          </cell>
          <cell r="N4135">
            <v>2168.1999999999998</v>
          </cell>
          <cell r="Q4135" t="str">
            <v>2016_01</v>
          </cell>
        </row>
        <row r="4136">
          <cell r="J4136">
            <v>43</v>
          </cell>
          <cell r="K4136">
            <v>43</v>
          </cell>
          <cell r="N4136">
            <v>2168.1999999999998</v>
          </cell>
          <cell r="Q4136" t="str">
            <v>2016_02</v>
          </cell>
        </row>
        <row r="4137">
          <cell r="J4137">
            <v>43</v>
          </cell>
          <cell r="K4137">
            <v>43</v>
          </cell>
          <cell r="N4137">
            <v>2168.1999999999998</v>
          </cell>
          <cell r="Q4137" t="str">
            <v>2016_03</v>
          </cell>
        </row>
        <row r="4138">
          <cell r="J4138">
            <v>43</v>
          </cell>
          <cell r="K4138">
            <v>43</v>
          </cell>
          <cell r="N4138">
            <v>2168.1999999999998</v>
          </cell>
          <cell r="Q4138" t="str">
            <v>2016_04</v>
          </cell>
        </row>
        <row r="4139">
          <cell r="J4139">
            <v>43</v>
          </cell>
          <cell r="K4139">
            <v>43</v>
          </cell>
          <cell r="N4139">
            <v>2168.1999999999998</v>
          </cell>
          <cell r="Q4139" t="str">
            <v>2016_05</v>
          </cell>
        </row>
        <row r="4140">
          <cell r="J4140">
            <v>43</v>
          </cell>
          <cell r="K4140">
            <v>43</v>
          </cell>
          <cell r="N4140">
            <v>2168.1999999999998</v>
          </cell>
          <cell r="Q4140" t="str">
            <v>2016_06</v>
          </cell>
        </row>
        <row r="4141">
          <cell r="J4141">
            <v>43</v>
          </cell>
          <cell r="K4141">
            <v>43</v>
          </cell>
          <cell r="N4141">
            <v>2168.1999999999998</v>
          </cell>
          <cell r="Q4141" t="str">
            <v>2016_07</v>
          </cell>
        </row>
        <row r="4142">
          <cell r="J4142">
            <v>43</v>
          </cell>
          <cell r="K4142">
            <v>43</v>
          </cell>
          <cell r="N4142">
            <v>2168.1999999999998</v>
          </cell>
          <cell r="Q4142" t="str">
            <v>2016_08</v>
          </cell>
        </row>
        <row r="4143">
          <cell r="J4143">
            <v>43</v>
          </cell>
          <cell r="K4143">
            <v>43</v>
          </cell>
          <cell r="N4143">
            <v>2168.1999999999998</v>
          </cell>
          <cell r="Q4143" t="str">
            <v>2016_09</v>
          </cell>
        </row>
        <row r="4144">
          <cell r="J4144">
            <v>43</v>
          </cell>
          <cell r="K4144">
            <v>43</v>
          </cell>
          <cell r="N4144">
            <v>30433.88</v>
          </cell>
          <cell r="Q4144" t="str">
            <v>2015_10</v>
          </cell>
        </row>
        <row r="4145">
          <cell r="J4145">
            <v>43</v>
          </cell>
          <cell r="K4145">
            <v>43</v>
          </cell>
          <cell r="N4145">
            <v>30433.88</v>
          </cell>
          <cell r="Q4145" t="str">
            <v>2015_11</v>
          </cell>
        </row>
        <row r="4146">
          <cell r="J4146">
            <v>43</v>
          </cell>
          <cell r="K4146">
            <v>43</v>
          </cell>
          <cell r="N4146">
            <v>30433.81</v>
          </cell>
          <cell r="Q4146" t="str">
            <v>2015_12</v>
          </cell>
        </row>
        <row r="4147">
          <cell r="J4147">
            <v>43</v>
          </cell>
          <cell r="K4147">
            <v>43</v>
          </cell>
          <cell r="N4147">
            <v>30433.88</v>
          </cell>
          <cell r="Q4147" t="str">
            <v>2016_01</v>
          </cell>
        </row>
        <row r="4148">
          <cell r="J4148">
            <v>43</v>
          </cell>
          <cell r="K4148">
            <v>43</v>
          </cell>
          <cell r="N4148">
            <v>30433.88</v>
          </cell>
          <cell r="Q4148" t="str">
            <v>2016_02</v>
          </cell>
        </row>
        <row r="4149">
          <cell r="J4149">
            <v>43</v>
          </cell>
          <cell r="K4149">
            <v>43</v>
          </cell>
          <cell r="N4149">
            <v>30433.88</v>
          </cell>
          <cell r="Q4149" t="str">
            <v>2016_03</v>
          </cell>
        </row>
        <row r="4150">
          <cell r="J4150">
            <v>43</v>
          </cell>
          <cell r="K4150">
            <v>43</v>
          </cell>
          <cell r="N4150">
            <v>30433.88</v>
          </cell>
          <cell r="Q4150" t="str">
            <v>2016_04</v>
          </cell>
        </row>
        <row r="4151">
          <cell r="J4151">
            <v>43</v>
          </cell>
          <cell r="K4151">
            <v>43</v>
          </cell>
          <cell r="N4151">
            <v>30433.88</v>
          </cell>
          <cell r="Q4151" t="str">
            <v>2016_05</v>
          </cell>
        </row>
        <row r="4152">
          <cell r="J4152">
            <v>43</v>
          </cell>
          <cell r="K4152">
            <v>43</v>
          </cell>
          <cell r="N4152">
            <v>30433.89</v>
          </cell>
          <cell r="Q4152" t="str">
            <v>2016_06</v>
          </cell>
        </row>
        <row r="4153">
          <cell r="J4153">
            <v>43</v>
          </cell>
          <cell r="K4153">
            <v>43</v>
          </cell>
          <cell r="N4153">
            <v>30433.89</v>
          </cell>
          <cell r="Q4153" t="str">
            <v>2016_07</v>
          </cell>
        </row>
        <row r="4154">
          <cell r="J4154">
            <v>43</v>
          </cell>
          <cell r="K4154">
            <v>43</v>
          </cell>
          <cell r="N4154">
            <v>30433.89</v>
          </cell>
          <cell r="Q4154" t="str">
            <v>2016_08</v>
          </cell>
        </row>
        <row r="4155">
          <cell r="J4155">
            <v>43</v>
          </cell>
          <cell r="K4155">
            <v>43</v>
          </cell>
          <cell r="N4155">
            <v>29121.64</v>
          </cell>
          <cell r="Q4155" t="str">
            <v>2016_09</v>
          </cell>
        </row>
        <row r="4156">
          <cell r="J4156">
            <v>43</v>
          </cell>
          <cell r="K4156">
            <v>43</v>
          </cell>
          <cell r="N4156">
            <v>10292.75</v>
          </cell>
          <cell r="Q4156" t="str">
            <v>2015_10</v>
          </cell>
        </row>
        <row r="4157">
          <cell r="J4157">
            <v>43</v>
          </cell>
          <cell r="K4157">
            <v>43</v>
          </cell>
          <cell r="N4157">
            <v>10292.75</v>
          </cell>
          <cell r="Q4157" t="str">
            <v>2015_11</v>
          </cell>
        </row>
        <row r="4158">
          <cell r="J4158">
            <v>43</v>
          </cell>
          <cell r="K4158">
            <v>43</v>
          </cell>
          <cell r="N4158">
            <v>10292.629999999999</v>
          </cell>
          <cell r="Q4158" t="str">
            <v>2015_12</v>
          </cell>
        </row>
        <row r="4159">
          <cell r="J4159">
            <v>43</v>
          </cell>
          <cell r="K4159">
            <v>43</v>
          </cell>
          <cell r="N4159">
            <v>10292.75</v>
          </cell>
          <cell r="Q4159" t="str">
            <v>2016_01</v>
          </cell>
        </row>
        <row r="4160">
          <cell r="J4160">
            <v>43</v>
          </cell>
          <cell r="K4160">
            <v>43</v>
          </cell>
          <cell r="N4160">
            <v>10292.75</v>
          </cell>
          <cell r="Q4160" t="str">
            <v>2016_02</v>
          </cell>
        </row>
        <row r="4161">
          <cell r="J4161">
            <v>43</v>
          </cell>
          <cell r="K4161">
            <v>43</v>
          </cell>
          <cell r="N4161">
            <v>10292.75</v>
          </cell>
          <cell r="Q4161" t="str">
            <v>2016_03</v>
          </cell>
        </row>
        <row r="4162">
          <cell r="J4162">
            <v>43</v>
          </cell>
          <cell r="K4162">
            <v>43</v>
          </cell>
          <cell r="N4162">
            <v>10292.75</v>
          </cell>
          <cell r="Q4162" t="str">
            <v>2016_04</v>
          </cell>
        </row>
        <row r="4163">
          <cell r="J4163">
            <v>43</v>
          </cell>
          <cell r="K4163">
            <v>43</v>
          </cell>
          <cell r="N4163">
            <v>10292.75</v>
          </cell>
          <cell r="Q4163" t="str">
            <v>2016_05</v>
          </cell>
        </row>
        <row r="4164">
          <cell r="J4164">
            <v>43</v>
          </cell>
          <cell r="K4164">
            <v>43</v>
          </cell>
          <cell r="N4164">
            <v>10292.75</v>
          </cell>
          <cell r="Q4164" t="str">
            <v>2016_06</v>
          </cell>
        </row>
        <row r="4165">
          <cell r="J4165">
            <v>43</v>
          </cell>
          <cell r="K4165">
            <v>43</v>
          </cell>
          <cell r="N4165">
            <v>10292.75</v>
          </cell>
          <cell r="Q4165" t="str">
            <v>2016_07</v>
          </cell>
        </row>
        <row r="4166">
          <cell r="J4166">
            <v>43</v>
          </cell>
          <cell r="K4166">
            <v>43</v>
          </cell>
          <cell r="N4166">
            <v>14987.94</v>
          </cell>
          <cell r="Q4166" t="str">
            <v>2016_08</v>
          </cell>
        </row>
        <row r="4167">
          <cell r="J4167">
            <v>43</v>
          </cell>
          <cell r="K4167">
            <v>43</v>
          </cell>
          <cell r="N4167">
            <v>19683.13</v>
          </cell>
          <cell r="Q4167" t="str">
            <v>2016_09</v>
          </cell>
        </row>
        <row r="4168">
          <cell r="J4168">
            <v>43</v>
          </cell>
          <cell r="K4168">
            <v>43</v>
          </cell>
          <cell r="N4168">
            <v>6288.93</v>
          </cell>
          <cell r="Q4168" t="str">
            <v>2015_10</v>
          </cell>
        </row>
        <row r="4169">
          <cell r="J4169">
            <v>43</v>
          </cell>
          <cell r="K4169">
            <v>43</v>
          </cell>
          <cell r="N4169">
            <v>6288.93</v>
          </cell>
          <cell r="Q4169" t="str">
            <v>2015_11</v>
          </cell>
        </row>
        <row r="4170">
          <cell r="J4170">
            <v>43</v>
          </cell>
          <cell r="K4170">
            <v>43</v>
          </cell>
          <cell r="N4170">
            <v>6288.89</v>
          </cell>
          <cell r="Q4170" t="str">
            <v>2015_12</v>
          </cell>
        </row>
        <row r="4171">
          <cell r="J4171">
            <v>43</v>
          </cell>
          <cell r="K4171">
            <v>43</v>
          </cell>
          <cell r="N4171">
            <v>9438.1</v>
          </cell>
          <cell r="Q4171" t="str">
            <v>2016_01</v>
          </cell>
        </row>
        <row r="4172">
          <cell r="J4172">
            <v>43</v>
          </cell>
          <cell r="K4172">
            <v>43</v>
          </cell>
          <cell r="N4172">
            <v>12573.13</v>
          </cell>
          <cell r="Q4172" t="str">
            <v>2016_02</v>
          </cell>
        </row>
        <row r="4173">
          <cell r="J4173">
            <v>43</v>
          </cell>
          <cell r="K4173">
            <v>43</v>
          </cell>
          <cell r="N4173">
            <v>12573.13</v>
          </cell>
          <cell r="Q4173" t="str">
            <v>2016_03</v>
          </cell>
        </row>
        <row r="4174">
          <cell r="J4174">
            <v>43</v>
          </cell>
          <cell r="K4174">
            <v>43</v>
          </cell>
          <cell r="N4174">
            <v>12573.13</v>
          </cell>
          <cell r="Q4174" t="str">
            <v>2016_04</v>
          </cell>
        </row>
        <row r="4175">
          <cell r="J4175">
            <v>43</v>
          </cell>
          <cell r="K4175">
            <v>43</v>
          </cell>
          <cell r="N4175">
            <v>12573.13</v>
          </cell>
          <cell r="Q4175" t="str">
            <v>2016_05</v>
          </cell>
        </row>
        <row r="4176">
          <cell r="J4176">
            <v>43</v>
          </cell>
          <cell r="K4176">
            <v>43</v>
          </cell>
          <cell r="N4176">
            <v>12573.14</v>
          </cell>
          <cell r="Q4176" t="str">
            <v>2016_06</v>
          </cell>
        </row>
        <row r="4177">
          <cell r="J4177">
            <v>43</v>
          </cell>
          <cell r="K4177">
            <v>43</v>
          </cell>
          <cell r="N4177">
            <v>12573.14</v>
          </cell>
          <cell r="Q4177" t="str">
            <v>2016_07</v>
          </cell>
        </row>
        <row r="4178">
          <cell r="J4178">
            <v>43</v>
          </cell>
          <cell r="K4178">
            <v>43</v>
          </cell>
          <cell r="N4178">
            <v>12573.14</v>
          </cell>
          <cell r="Q4178" t="str">
            <v>2016_08</v>
          </cell>
        </row>
        <row r="4179">
          <cell r="J4179">
            <v>43</v>
          </cell>
          <cell r="K4179">
            <v>43</v>
          </cell>
          <cell r="N4179">
            <v>12573.14</v>
          </cell>
          <cell r="Q4179" t="str">
            <v>2016_09</v>
          </cell>
        </row>
        <row r="4180">
          <cell r="J4180">
            <v>42</v>
          </cell>
          <cell r="K4180">
            <v>42</v>
          </cell>
          <cell r="N4180">
            <v>5824.34</v>
          </cell>
          <cell r="Q4180" t="str">
            <v>2015_10</v>
          </cell>
        </row>
        <row r="4181">
          <cell r="J4181">
            <v>42</v>
          </cell>
          <cell r="K4181">
            <v>42</v>
          </cell>
          <cell r="N4181">
            <v>6076.6</v>
          </cell>
          <cell r="Q4181" t="str">
            <v>2015_11</v>
          </cell>
        </row>
        <row r="4182">
          <cell r="J4182">
            <v>42</v>
          </cell>
          <cell r="K4182">
            <v>42</v>
          </cell>
          <cell r="N4182">
            <v>5943.05</v>
          </cell>
          <cell r="Q4182" t="str">
            <v>2015_12</v>
          </cell>
        </row>
        <row r="4183">
          <cell r="J4183">
            <v>42</v>
          </cell>
          <cell r="K4183">
            <v>42</v>
          </cell>
          <cell r="N4183">
            <v>6074.84</v>
          </cell>
          <cell r="Q4183" t="str">
            <v>2016_01</v>
          </cell>
        </row>
        <row r="4184">
          <cell r="J4184">
            <v>42</v>
          </cell>
          <cell r="K4184">
            <v>42</v>
          </cell>
          <cell r="N4184">
            <v>6130.31</v>
          </cell>
          <cell r="Q4184" t="str">
            <v>2016_02</v>
          </cell>
        </row>
        <row r="4185">
          <cell r="J4185">
            <v>42</v>
          </cell>
          <cell r="K4185">
            <v>42</v>
          </cell>
          <cell r="N4185">
            <v>6228.34</v>
          </cell>
          <cell r="Q4185" t="str">
            <v>2016_03</v>
          </cell>
        </row>
        <row r="4186">
          <cell r="J4186">
            <v>42</v>
          </cell>
          <cell r="K4186">
            <v>42</v>
          </cell>
          <cell r="N4186">
            <v>6228.34</v>
          </cell>
          <cell r="Q4186" t="str">
            <v>2016_04</v>
          </cell>
        </row>
        <row r="4187">
          <cell r="J4187">
            <v>42</v>
          </cell>
          <cell r="K4187">
            <v>42</v>
          </cell>
          <cell r="N4187">
            <v>6392.67</v>
          </cell>
          <cell r="Q4187" t="str">
            <v>2016_05</v>
          </cell>
        </row>
        <row r="4188">
          <cell r="J4188">
            <v>42</v>
          </cell>
          <cell r="K4188">
            <v>42</v>
          </cell>
          <cell r="N4188">
            <v>6427.1</v>
          </cell>
          <cell r="Q4188" t="str">
            <v>2016_06</v>
          </cell>
        </row>
        <row r="4189">
          <cell r="J4189">
            <v>42</v>
          </cell>
          <cell r="K4189">
            <v>42</v>
          </cell>
          <cell r="N4189">
            <v>3905.78</v>
          </cell>
          <cell r="Q4189" t="str">
            <v>2016_07</v>
          </cell>
        </row>
        <row r="4190">
          <cell r="J4190">
            <v>42</v>
          </cell>
          <cell r="K4190">
            <v>42</v>
          </cell>
          <cell r="N4190">
            <v>3906.75</v>
          </cell>
          <cell r="Q4190" t="str">
            <v>2016_08</v>
          </cell>
        </row>
        <row r="4191">
          <cell r="J4191">
            <v>42</v>
          </cell>
          <cell r="K4191">
            <v>42</v>
          </cell>
          <cell r="N4191">
            <v>3906.07</v>
          </cell>
          <cell r="Q4191" t="str">
            <v>2016_09</v>
          </cell>
        </row>
        <row r="4192">
          <cell r="J4192">
            <v>47</v>
          </cell>
          <cell r="K4192">
            <v>47</v>
          </cell>
          <cell r="N4192">
            <v>5033.5</v>
          </cell>
          <cell r="Q4192" t="str">
            <v>2015_10</v>
          </cell>
        </row>
        <row r="4193">
          <cell r="J4193">
            <v>47</v>
          </cell>
          <cell r="K4193">
            <v>47</v>
          </cell>
          <cell r="N4193">
            <v>781</v>
          </cell>
          <cell r="Q4193" t="str">
            <v>2015_11</v>
          </cell>
        </row>
        <row r="4194">
          <cell r="J4194">
            <v>47</v>
          </cell>
          <cell r="K4194">
            <v>47</v>
          </cell>
          <cell r="N4194">
            <v>2426</v>
          </cell>
          <cell r="Q4194" t="str">
            <v>2015_12</v>
          </cell>
        </row>
        <row r="4195">
          <cell r="J4195">
            <v>47</v>
          </cell>
          <cell r="K4195">
            <v>47</v>
          </cell>
          <cell r="N4195">
            <v>6189.75</v>
          </cell>
          <cell r="Q4195" t="str">
            <v>2016_01</v>
          </cell>
        </row>
        <row r="4196">
          <cell r="J4196">
            <v>47</v>
          </cell>
          <cell r="K4196">
            <v>47</v>
          </cell>
          <cell r="N4196">
            <v>2868.25</v>
          </cell>
          <cell r="Q4196" t="str">
            <v>2016_02</v>
          </cell>
        </row>
        <row r="4197">
          <cell r="J4197">
            <v>47</v>
          </cell>
          <cell r="K4197">
            <v>47</v>
          </cell>
          <cell r="N4197">
            <v>0</v>
          </cell>
          <cell r="Q4197" t="str">
            <v>2016_03</v>
          </cell>
        </row>
        <row r="4198">
          <cell r="J4198">
            <v>47</v>
          </cell>
          <cell r="K4198">
            <v>47</v>
          </cell>
          <cell r="N4198">
            <v>3528</v>
          </cell>
          <cell r="Q4198" t="str">
            <v>2016_04</v>
          </cell>
        </row>
        <row r="4199">
          <cell r="J4199">
            <v>47</v>
          </cell>
          <cell r="K4199">
            <v>47</v>
          </cell>
          <cell r="N4199">
            <v>7874</v>
          </cell>
          <cell r="Q4199" t="str">
            <v>2016_05</v>
          </cell>
        </row>
        <row r="4200">
          <cell r="J4200">
            <v>47</v>
          </cell>
          <cell r="K4200">
            <v>47</v>
          </cell>
          <cell r="N4200">
            <v>2870</v>
          </cell>
          <cell r="Q4200" t="str">
            <v>2016_06</v>
          </cell>
        </row>
        <row r="4201">
          <cell r="J4201">
            <v>47</v>
          </cell>
          <cell r="K4201">
            <v>47</v>
          </cell>
          <cell r="N4201">
            <v>1006</v>
          </cell>
          <cell r="Q4201" t="str">
            <v>2016_07</v>
          </cell>
        </row>
        <row r="4202">
          <cell r="J4202">
            <v>47</v>
          </cell>
          <cell r="K4202">
            <v>47</v>
          </cell>
          <cell r="N4202">
            <v>8144</v>
          </cell>
          <cell r="Q4202" t="str">
            <v>2016_08</v>
          </cell>
        </row>
        <row r="4203">
          <cell r="J4203">
            <v>47</v>
          </cell>
          <cell r="K4203">
            <v>47</v>
          </cell>
          <cell r="N4203">
            <v>3328.24</v>
          </cell>
          <cell r="Q4203" t="str">
            <v>2016_09</v>
          </cell>
        </row>
        <row r="4204">
          <cell r="J4204">
            <v>45</v>
          </cell>
          <cell r="K4204">
            <v>45</v>
          </cell>
          <cell r="N4204">
            <v>3900</v>
          </cell>
          <cell r="Q4204" t="str">
            <v>2015_10</v>
          </cell>
        </row>
        <row r="4205">
          <cell r="J4205">
            <v>45</v>
          </cell>
          <cell r="K4205">
            <v>45</v>
          </cell>
          <cell r="N4205">
            <v>3900</v>
          </cell>
          <cell r="Q4205" t="str">
            <v>2015_11</v>
          </cell>
        </row>
        <row r="4206">
          <cell r="J4206">
            <v>45</v>
          </cell>
          <cell r="K4206">
            <v>45</v>
          </cell>
          <cell r="N4206">
            <v>3900</v>
          </cell>
          <cell r="Q4206" t="str">
            <v>2015_12</v>
          </cell>
        </row>
        <row r="4207">
          <cell r="J4207">
            <v>45</v>
          </cell>
          <cell r="K4207">
            <v>45</v>
          </cell>
          <cell r="N4207">
            <v>3900</v>
          </cell>
          <cell r="Q4207" t="str">
            <v>2016_01</v>
          </cell>
        </row>
        <row r="4208">
          <cell r="J4208">
            <v>45</v>
          </cell>
          <cell r="K4208">
            <v>45</v>
          </cell>
          <cell r="N4208">
            <v>3900</v>
          </cell>
          <cell r="Q4208" t="str">
            <v>2016_02</v>
          </cell>
        </row>
        <row r="4209">
          <cell r="J4209">
            <v>45</v>
          </cell>
          <cell r="K4209">
            <v>45</v>
          </cell>
          <cell r="N4209">
            <v>3900</v>
          </cell>
          <cell r="Q4209" t="str">
            <v>2016_03</v>
          </cell>
        </row>
        <row r="4210">
          <cell r="J4210">
            <v>45</v>
          </cell>
          <cell r="K4210">
            <v>45</v>
          </cell>
          <cell r="N4210">
            <v>3900</v>
          </cell>
          <cell r="Q4210" t="str">
            <v>2016_04</v>
          </cell>
        </row>
        <row r="4211">
          <cell r="J4211">
            <v>45</v>
          </cell>
          <cell r="K4211">
            <v>45</v>
          </cell>
          <cell r="N4211">
            <v>3900</v>
          </cell>
          <cell r="Q4211" t="str">
            <v>2016_05</v>
          </cell>
        </row>
        <row r="4212">
          <cell r="J4212">
            <v>45</v>
          </cell>
          <cell r="K4212">
            <v>45</v>
          </cell>
          <cell r="N4212">
            <v>3900</v>
          </cell>
          <cell r="Q4212" t="str">
            <v>2016_06</v>
          </cell>
        </row>
        <row r="4213">
          <cell r="J4213">
            <v>45</v>
          </cell>
          <cell r="K4213">
            <v>45</v>
          </cell>
          <cell r="N4213">
            <v>3900</v>
          </cell>
          <cell r="Q4213" t="str">
            <v>2016_07</v>
          </cell>
        </row>
        <row r="4214">
          <cell r="J4214">
            <v>45</v>
          </cell>
          <cell r="K4214">
            <v>45</v>
          </cell>
          <cell r="N4214">
            <v>3900</v>
          </cell>
          <cell r="Q4214" t="str">
            <v>2016_08</v>
          </cell>
        </row>
        <row r="4215">
          <cell r="J4215">
            <v>45</v>
          </cell>
          <cell r="K4215">
            <v>45</v>
          </cell>
          <cell r="N4215">
            <v>3900</v>
          </cell>
          <cell r="Q4215" t="str">
            <v>2016_09</v>
          </cell>
        </row>
        <row r="4216">
          <cell r="J4216">
            <v>70</v>
          </cell>
          <cell r="K4216">
            <v>70</v>
          </cell>
          <cell r="N4216">
            <v>1918.26</v>
          </cell>
          <cell r="Q4216" t="str">
            <v>2015_10</v>
          </cell>
        </row>
        <row r="4217">
          <cell r="J4217">
            <v>70</v>
          </cell>
          <cell r="K4217">
            <v>70</v>
          </cell>
          <cell r="N4217">
            <v>569.33000000000004</v>
          </cell>
          <cell r="Q4217" t="str">
            <v>2015_11</v>
          </cell>
        </row>
        <row r="4218">
          <cell r="J4218">
            <v>70</v>
          </cell>
          <cell r="K4218">
            <v>70</v>
          </cell>
          <cell r="N4218">
            <v>173.36</v>
          </cell>
          <cell r="Q4218" t="str">
            <v>2015_12</v>
          </cell>
        </row>
        <row r="4219">
          <cell r="J4219">
            <v>70</v>
          </cell>
          <cell r="K4219">
            <v>70</v>
          </cell>
          <cell r="N4219">
            <v>729.18</v>
          </cell>
          <cell r="Q4219" t="str">
            <v>2016_01</v>
          </cell>
        </row>
        <row r="4220">
          <cell r="J4220">
            <v>70</v>
          </cell>
          <cell r="K4220">
            <v>70</v>
          </cell>
          <cell r="N4220">
            <v>9490.0400000000009</v>
          </cell>
          <cell r="Q4220" t="str">
            <v>2016_02</v>
          </cell>
        </row>
        <row r="4221">
          <cell r="J4221">
            <v>70</v>
          </cell>
          <cell r="K4221">
            <v>70</v>
          </cell>
          <cell r="N4221">
            <v>1214.73</v>
          </cell>
          <cell r="Q4221" t="str">
            <v>2016_03</v>
          </cell>
        </row>
        <row r="4222">
          <cell r="J4222">
            <v>70</v>
          </cell>
          <cell r="K4222">
            <v>70</v>
          </cell>
          <cell r="N4222">
            <v>759.11</v>
          </cell>
          <cell r="Q4222" t="str">
            <v>2016_04</v>
          </cell>
        </row>
        <row r="4223">
          <cell r="J4223">
            <v>70</v>
          </cell>
          <cell r="K4223">
            <v>70</v>
          </cell>
          <cell r="N4223">
            <v>2170.77</v>
          </cell>
          <cell r="Q4223" t="str">
            <v>2016_05</v>
          </cell>
        </row>
        <row r="4224">
          <cell r="J4224">
            <v>70</v>
          </cell>
          <cell r="K4224">
            <v>70</v>
          </cell>
          <cell r="N4224">
            <v>4892.3599999999997</v>
          </cell>
          <cell r="Q4224" t="str">
            <v>2016_06</v>
          </cell>
        </row>
        <row r="4225">
          <cell r="J4225">
            <v>70</v>
          </cell>
          <cell r="K4225">
            <v>70</v>
          </cell>
          <cell r="N4225">
            <v>0</v>
          </cell>
          <cell r="Q4225" t="str">
            <v>2016_07</v>
          </cell>
        </row>
        <row r="4226">
          <cell r="J4226">
            <v>70</v>
          </cell>
          <cell r="K4226">
            <v>70</v>
          </cell>
          <cell r="N4226">
            <v>2475.6799999999998</v>
          </cell>
          <cell r="Q4226" t="str">
            <v>2016_08</v>
          </cell>
        </row>
        <row r="4227">
          <cell r="J4227">
            <v>70</v>
          </cell>
          <cell r="K4227">
            <v>70</v>
          </cell>
          <cell r="N4227">
            <v>1036.82</v>
          </cell>
          <cell r="Q4227" t="str">
            <v>2016_09</v>
          </cell>
        </row>
        <row r="4228">
          <cell r="J4228">
            <v>67</v>
          </cell>
          <cell r="K4228">
            <v>67</v>
          </cell>
          <cell r="N4228">
            <v>-2787.38</v>
          </cell>
          <cell r="Q4228" t="str">
            <v>2015_10</v>
          </cell>
        </row>
        <row r="4229">
          <cell r="J4229">
            <v>67</v>
          </cell>
          <cell r="K4229">
            <v>67</v>
          </cell>
          <cell r="N4229">
            <v>-7734.27</v>
          </cell>
          <cell r="Q4229" t="str">
            <v>2015_11</v>
          </cell>
        </row>
        <row r="4230">
          <cell r="J4230">
            <v>67</v>
          </cell>
          <cell r="K4230">
            <v>67</v>
          </cell>
          <cell r="N4230">
            <v>-2880.12</v>
          </cell>
          <cell r="Q4230" t="str">
            <v>2015_12</v>
          </cell>
        </row>
        <row r="4231">
          <cell r="J4231">
            <v>67</v>
          </cell>
          <cell r="K4231">
            <v>67</v>
          </cell>
          <cell r="N4231">
            <v>334.07</v>
          </cell>
          <cell r="Q4231" t="str">
            <v>2016_08</v>
          </cell>
        </row>
        <row r="4232">
          <cell r="J4232">
            <v>67</v>
          </cell>
          <cell r="K4232">
            <v>67</v>
          </cell>
          <cell r="N4232">
            <v>0</v>
          </cell>
          <cell r="Q4232" t="str">
            <v>2016_09</v>
          </cell>
        </row>
        <row r="4233">
          <cell r="J4233">
            <v>67</v>
          </cell>
          <cell r="K4233">
            <v>67</v>
          </cell>
          <cell r="N4233">
            <v>377.25</v>
          </cell>
          <cell r="Q4233" t="str">
            <v>2015_10</v>
          </cell>
        </row>
        <row r="4234">
          <cell r="J4234">
            <v>67</v>
          </cell>
          <cell r="K4234">
            <v>67</v>
          </cell>
          <cell r="N4234">
            <v>377.25</v>
          </cell>
          <cell r="Q4234" t="str">
            <v>2015_11</v>
          </cell>
        </row>
        <row r="4235">
          <cell r="J4235">
            <v>67</v>
          </cell>
          <cell r="K4235">
            <v>67</v>
          </cell>
          <cell r="N4235">
            <v>377.26</v>
          </cell>
          <cell r="Q4235" t="str">
            <v>2015_12</v>
          </cell>
        </row>
        <row r="4236">
          <cell r="J4236">
            <v>67</v>
          </cell>
          <cell r="K4236">
            <v>67</v>
          </cell>
          <cell r="N4236">
            <v>377.25</v>
          </cell>
          <cell r="Q4236" t="str">
            <v>2016_01</v>
          </cell>
        </row>
        <row r="4237">
          <cell r="J4237">
            <v>67</v>
          </cell>
          <cell r="K4237">
            <v>67</v>
          </cell>
          <cell r="N4237">
            <v>377.25</v>
          </cell>
          <cell r="Q4237" t="str">
            <v>2016_02</v>
          </cell>
        </row>
        <row r="4238">
          <cell r="J4238">
            <v>67</v>
          </cell>
          <cell r="K4238">
            <v>67</v>
          </cell>
          <cell r="N4238">
            <v>377.25</v>
          </cell>
          <cell r="Q4238" t="str">
            <v>2016_03</v>
          </cell>
        </row>
        <row r="4239">
          <cell r="J4239">
            <v>67</v>
          </cell>
          <cell r="K4239">
            <v>67</v>
          </cell>
          <cell r="N4239">
            <v>377.25</v>
          </cell>
          <cell r="Q4239" t="str">
            <v>2016_04</v>
          </cell>
        </row>
        <row r="4240">
          <cell r="J4240">
            <v>67</v>
          </cell>
          <cell r="K4240">
            <v>67</v>
          </cell>
          <cell r="N4240">
            <v>377.25</v>
          </cell>
          <cell r="Q4240" t="str">
            <v>2016_05</v>
          </cell>
        </row>
        <row r="4241">
          <cell r="J4241">
            <v>67</v>
          </cell>
          <cell r="K4241">
            <v>67</v>
          </cell>
          <cell r="N4241">
            <v>645.59</v>
          </cell>
          <cell r="Q4241" t="str">
            <v>2016_06</v>
          </cell>
        </row>
        <row r="4242">
          <cell r="J4242">
            <v>67</v>
          </cell>
          <cell r="K4242">
            <v>67</v>
          </cell>
          <cell r="N4242">
            <v>709.23</v>
          </cell>
          <cell r="Q4242" t="str">
            <v>2016_07</v>
          </cell>
        </row>
        <row r="4243">
          <cell r="J4243">
            <v>67</v>
          </cell>
          <cell r="K4243">
            <v>67</v>
          </cell>
          <cell r="N4243">
            <v>1247.24</v>
          </cell>
          <cell r="Q4243" t="str">
            <v>2016_08</v>
          </cell>
        </row>
        <row r="4244">
          <cell r="J4244">
            <v>67</v>
          </cell>
          <cell r="K4244">
            <v>67</v>
          </cell>
          <cell r="N4244">
            <v>1247.24</v>
          </cell>
          <cell r="Q4244" t="str">
            <v>2016_09</v>
          </cell>
        </row>
        <row r="4245">
          <cell r="J4245">
            <v>67</v>
          </cell>
          <cell r="K4245">
            <v>67</v>
          </cell>
          <cell r="N4245">
            <v>2560.7399999999998</v>
          </cell>
          <cell r="Q4245" t="str">
            <v>2015_10</v>
          </cell>
        </row>
        <row r="4246">
          <cell r="J4246">
            <v>67</v>
          </cell>
          <cell r="K4246">
            <v>67</v>
          </cell>
          <cell r="N4246">
            <v>2560.7399999999998</v>
          </cell>
          <cell r="Q4246" t="str">
            <v>2015_11</v>
          </cell>
        </row>
        <row r="4247">
          <cell r="J4247">
            <v>67</v>
          </cell>
          <cell r="K4247">
            <v>67</v>
          </cell>
          <cell r="N4247">
            <v>2949.22</v>
          </cell>
          <cell r="Q4247" t="str">
            <v>2015_12</v>
          </cell>
        </row>
        <row r="4248">
          <cell r="J4248">
            <v>67</v>
          </cell>
          <cell r="K4248">
            <v>67</v>
          </cell>
          <cell r="N4248">
            <v>2592.7600000000002</v>
          </cell>
          <cell r="Q4248" t="str">
            <v>2016_01</v>
          </cell>
        </row>
        <row r="4249">
          <cell r="J4249">
            <v>67</v>
          </cell>
          <cell r="K4249">
            <v>67</v>
          </cell>
          <cell r="N4249">
            <v>2592.7600000000002</v>
          </cell>
          <cell r="Q4249" t="str">
            <v>2016_02</v>
          </cell>
        </row>
        <row r="4250">
          <cell r="J4250">
            <v>67</v>
          </cell>
          <cell r="K4250">
            <v>67</v>
          </cell>
          <cell r="N4250">
            <v>2592.7600000000002</v>
          </cell>
          <cell r="Q4250" t="str">
            <v>2016_03</v>
          </cell>
        </row>
        <row r="4251">
          <cell r="J4251">
            <v>67</v>
          </cell>
          <cell r="K4251">
            <v>67</v>
          </cell>
          <cell r="N4251">
            <v>2753.85</v>
          </cell>
          <cell r="Q4251" t="str">
            <v>2016_04</v>
          </cell>
        </row>
        <row r="4252">
          <cell r="J4252">
            <v>67</v>
          </cell>
          <cell r="K4252">
            <v>67</v>
          </cell>
          <cell r="N4252">
            <v>2878.93</v>
          </cell>
          <cell r="Q4252" t="str">
            <v>2016_05</v>
          </cell>
        </row>
        <row r="4253">
          <cell r="J4253">
            <v>67</v>
          </cell>
          <cell r="K4253">
            <v>67</v>
          </cell>
          <cell r="N4253">
            <v>3243.69</v>
          </cell>
          <cell r="Q4253" t="str">
            <v>2016_06</v>
          </cell>
        </row>
        <row r="4254">
          <cell r="J4254">
            <v>67</v>
          </cell>
          <cell r="K4254">
            <v>67</v>
          </cell>
          <cell r="N4254">
            <v>3243.69</v>
          </cell>
          <cell r="Q4254" t="str">
            <v>2016_07</v>
          </cell>
        </row>
        <row r="4255">
          <cell r="J4255">
            <v>67</v>
          </cell>
          <cell r="K4255">
            <v>67</v>
          </cell>
          <cell r="N4255">
            <v>3243.69</v>
          </cell>
          <cell r="Q4255" t="str">
            <v>2016_08</v>
          </cell>
        </row>
        <row r="4256">
          <cell r="J4256">
            <v>67</v>
          </cell>
          <cell r="K4256">
            <v>67</v>
          </cell>
          <cell r="N4256">
            <v>3243.69</v>
          </cell>
          <cell r="Q4256" t="str">
            <v>2016_09</v>
          </cell>
        </row>
        <row r="4257">
          <cell r="J4257">
            <v>67</v>
          </cell>
          <cell r="K4257">
            <v>67</v>
          </cell>
          <cell r="N4257">
            <v>1205.5999999999999</v>
          </cell>
          <cell r="Q4257" t="str">
            <v>2015_10</v>
          </cell>
        </row>
        <row r="4258">
          <cell r="J4258">
            <v>67</v>
          </cell>
          <cell r="K4258">
            <v>67</v>
          </cell>
          <cell r="N4258">
            <v>1381.03</v>
          </cell>
          <cell r="Q4258" t="str">
            <v>2015_11</v>
          </cell>
        </row>
        <row r="4259">
          <cell r="J4259">
            <v>67</v>
          </cell>
          <cell r="K4259">
            <v>67</v>
          </cell>
          <cell r="N4259">
            <v>1550.62</v>
          </cell>
          <cell r="Q4259" t="str">
            <v>2015_12</v>
          </cell>
        </row>
        <row r="4260">
          <cell r="J4260">
            <v>67</v>
          </cell>
          <cell r="K4260">
            <v>67</v>
          </cell>
          <cell r="N4260">
            <v>1231.23</v>
          </cell>
          <cell r="Q4260" t="str">
            <v>2016_01</v>
          </cell>
        </row>
        <row r="4261">
          <cell r="J4261">
            <v>67</v>
          </cell>
          <cell r="K4261">
            <v>67</v>
          </cell>
          <cell r="N4261">
            <v>1231.23</v>
          </cell>
          <cell r="Q4261" t="str">
            <v>2016_02</v>
          </cell>
        </row>
        <row r="4262">
          <cell r="J4262">
            <v>67</v>
          </cell>
          <cell r="K4262">
            <v>67</v>
          </cell>
          <cell r="N4262">
            <v>1231.23</v>
          </cell>
          <cell r="Q4262" t="str">
            <v>2016_03</v>
          </cell>
        </row>
        <row r="4263">
          <cell r="J4263">
            <v>67</v>
          </cell>
          <cell r="K4263">
            <v>67</v>
          </cell>
          <cell r="N4263">
            <v>1231.23</v>
          </cell>
          <cell r="Q4263" t="str">
            <v>2016_04</v>
          </cell>
        </row>
        <row r="4264">
          <cell r="J4264">
            <v>67</v>
          </cell>
          <cell r="K4264">
            <v>67</v>
          </cell>
          <cell r="N4264">
            <v>1231.23</v>
          </cell>
          <cell r="Q4264" t="str">
            <v>2016_05</v>
          </cell>
        </row>
        <row r="4265">
          <cell r="J4265">
            <v>67</v>
          </cell>
          <cell r="K4265">
            <v>67</v>
          </cell>
          <cell r="N4265">
            <v>1698.03</v>
          </cell>
          <cell r="Q4265" t="str">
            <v>2016_06</v>
          </cell>
        </row>
        <row r="4266">
          <cell r="J4266">
            <v>67</v>
          </cell>
          <cell r="K4266">
            <v>67</v>
          </cell>
          <cell r="N4266">
            <v>1972.8</v>
          </cell>
          <cell r="Q4266" t="str">
            <v>2016_07</v>
          </cell>
        </row>
        <row r="4267">
          <cell r="J4267">
            <v>67</v>
          </cell>
          <cell r="K4267">
            <v>67</v>
          </cell>
          <cell r="N4267">
            <v>1972.8</v>
          </cell>
          <cell r="Q4267" t="str">
            <v>2016_08</v>
          </cell>
        </row>
        <row r="4268">
          <cell r="J4268">
            <v>67</v>
          </cell>
          <cell r="K4268">
            <v>67</v>
          </cell>
          <cell r="N4268">
            <v>1972.8</v>
          </cell>
          <cell r="Q4268" t="str">
            <v>2016_09</v>
          </cell>
        </row>
        <row r="4269">
          <cell r="J4269">
            <v>66</v>
          </cell>
          <cell r="K4269">
            <v>66</v>
          </cell>
          <cell r="N4269">
            <v>58375.42</v>
          </cell>
          <cell r="Q4269" t="str">
            <v>2015_10</v>
          </cell>
        </row>
        <row r="4270">
          <cell r="J4270">
            <v>66</v>
          </cell>
          <cell r="K4270">
            <v>66</v>
          </cell>
          <cell r="N4270">
            <v>58697.33</v>
          </cell>
          <cell r="Q4270" t="str">
            <v>2015_11</v>
          </cell>
        </row>
        <row r="4271">
          <cell r="J4271">
            <v>66</v>
          </cell>
          <cell r="K4271">
            <v>66</v>
          </cell>
          <cell r="N4271">
            <v>57738.58</v>
          </cell>
          <cell r="Q4271" t="str">
            <v>2015_12</v>
          </cell>
        </row>
        <row r="4272">
          <cell r="J4272">
            <v>66</v>
          </cell>
          <cell r="K4272">
            <v>66</v>
          </cell>
          <cell r="N4272">
            <v>58865.53</v>
          </cell>
          <cell r="Q4272" t="str">
            <v>2016_01</v>
          </cell>
        </row>
        <row r="4273">
          <cell r="J4273">
            <v>66</v>
          </cell>
          <cell r="K4273">
            <v>66</v>
          </cell>
          <cell r="N4273">
            <v>57902.69</v>
          </cell>
          <cell r="Q4273" t="str">
            <v>2016_02</v>
          </cell>
        </row>
        <row r="4274">
          <cell r="J4274">
            <v>66</v>
          </cell>
          <cell r="K4274">
            <v>66</v>
          </cell>
          <cell r="N4274">
            <v>58639.4</v>
          </cell>
          <cell r="Q4274" t="str">
            <v>2016_03</v>
          </cell>
        </row>
        <row r="4275">
          <cell r="J4275">
            <v>66</v>
          </cell>
          <cell r="K4275">
            <v>66</v>
          </cell>
          <cell r="N4275">
            <v>52380.08</v>
          </cell>
          <cell r="Q4275" t="str">
            <v>2016_04</v>
          </cell>
        </row>
        <row r="4276">
          <cell r="J4276">
            <v>66</v>
          </cell>
          <cell r="K4276">
            <v>66</v>
          </cell>
          <cell r="N4276">
            <v>57853.22</v>
          </cell>
          <cell r="Q4276" t="str">
            <v>2016_05</v>
          </cell>
        </row>
        <row r="4277">
          <cell r="J4277">
            <v>66</v>
          </cell>
          <cell r="K4277">
            <v>66</v>
          </cell>
          <cell r="N4277">
            <v>58191.21</v>
          </cell>
          <cell r="Q4277" t="str">
            <v>2016_06</v>
          </cell>
        </row>
        <row r="4278">
          <cell r="J4278">
            <v>66</v>
          </cell>
          <cell r="K4278">
            <v>66</v>
          </cell>
          <cell r="N4278">
            <v>56934.68</v>
          </cell>
          <cell r="Q4278" t="str">
            <v>2016_07</v>
          </cell>
        </row>
        <row r="4279">
          <cell r="J4279">
            <v>66</v>
          </cell>
          <cell r="K4279">
            <v>66</v>
          </cell>
          <cell r="N4279">
            <v>56072.33</v>
          </cell>
          <cell r="Q4279" t="str">
            <v>2016_08</v>
          </cell>
        </row>
        <row r="4280">
          <cell r="J4280">
            <v>66</v>
          </cell>
          <cell r="K4280">
            <v>66</v>
          </cell>
          <cell r="N4280">
            <v>63225.53</v>
          </cell>
          <cell r="Q4280" t="str">
            <v>2016_09</v>
          </cell>
        </row>
        <row r="4281">
          <cell r="J4281">
            <v>68</v>
          </cell>
          <cell r="K4281">
            <v>68</v>
          </cell>
          <cell r="N4281">
            <v>3517.96</v>
          </cell>
          <cell r="Q4281" t="str">
            <v>2015_10</v>
          </cell>
        </row>
        <row r="4282">
          <cell r="J4282">
            <v>68</v>
          </cell>
          <cell r="K4282">
            <v>68</v>
          </cell>
          <cell r="N4282">
            <v>0</v>
          </cell>
          <cell r="Q4282" t="str">
            <v>2015_11</v>
          </cell>
        </row>
        <row r="4283">
          <cell r="J4283">
            <v>68</v>
          </cell>
          <cell r="K4283">
            <v>68</v>
          </cell>
          <cell r="N4283">
            <v>0</v>
          </cell>
          <cell r="Q4283" t="str">
            <v>2015_12</v>
          </cell>
        </row>
        <row r="4284">
          <cell r="J4284">
            <v>68</v>
          </cell>
          <cell r="K4284">
            <v>68</v>
          </cell>
          <cell r="N4284">
            <v>1486.5</v>
          </cell>
          <cell r="Q4284" t="str">
            <v>2016_05</v>
          </cell>
        </row>
        <row r="4285">
          <cell r="J4285">
            <v>68</v>
          </cell>
          <cell r="K4285">
            <v>68</v>
          </cell>
          <cell r="N4285">
            <v>0</v>
          </cell>
          <cell r="Q4285" t="str">
            <v>2016_06</v>
          </cell>
        </row>
        <row r="4286">
          <cell r="J4286">
            <v>68</v>
          </cell>
          <cell r="K4286">
            <v>68</v>
          </cell>
          <cell r="N4286">
            <v>0</v>
          </cell>
          <cell r="Q4286" t="str">
            <v>2016_07</v>
          </cell>
        </row>
        <row r="4287">
          <cell r="J4287">
            <v>68</v>
          </cell>
          <cell r="K4287">
            <v>68</v>
          </cell>
          <cell r="N4287">
            <v>0</v>
          </cell>
          <cell r="Q4287" t="str">
            <v>2016_08</v>
          </cell>
        </row>
        <row r="4288">
          <cell r="J4288">
            <v>68</v>
          </cell>
          <cell r="K4288">
            <v>68</v>
          </cell>
          <cell r="N4288">
            <v>0</v>
          </cell>
          <cell r="Q4288" t="str">
            <v>2016_09</v>
          </cell>
        </row>
        <row r="4289">
          <cell r="J4289">
            <v>44</v>
          </cell>
          <cell r="K4289">
            <v>44</v>
          </cell>
          <cell r="N4289">
            <v>1093.9100000000001</v>
          </cell>
          <cell r="Q4289" t="str">
            <v>2015_10</v>
          </cell>
        </row>
        <row r="4290">
          <cell r="J4290">
            <v>44</v>
          </cell>
          <cell r="K4290">
            <v>44</v>
          </cell>
          <cell r="N4290">
            <v>1093.9100000000001</v>
          </cell>
          <cell r="Q4290" t="str">
            <v>2015_11</v>
          </cell>
        </row>
        <row r="4291">
          <cell r="J4291">
            <v>44</v>
          </cell>
          <cell r="K4291">
            <v>44</v>
          </cell>
          <cell r="N4291">
            <v>1093.9000000000001</v>
          </cell>
          <cell r="Q4291" t="str">
            <v>2015_12</v>
          </cell>
        </row>
        <row r="4292">
          <cell r="J4292">
            <v>44</v>
          </cell>
          <cell r="K4292">
            <v>44</v>
          </cell>
          <cell r="N4292">
            <v>1093.9100000000001</v>
          </cell>
          <cell r="Q4292" t="str">
            <v>2016_01</v>
          </cell>
        </row>
        <row r="4293">
          <cell r="J4293">
            <v>44</v>
          </cell>
          <cell r="K4293">
            <v>44</v>
          </cell>
          <cell r="N4293">
            <v>1093.9100000000001</v>
          </cell>
          <cell r="Q4293" t="str">
            <v>2016_02</v>
          </cell>
        </row>
        <row r="4294">
          <cell r="J4294">
            <v>44</v>
          </cell>
          <cell r="K4294">
            <v>44</v>
          </cell>
          <cell r="N4294">
            <v>1093.9100000000001</v>
          </cell>
          <cell r="Q4294" t="str">
            <v>2016_03</v>
          </cell>
        </row>
        <row r="4295">
          <cell r="J4295">
            <v>44</v>
          </cell>
          <cell r="K4295">
            <v>44</v>
          </cell>
          <cell r="N4295">
            <v>1093.9100000000001</v>
          </cell>
          <cell r="Q4295" t="str">
            <v>2016_04</v>
          </cell>
        </row>
        <row r="4296">
          <cell r="J4296">
            <v>44</v>
          </cell>
          <cell r="K4296">
            <v>44</v>
          </cell>
          <cell r="N4296">
            <v>1093.9100000000001</v>
          </cell>
          <cell r="Q4296" t="str">
            <v>2016_05</v>
          </cell>
        </row>
        <row r="4297">
          <cell r="J4297">
            <v>44</v>
          </cell>
          <cell r="K4297">
            <v>44</v>
          </cell>
          <cell r="N4297">
            <v>1093.9100000000001</v>
          </cell>
          <cell r="Q4297" t="str">
            <v>2016_06</v>
          </cell>
        </row>
        <row r="4298">
          <cell r="J4298">
            <v>44</v>
          </cell>
          <cell r="K4298">
            <v>44</v>
          </cell>
          <cell r="N4298">
            <v>1093.9100000000001</v>
          </cell>
          <cell r="Q4298" t="str">
            <v>2016_07</v>
          </cell>
        </row>
        <row r="4299">
          <cell r="J4299">
            <v>44</v>
          </cell>
          <cell r="K4299">
            <v>44</v>
          </cell>
          <cell r="N4299">
            <v>1315.93</v>
          </cell>
          <cell r="Q4299" t="str">
            <v>2016_08</v>
          </cell>
        </row>
        <row r="4300">
          <cell r="J4300">
            <v>44</v>
          </cell>
          <cell r="K4300">
            <v>44</v>
          </cell>
          <cell r="N4300">
            <v>1315.93</v>
          </cell>
          <cell r="Q4300" t="str">
            <v>2016_09</v>
          </cell>
        </row>
        <row r="4301">
          <cell r="J4301">
            <v>45</v>
          </cell>
          <cell r="K4301">
            <v>45</v>
          </cell>
          <cell r="N4301">
            <v>8925</v>
          </cell>
          <cell r="Q4301" t="str">
            <v>2015_10</v>
          </cell>
        </row>
        <row r="4302">
          <cell r="J4302">
            <v>45</v>
          </cell>
          <cell r="K4302">
            <v>45</v>
          </cell>
          <cell r="N4302">
            <v>8925</v>
          </cell>
          <cell r="Q4302" t="str">
            <v>2015_11</v>
          </cell>
        </row>
        <row r="4303">
          <cell r="J4303">
            <v>45</v>
          </cell>
          <cell r="K4303">
            <v>45</v>
          </cell>
          <cell r="N4303">
            <v>8925</v>
          </cell>
          <cell r="Q4303" t="str">
            <v>2015_12</v>
          </cell>
        </row>
        <row r="4304">
          <cell r="J4304">
            <v>45</v>
          </cell>
          <cell r="K4304">
            <v>45</v>
          </cell>
          <cell r="N4304">
            <v>8925</v>
          </cell>
          <cell r="Q4304" t="str">
            <v>2016_01</v>
          </cell>
        </row>
        <row r="4305">
          <cell r="J4305">
            <v>45</v>
          </cell>
          <cell r="K4305">
            <v>45</v>
          </cell>
          <cell r="N4305">
            <v>8925</v>
          </cell>
          <cell r="Q4305" t="str">
            <v>2016_02</v>
          </cell>
        </row>
        <row r="4306">
          <cell r="J4306">
            <v>45</v>
          </cell>
          <cell r="K4306">
            <v>45</v>
          </cell>
          <cell r="N4306">
            <v>8925</v>
          </cell>
          <cell r="Q4306" t="str">
            <v>2016_03</v>
          </cell>
        </row>
        <row r="4307">
          <cell r="J4307">
            <v>45</v>
          </cell>
          <cell r="K4307">
            <v>45</v>
          </cell>
          <cell r="N4307">
            <v>8925</v>
          </cell>
          <cell r="Q4307" t="str">
            <v>2016_04</v>
          </cell>
        </row>
        <row r="4308">
          <cell r="J4308">
            <v>45</v>
          </cell>
          <cell r="K4308">
            <v>45</v>
          </cell>
          <cell r="N4308">
            <v>8925</v>
          </cell>
          <cell r="Q4308" t="str">
            <v>2016_05</v>
          </cell>
        </row>
        <row r="4309">
          <cell r="J4309">
            <v>45</v>
          </cell>
          <cell r="K4309">
            <v>45</v>
          </cell>
          <cell r="N4309">
            <v>8925</v>
          </cell>
          <cell r="Q4309" t="str">
            <v>2016_06</v>
          </cell>
        </row>
        <row r="4310">
          <cell r="J4310">
            <v>45</v>
          </cell>
          <cell r="K4310">
            <v>45</v>
          </cell>
          <cell r="N4310">
            <v>8925</v>
          </cell>
          <cell r="Q4310" t="str">
            <v>2016_07</v>
          </cell>
        </row>
        <row r="4311">
          <cell r="J4311">
            <v>45</v>
          </cell>
          <cell r="K4311">
            <v>45</v>
          </cell>
          <cell r="N4311">
            <v>8925</v>
          </cell>
          <cell r="Q4311" t="str">
            <v>2016_08</v>
          </cell>
        </row>
        <row r="4312">
          <cell r="J4312">
            <v>45</v>
          </cell>
          <cell r="K4312">
            <v>45</v>
          </cell>
          <cell r="N4312">
            <v>8925</v>
          </cell>
          <cell r="Q4312" t="str">
            <v>2016_09</v>
          </cell>
        </row>
        <row r="4313">
          <cell r="J4313">
            <v>68</v>
          </cell>
          <cell r="K4313">
            <v>68</v>
          </cell>
          <cell r="N4313">
            <v>4909.12</v>
          </cell>
          <cell r="Q4313" t="str">
            <v>2015_10</v>
          </cell>
        </row>
        <row r="4314">
          <cell r="J4314">
            <v>68</v>
          </cell>
          <cell r="K4314">
            <v>68</v>
          </cell>
          <cell r="N4314">
            <v>0</v>
          </cell>
          <cell r="Q4314" t="str">
            <v>2015_11</v>
          </cell>
        </row>
        <row r="4315">
          <cell r="J4315">
            <v>68</v>
          </cell>
          <cell r="K4315">
            <v>68</v>
          </cell>
          <cell r="N4315">
            <v>0</v>
          </cell>
          <cell r="Q4315" t="str">
            <v>2015_12</v>
          </cell>
        </row>
        <row r="4316">
          <cell r="J4316">
            <v>71</v>
          </cell>
          <cell r="K4316">
            <v>71</v>
          </cell>
          <cell r="N4316">
            <v>704.33</v>
          </cell>
          <cell r="Q4316" t="str">
            <v>2015_10</v>
          </cell>
        </row>
        <row r="4317">
          <cell r="J4317">
            <v>71</v>
          </cell>
          <cell r="K4317">
            <v>71</v>
          </cell>
          <cell r="N4317">
            <v>734.84</v>
          </cell>
          <cell r="Q4317" t="str">
            <v>2015_11</v>
          </cell>
        </row>
        <row r="4318">
          <cell r="J4318">
            <v>71</v>
          </cell>
          <cell r="K4318">
            <v>71</v>
          </cell>
          <cell r="N4318">
            <v>718.68</v>
          </cell>
          <cell r="Q4318" t="str">
            <v>2015_12</v>
          </cell>
        </row>
        <row r="4319">
          <cell r="J4319">
            <v>71</v>
          </cell>
          <cell r="K4319">
            <v>71</v>
          </cell>
          <cell r="N4319">
            <v>734.63</v>
          </cell>
          <cell r="Q4319" t="str">
            <v>2016_01</v>
          </cell>
        </row>
        <row r="4320">
          <cell r="J4320">
            <v>71</v>
          </cell>
          <cell r="K4320">
            <v>71</v>
          </cell>
          <cell r="N4320">
            <v>741.32</v>
          </cell>
          <cell r="Q4320" t="str">
            <v>2016_02</v>
          </cell>
        </row>
        <row r="4321">
          <cell r="J4321">
            <v>71</v>
          </cell>
          <cell r="K4321">
            <v>71</v>
          </cell>
          <cell r="N4321">
            <v>753.19</v>
          </cell>
          <cell r="Q4321" t="str">
            <v>2016_03</v>
          </cell>
        </row>
        <row r="4322">
          <cell r="J4322">
            <v>71</v>
          </cell>
          <cell r="K4322">
            <v>71</v>
          </cell>
          <cell r="N4322">
            <v>753.19</v>
          </cell>
          <cell r="Q4322" t="str">
            <v>2016_04</v>
          </cell>
        </row>
        <row r="4323">
          <cell r="J4323">
            <v>71</v>
          </cell>
          <cell r="K4323">
            <v>71</v>
          </cell>
          <cell r="N4323">
            <v>773.06</v>
          </cell>
          <cell r="Q4323" t="str">
            <v>2016_05</v>
          </cell>
        </row>
        <row r="4324">
          <cell r="J4324">
            <v>71</v>
          </cell>
          <cell r="K4324">
            <v>71</v>
          </cell>
          <cell r="N4324">
            <v>777.22</v>
          </cell>
          <cell r="Q4324" t="str">
            <v>2016_06</v>
          </cell>
        </row>
        <row r="4325">
          <cell r="J4325">
            <v>71</v>
          </cell>
          <cell r="K4325">
            <v>71</v>
          </cell>
          <cell r="N4325">
            <v>4557.74</v>
          </cell>
          <cell r="Q4325" t="str">
            <v>2016_07</v>
          </cell>
        </row>
        <row r="4326">
          <cell r="J4326">
            <v>71</v>
          </cell>
          <cell r="K4326">
            <v>71</v>
          </cell>
          <cell r="N4326">
            <v>4558.88</v>
          </cell>
          <cell r="Q4326" t="str">
            <v>2016_08</v>
          </cell>
        </row>
        <row r="4327">
          <cell r="J4327">
            <v>71</v>
          </cell>
          <cell r="K4327">
            <v>71</v>
          </cell>
          <cell r="N4327">
            <v>4558.08</v>
          </cell>
          <cell r="Q4327" t="str">
            <v>2016_09</v>
          </cell>
        </row>
        <row r="4328">
          <cell r="J4328">
            <v>73</v>
          </cell>
          <cell r="K4328">
            <v>73</v>
          </cell>
          <cell r="N4328">
            <v>1854.02</v>
          </cell>
          <cell r="Q4328" t="str">
            <v>2015_10</v>
          </cell>
        </row>
        <row r="4329">
          <cell r="J4329">
            <v>73</v>
          </cell>
          <cell r="K4329">
            <v>73</v>
          </cell>
          <cell r="N4329">
            <v>1970.03</v>
          </cell>
          <cell r="Q4329" t="str">
            <v>2015_11</v>
          </cell>
        </row>
        <row r="4330">
          <cell r="J4330">
            <v>73</v>
          </cell>
          <cell r="K4330">
            <v>73</v>
          </cell>
          <cell r="N4330">
            <v>0</v>
          </cell>
          <cell r="Q4330" t="str">
            <v>2015_12</v>
          </cell>
        </row>
        <row r="4331">
          <cell r="J4331">
            <v>73</v>
          </cell>
          <cell r="K4331">
            <v>73</v>
          </cell>
          <cell r="N4331">
            <v>2280.6</v>
          </cell>
          <cell r="Q4331" t="str">
            <v>2016_02</v>
          </cell>
        </row>
        <row r="4332">
          <cell r="J4332">
            <v>73</v>
          </cell>
          <cell r="K4332">
            <v>73</v>
          </cell>
          <cell r="N4332">
            <v>783.84</v>
          </cell>
          <cell r="Q4332" t="str">
            <v>2016_03</v>
          </cell>
        </row>
        <row r="4333">
          <cell r="J4333">
            <v>73</v>
          </cell>
          <cell r="K4333">
            <v>73</v>
          </cell>
          <cell r="N4333">
            <v>29.66</v>
          </cell>
          <cell r="Q4333" t="str">
            <v>2016_04</v>
          </cell>
        </row>
        <row r="4334">
          <cell r="J4334">
            <v>73</v>
          </cell>
          <cell r="K4334">
            <v>73</v>
          </cell>
          <cell r="N4334">
            <v>0</v>
          </cell>
          <cell r="Q4334" t="str">
            <v>2016_05</v>
          </cell>
        </row>
        <row r="4335">
          <cell r="J4335">
            <v>73</v>
          </cell>
          <cell r="K4335">
            <v>73</v>
          </cell>
          <cell r="N4335">
            <v>10926.54</v>
          </cell>
          <cell r="Q4335" t="str">
            <v>2016_06</v>
          </cell>
        </row>
        <row r="4336">
          <cell r="J4336">
            <v>73</v>
          </cell>
          <cell r="K4336">
            <v>73</v>
          </cell>
          <cell r="N4336">
            <v>269.18</v>
          </cell>
          <cell r="Q4336" t="str">
            <v>2016_07</v>
          </cell>
        </row>
        <row r="4337">
          <cell r="J4337">
            <v>73</v>
          </cell>
          <cell r="K4337">
            <v>73</v>
          </cell>
          <cell r="N4337">
            <v>2602.5700000000002</v>
          </cell>
          <cell r="Q4337" t="str">
            <v>2016_08</v>
          </cell>
        </row>
        <row r="4338">
          <cell r="J4338">
            <v>73</v>
          </cell>
          <cell r="K4338">
            <v>73</v>
          </cell>
          <cell r="N4338">
            <v>0</v>
          </cell>
          <cell r="Q4338" t="str">
            <v>2016_09</v>
          </cell>
        </row>
        <row r="4339">
          <cell r="J4339">
            <v>74</v>
          </cell>
          <cell r="K4339">
            <v>74</v>
          </cell>
          <cell r="N4339">
            <v>39413.61</v>
          </cell>
          <cell r="Q4339" t="str">
            <v>2015_10</v>
          </cell>
        </row>
        <row r="4340">
          <cell r="J4340">
            <v>74</v>
          </cell>
          <cell r="K4340">
            <v>74</v>
          </cell>
          <cell r="N4340">
            <v>38499.050000000003</v>
          </cell>
          <cell r="Q4340" t="str">
            <v>2015_11</v>
          </cell>
        </row>
        <row r="4341">
          <cell r="J4341">
            <v>74</v>
          </cell>
          <cell r="K4341">
            <v>74</v>
          </cell>
          <cell r="N4341">
            <v>45352.09</v>
          </cell>
          <cell r="Q4341" t="str">
            <v>2015_12</v>
          </cell>
        </row>
        <row r="4342">
          <cell r="J4342">
            <v>74</v>
          </cell>
          <cell r="K4342">
            <v>74</v>
          </cell>
          <cell r="N4342">
            <v>56145.66</v>
          </cell>
          <cell r="Q4342" t="str">
            <v>2016_01</v>
          </cell>
        </row>
        <row r="4343">
          <cell r="J4343">
            <v>74</v>
          </cell>
          <cell r="K4343">
            <v>74</v>
          </cell>
          <cell r="N4343">
            <v>56233.21</v>
          </cell>
          <cell r="Q4343" t="str">
            <v>2016_02</v>
          </cell>
        </row>
        <row r="4344">
          <cell r="J4344">
            <v>74</v>
          </cell>
          <cell r="K4344">
            <v>74</v>
          </cell>
          <cell r="N4344">
            <v>60229.31</v>
          </cell>
          <cell r="Q4344" t="str">
            <v>2016_03</v>
          </cell>
        </row>
        <row r="4345">
          <cell r="J4345">
            <v>74</v>
          </cell>
          <cell r="K4345">
            <v>74</v>
          </cell>
          <cell r="N4345">
            <v>57590.3</v>
          </cell>
          <cell r="Q4345" t="str">
            <v>2016_04</v>
          </cell>
        </row>
        <row r="4346">
          <cell r="J4346">
            <v>74</v>
          </cell>
          <cell r="K4346">
            <v>74</v>
          </cell>
          <cell r="N4346">
            <v>58655.19</v>
          </cell>
          <cell r="Q4346" t="str">
            <v>2016_05</v>
          </cell>
        </row>
        <row r="4347">
          <cell r="J4347">
            <v>74</v>
          </cell>
          <cell r="K4347">
            <v>74</v>
          </cell>
          <cell r="N4347">
            <v>58181.9</v>
          </cell>
          <cell r="Q4347" t="str">
            <v>2016_06</v>
          </cell>
        </row>
        <row r="4348">
          <cell r="J4348">
            <v>74</v>
          </cell>
          <cell r="K4348">
            <v>74</v>
          </cell>
          <cell r="N4348">
            <v>59992.18</v>
          </cell>
          <cell r="Q4348" t="str">
            <v>2016_07</v>
          </cell>
        </row>
        <row r="4349">
          <cell r="J4349">
            <v>74</v>
          </cell>
          <cell r="K4349">
            <v>74</v>
          </cell>
          <cell r="N4349">
            <v>61828.14</v>
          </cell>
          <cell r="Q4349" t="str">
            <v>2016_08</v>
          </cell>
        </row>
        <row r="4350">
          <cell r="J4350">
            <v>74</v>
          </cell>
          <cell r="K4350">
            <v>74</v>
          </cell>
          <cell r="N4350">
            <v>59575.6</v>
          </cell>
          <cell r="Q4350" t="str">
            <v>2016_09</v>
          </cell>
        </row>
        <row r="4351">
          <cell r="J4351">
            <v>74</v>
          </cell>
          <cell r="K4351">
            <v>74</v>
          </cell>
          <cell r="N4351">
            <v>0.62</v>
          </cell>
          <cell r="Q4351" t="str">
            <v>2016_02</v>
          </cell>
        </row>
        <row r="4352">
          <cell r="J4352">
            <v>74</v>
          </cell>
          <cell r="K4352">
            <v>74</v>
          </cell>
          <cell r="N4352">
            <v>0</v>
          </cell>
          <cell r="Q4352" t="str">
            <v>2016_03</v>
          </cell>
        </row>
        <row r="4353">
          <cell r="J4353">
            <v>74</v>
          </cell>
          <cell r="K4353">
            <v>74</v>
          </cell>
          <cell r="N4353">
            <v>0</v>
          </cell>
          <cell r="Q4353" t="str">
            <v>2016_04</v>
          </cell>
        </row>
        <row r="4354">
          <cell r="J4354">
            <v>74</v>
          </cell>
          <cell r="K4354">
            <v>74</v>
          </cell>
          <cell r="N4354">
            <v>0</v>
          </cell>
          <cell r="Q4354" t="str">
            <v>2016_05</v>
          </cell>
        </row>
        <row r="4355">
          <cell r="J4355">
            <v>74</v>
          </cell>
          <cell r="K4355">
            <v>74</v>
          </cell>
          <cell r="N4355">
            <v>0</v>
          </cell>
          <cell r="Q4355" t="str">
            <v>2016_06</v>
          </cell>
        </row>
        <row r="4356">
          <cell r="J4356">
            <v>74</v>
          </cell>
          <cell r="K4356">
            <v>74</v>
          </cell>
          <cell r="N4356">
            <v>0</v>
          </cell>
          <cell r="Q4356" t="str">
            <v>2016_07</v>
          </cell>
        </row>
        <row r="4357">
          <cell r="J4357">
            <v>74</v>
          </cell>
          <cell r="K4357">
            <v>74</v>
          </cell>
          <cell r="N4357">
            <v>0</v>
          </cell>
          <cell r="Q4357" t="str">
            <v>2016_08</v>
          </cell>
        </row>
        <row r="4358">
          <cell r="J4358">
            <v>74</v>
          </cell>
          <cell r="K4358">
            <v>74</v>
          </cell>
          <cell r="N4358">
            <v>0</v>
          </cell>
          <cell r="Q4358" t="str">
            <v>2016_09</v>
          </cell>
        </row>
        <row r="4359">
          <cell r="J4359">
            <v>75</v>
          </cell>
          <cell r="K4359">
            <v>75</v>
          </cell>
          <cell r="N4359">
            <v>17889.54</v>
          </cell>
          <cell r="Q4359" t="str">
            <v>2015_10</v>
          </cell>
        </row>
        <row r="4360">
          <cell r="J4360">
            <v>75</v>
          </cell>
          <cell r="K4360">
            <v>75</v>
          </cell>
          <cell r="N4360">
            <v>16747.43</v>
          </cell>
          <cell r="Q4360" t="str">
            <v>2015_11</v>
          </cell>
        </row>
        <row r="4361">
          <cell r="J4361">
            <v>75</v>
          </cell>
          <cell r="K4361">
            <v>75</v>
          </cell>
          <cell r="N4361">
            <v>17951.099999999999</v>
          </cell>
          <cell r="Q4361" t="str">
            <v>2015_12</v>
          </cell>
        </row>
        <row r="4362">
          <cell r="J4362">
            <v>75</v>
          </cell>
          <cell r="K4362">
            <v>75</v>
          </cell>
          <cell r="N4362">
            <v>18128.080000000002</v>
          </cell>
          <cell r="Q4362" t="str">
            <v>2016_01</v>
          </cell>
        </row>
        <row r="4363">
          <cell r="J4363">
            <v>75</v>
          </cell>
          <cell r="K4363">
            <v>75</v>
          </cell>
          <cell r="N4363">
            <v>16590.09</v>
          </cell>
          <cell r="Q4363" t="str">
            <v>2016_02</v>
          </cell>
        </row>
        <row r="4364">
          <cell r="J4364">
            <v>75</v>
          </cell>
          <cell r="K4364">
            <v>75</v>
          </cell>
          <cell r="N4364">
            <v>19098.080000000002</v>
          </cell>
          <cell r="Q4364" t="str">
            <v>2016_03</v>
          </cell>
        </row>
        <row r="4365">
          <cell r="J4365">
            <v>75</v>
          </cell>
          <cell r="K4365">
            <v>75</v>
          </cell>
          <cell r="N4365">
            <v>18218.52</v>
          </cell>
          <cell r="Q4365" t="str">
            <v>2016_04</v>
          </cell>
        </row>
        <row r="4366">
          <cell r="J4366">
            <v>75</v>
          </cell>
          <cell r="K4366">
            <v>75</v>
          </cell>
          <cell r="N4366">
            <v>18854.34</v>
          </cell>
          <cell r="Q4366" t="str">
            <v>2016_05</v>
          </cell>
        </row>
        <row r="4367">
          <cell r="J4367">
            <v>75</v>
          </cell>
          <cell r="K4367">
            <v>75</v>
          </cell>
          <cell r="N4367">
            <v>19000.02</v>
          </cell>
          <cell r="Q4367" t="str">
            <v>2016_06</v>
          </cell>
        </row>
        <row r="4368">
          <cell r="J4368">
            <v>75</v>
          </cell>
          <cell r="K4368">
            <v>75</v>
          </cell>
          <cell r="N4368">
            <v>19188.11</v>
          </cell>
          <cell r="Q4368" t="str">
            <v>2016_07</v>
          </cell>
        </row>
        <row r="4369">
          <cell r="J4369">
            <v>75</v>
          </cell>
          <cell r="K4369">
            <v>75</v>
          </cell>
          <cell r="N4369">
            <v>19835.84</v>
          </cell>
          <cell r="Q4369" t="str">
            <v>2016_08</v>
          </cell>
        </row>
        <row r="4370">
          <cell r="J4370">
            <v>75</v>
          </cell>
          <cell r="K4370">
            <v>75</v>
          </cell>
          <cell r="N4370">
            <v>19441.400000000001</v>
          </cell>
          <cell r="Q4370" t="str">
            <v>2016_09</v>
          </cell>
        </row>
        <row r="4371">
          <cell r="J4371">
            <v>76</v>
          </cell>
          <cell r="K4371">
            <v>76</v>
          </cell>
          <cell r="N4371">
            <v>1623.76</v>
          </cell>
          <cell r="Q4371" t="str">
            <v>2015_10</v>
          </cell>
        </row>
        <row r="4372">
          <cell r="J4372">
            <v>76</v>
          </cell>
          <cell r="K4372">
            <v>76</v>
          </cell>
          <cell r="N4372">
            <v>1440.09</v>
          </cell>
          <cell r="Q4372" t="str">
            <v>2015_11</v>
          </cell>
        </row>
        <row r="4373">
          <cell r="J4373">
            <v>76</v>
          </cell>
          <cell r="K4373">
            <v>76</v>
          </cell>
          <cell r="N4373">
            <v>1738.39</v>
          </cell>
          <cell r="Q4373" t="str">
            <v>2015_12</v>
          </cell>
        </row>
        <row r="4374">
          <cell r="J4374">
            <v>76</v>
          </cell>
          <cell r="K4374">
            <v>76</v>
          </cell>
          <cell r="N4374">
            <v>1335.6</v>
          </cell>
          <cell r="Q4374" t="str">
            <v>2016_01</v>
          </cell>
        </row>
        <row r="4375">
          <cell r="J4375">
            <v>76</v>
          </cell>
          <cell r="K4375">
            <v>76</v>
          </cell>
          <cell r="N4375">
            <v>922.01</v>
          </cell>
          <cell r="Q4375" t="str">
            <v>2016_02</v>
          </cell>
        </row>
        <row r="4376">
          <cell r="J4376">
            <v>76</v>
          </cell>
          <cell r="K4376">
            <v>76</v>
          </cell>
          <cell r="N4376">
            <v>1414.91</v>
          </cell>
          <cell r="Q4376" t="str">
            <v>2016_03</v>
          </cell>
        </row>
        <row r="4377">
          <cell r="J4377">
            <v>76</v>
          </cell>
          <cell r="K4377">
            <v>76</v>
          </cell>
          <cell r="N4377">
            <v>1305.5999999999999</v>
          </cell>
          <cell r="Q4377" t="str">
            <v>2016_04</v>
          </cell>
        </row>
        <row r="4378">
          <cell r="J4378">
            <v>76</v>
          </cell>
          <cell r="K4378">
            <v>76</v>
          </cell>
          <cell r="N4378">
            <v>1394.7</v>
          </cell>
          <cell r="Q4378" t="str">
            <v>2016_05</v>
          </cell>
        </row>
        <row r="4379">
          <cell r="J4379">
            <v>76</v>
          </cell>
          <cell r="K4379">
            <v>76</v>
          </cell>
          <cell r="N4379">
            <v>1480.84</v>
          </cell>
          <cell r="Q4379" t="str">
            <v>2016_06</v>
          </cell>
        </row>
        <row r="4380">
          <cell r="J4380">
            <v>76</v>
          </cell>
          <cell r="K4380">
            <v>76</v>
          </cell>
          <cell r="N4380">
            <v>1376.67</v>
          </cell>
          <cell r="Q4380" t="str">
            <v>2016_07</v>
          </cell>
        </row>
        <row r="4381">
          <cell r="J4381">
            <v>76</v>
          </cell>
          <cell r="K4381">
            <v>76</v>
          </cell>
          <cell r="N4381">
            <v>1484.81</v>
          </cell>
          <cell r="Q4381" t="str">
            <v>2016_08</v>
          </cell>
        </row>
        <row r="4382">
          <cell r="J4382">
            <v>76</v>
          </cell>
          <cell r="K4382">
            <v>76</v>
          </cell>
          <cell r="N4382">
            <v>1473.48</v>
          </cell>
          <cell r="Q4382" t="str">
            <v>2016_09</v>
          </cell>
        </row>
        <row r="4383">
          <cell r="J4383">
            <v>77</v>
          </cell>
          <cell r="K4383">
            <v>77</v>
          </cell>
          <cell r="N4383">
            <v>77.7</v>
          </cell>
          <cell r="Q4383" t="str">
            <v>2015_10</v>
          </cell>
        </row>
        <row r="4384">
          <cell r="J4384">
            <v>77</v>
          </cell>
          <cell r="K4384">
            <v>77</v>
          </cell>
          <cell r="N4384">
            <v>16.850000000000001</v>
          </cell>
          <cell r="Q4384" t="str">
            <v>2015_11</v>
          </cell>
        </row>
        <row r="4385">
          <cell r="J4385">
            <v>77</v>
          </cell>
          <cell r="K4385">
            <v>77</v>
          </cell>
          <cell r="N4385">
            <v>106.83</v>
          </cell>
          <cell r="Q4385" t="str">
            <v>2015_12</v>
          </cell>
        </row>
        <row r="4386">
          <cell r="J4386">
            <v>77</v>
          </cell>
          <cell r="K4386">
            <v>77</v>
          </cell>
          <cell r="N4386">
            <v>1465.73</v>
          </cell>
          <cell r="Q4386" t="str">
            <v>2016_01</v>
          </cell>
        </row>
        <row r="4387">
          <cell r="J4387">
            <v>77</v>
          </cell>
          <cell r="K4387">
            <v>77</v>
          </cell>
          <cell r="N4387">
            <v>7228.02</v>
          </cell>
          <cell r="Q4387" t="str">
            <v>2016_02</v>
          </cell>
        </row>
        <row r="4388">
          <cell r="J4388">
            <v>77</v>
          </cell>
          <cell r="K4388">
            <v>77</v>
          </cell>
          <cell r="N4388">
            <v>731.7</v>
          </cell>
          <cell r="Q4388" t="str">
            <v>2016_03</v>
          </cell>
        </row>
        <row r="4389">
          <cell r="J4389">
            <v>77</v>
          </cell>
          <cell r="K4389">
            <v>77</v>
          </cell>
          <cell r="N4389">
            <v>0</v>
          </cell>
          <cell r="Q4389" t="str">
            <v>2016_04</v>
          </cell>
        </row>
        <row r="4390">
          <cell r="J4390">
            <v>77</v>
          </cell>
          <cell r="K4390">
            <v>77</v>
          </cell>
          <cell r="N4390">
            <v>2352.1799999999998</v>
          </cell>
          <cell r="Q4390" t="str">
            <v>2016_05</v>
          </cell>
        </row>
        <row r="4391">
          <cell r="J4391">
            <v>77</v>
          </cell>
          <cell r="K4391">
            <v>77</v>
          </cell>
          <cell r="N4391">
            <v>24.85</v>
          </cell>
          <cell r="Q4391" t="str">
            <v>2016_06</v>
          </cell>
        </row>
        <row r="4392">
          <cell r="J4392">
            <v>77</v>
          </cell>
          <cell r="K4392">
            <v>77</v>
          </cell>
          <cell r="N4392">
            <v>87.85</v>
          </cell>
          <cell r="Q4392" t="str">
            <v>2016_07</v>
          </cell>
        </row>
        <row r="4393">
          <cell r="J4393">
            <v>77</v>
          </cell>
          <cell r="K4393">
            <v>77</v>
          </cell>
          <cell r="N4393">
            <v>0</v>
          </cell>
          <cell r="Q4393" t="str">
            <v>2016_08</v>
          </cell>
        </row>
        <row r="4394">
          <cell r="J4394">
            <v>77</v>
          </cell>
          <cell r="K4394">
            <v>77</v>
          </cell>
          <cell r="N4394">
            <v>78.7</v>
          </cell>
          <cell r="Q4394" t="str">
            <v>2016_09</v>
          </cell>
        </row>
        <row r="4395">
          <cell r="J4395">
            <v>95</v>
          </cell>
          <cell r="K4395">
            <v>95</v>
          </cell>
          <cell r="N4395">
            <v>914.25</v>
          </cell>
          <cell r="Q4395" t="str">
            <v>2015_10</v>
          </cell>
        </row>
        <row r="4396">
          <cell r="J4396">
            <v>95</v>
          </cell>
          <cell r="K4396">
            <v>95</v>
          </cell>
          <cell r="N4396">
            <v>217.5</v>
          </cell>
          <cell r="Q4396" t="str">
            <v>2015_11</v>
          </cell>
        </row>
        <row r="4397">
          <cell r="J4397">
            <v>95</v>
          </cell>
          <cell r="K4397">
            <v>95</v>
          </cell>
          <cell r="N4397">
            <v>484.89</v>
          </cell>
          <cell r="Q4397" t="str">
            <v>2015_12</v>
          </cell>
        </row>
        <row r="4398">
          <cell r="J4398">
            <v>95</v>
          </cell>
          <cell r="K4398">
            <v>95</v>
          </cell>
          <cell r="N4398">
            <v>457.72</v>
          </cell>
          <cell r="Q4398" t="str">
            <v>2016_01</v>
          </cell>
        </row>
        <row r="4399">
          <cell r="J4399">
            <v>95</v>
          </cell>
          <cell r="K4399">
            <v>95</v>
          </cell>
          <cell r="N4399">
            <v>901.98</v>
          </cell>
          <cell r="Q4399" t="str">
            <v>2016_02</v>
          </cell>
        </row>
        <row r="4400">
          <cell r="J4400">
            <v>95</v>
          </cell>
          <cell r="K4400">
            <v>95</v>
          </cell>
          <cell r="N4400">
            <v>675.59</v>
          </cell>
          <cell r="Q4400" t="str">
            <v>2016_03</v>
          </cell>
        </row>
        <row r="4401">
          <cell r="J4401">
            <v>95</v>
          </cell>
          <cell r="K4401">
            <v>95</v>
          </cell>
          <cell r="N4401">
            <v>217.5</v>
          </cell>
          <cell r="Q4401" t="str">
            <v>2016_04</v>
          </cell>
        </row>
        <row r="4402">
          <cell r="J4402">
            <v>95</v>
          </cell>
          <cell r="K4402">
            <v>95</v>
          </cell>
          <cell r="N4402">
            <v>788.02</v>
          </cell>
          <cell r="Q4402" t="str">
            <v>2016_05</v>
          </cell>
        </row>
        <row r="4403">
          <cell r="J4403">
            <v>95</v>
          </cell>
          <cell r="K4403">
            <v>95</v>
          </cell>
          <cell r="N4403">
            <v>544.27</v>
          </cell>
          <cell r="Q4403" t="str">
            <v>2016_06</v>
          </cell>
        </row>
        <row r="4404">
          <cell r="J4404">
            <v>95</v>
          </cell>
          <cell r="K4404">
            <v>95</v>
          </cell>
          <cell r="N4404">
            <v>662.31</v>
          </cell>
          <cell r="Q4404" t="str">
            <v>2016_07</v>
          </cell>
        </row>
        <row r="4405">
          <cell r="J4405">
            <v>95</v>
          </cell>
          <cell r="K4405">
            <v>95</v>
          </cell>
          <cell r="N4405">
            <v>516.37</v>
          </cell>
          <cell r="Q4405" t="str">
            <v>2016_08</v>
          </cell>
        </row>
        <row r="4406">
          <cell r="J4406">
            <v>95</v>
          </cell>
          <cell r="K4406">
            <v>95</v>
          </cell>
          <cell r="N4406">
            <v>217.5</v>
          </cell>
          <cell r="Q4406" t="str">
            <v>2016_09</v>
          </cell>
        </row>
        <row r="4407">
          <cell r="J4407">
            <v>96</v>
          </cell>
          <cell r="K4407">
            <v>96</v>
          </cell>
          <cell r="N4407">
            <v>10210.33</v>
          </cell>
          <cell r="Q4407" t="str">
            <v>2016_01</v>
          </cell>
        </row>
        <row r="4408">
          <cell r="J4408">
            <v>96</v>
          </cell>
          <cell r="K4408">
            <v>96</v>
          </cell>
          <cell r="N4408">
            <v>9335.11</v>
          </cell>
          <cell r="Q4408" t="str">
            <v>2016_02</v>
          </cell>
        </row>
        <row r="4409">
          <cell r="J4409">
            <v>96</v>
          </cell>
          <cell r="K4409">
            <v>96</v>
          </cell>
          <cell r="N4409">
            <v>12952.43</v>
          </cell>
          <cell r="Q4409" t="str">
            <v>2016_03</v>
          </cell>
        </row>
        <row r="4410">
          <cell r="J4410">
            <v>96</v>
          </cell>
          <cell r="K4410">
            <v>96</v>
          </cell>
          <cell r="N4410">
            <v>8453.11</v>
          </cell>
          <cell r="Q4410" t="str">
            <v>2016_04</v>
          </cell>
        </row>
        <row r="4411">
          <cell r="J4411">
            <v>96</v>
          </cell>
          <cell r="K4411">
            <v>96</v>
          </cell>
          <cell r="N4411">
            <v>12281.71</v>
          </cell>
          <cell r="Q4411" t="str">
            <v>2016_05</v>
          </cell>
        </row>
        <row r="4412">
          <cell r="J4412">
            <v>96</v>
          </cell>
          <cell r="K4412">
            <v>96</v>
          </cell>
          <cell r="N4412">
            <v>10407.68</v>
          </cell>
          <cell r="Q4412" t="str">
            <v>2016_06</v>
          </cell>
        </row>
        <row r="4413">
          <cell r="J4413">
            <v>96</v>
          </cell>
          <cell r="K4413">
            <v>96</v>
          </cell>
          <cell r="N4413">
            <v>12139.8</v>
          </cell>
          <cell r="Q4413" t="str">
            <v>2016_07</v>
          </cell>
        </row>
        <row r="4414">
          <cell r="J4414">
            <v>96</v>
          </cell>
          <cell r="K4414">
            <v>96</v>
          </cell>
          <cell r="N4414">
            <v>10009.64</v>
          </cell>
          <cell r="Q4414" t="str">
            <v>2016_08</v>
          </cell>
        </row>
        <row r="4415">
          <cell r="J4415">
            <v>96</v>
          </cell>
          <cell r="K4415">
            <v>96</v>
          </cell>
          <cell r="N4415">
            <v>11833.37</v>
          </cell>
          <cell r="Q4415" t="str">
            <v>2016_09</v>
          </cell>
        </row>
        <row r="4416">
          <cell r="J4416">
            <v>96</v>
          </cell>
          <cell r="K4416">
            <v>96</v>
          </cell>
          <cell r="N4416">
            <v>2182.98</v>
          </cell>
          <cell r="Q4416" t="str">
            <v>2015_10</v>
          </cell>
        </row>
        <row r="4417">
          <cell r="J4417">
            <v>96</v>
          </cell>
          <cell r="K4417">
            <v>96</v>
          </cell>
          <cell r="N4417">
            <v>12863.85</v>
          </cell>
          <cell r="Q4417" t="str">
            <v>2015_11</v>
          </cell>
        </row>
        <row r="4418">
          <cell r="J4418">
            <v>96</v>
          </cell>
          <cell r="K4418">
            <v>96</v>
          </cell>
          <cell r="N4418">
            <v>20215.990000000002</v>
          </cell>
          <cell r="Q4418" t="str">
            <v>2015_12</v>
          </cell>
        </row>
        <row r="4419">
          <cell r="J4419">
            <v>96</v>
          </cell>
          <cell r="K4419">
            <v>96</v>
          </cell>
          <cell r="N4419">
            <v>1051.8399999999999</v>
          </cell>
          <cell r="Q4419" t="str">
            <v>2016_01</v>
          </cell>
        </row>
        <row r="4420">
          <cell r="J4420">
            <v>96</v>
          </cell>
          <cell r="K4420">
            <v>96</v>
          </cell>
          <cell r="N4420">
            <v>1472.96</v>
          </cell>
          <cell r="Q4420" t="str">
            <v>2016_02</v>
          </cell>
        </row>
        <row r="4421">
          <cell r="J4421">
            <v>96</v>
          </cell>
          <cell r="K4421">
            <v>96</v>
          </cell>
          <cell r="N4421">
            <v>2651.12</v>
          </cell>
          <cell r="Q4421" t="str">
            <v>2016_03</v>
          </cell>
        </row>
        <row r="4422">
          <cell r="J4422">
            <v>96</v>
          </cell>
          <cell r="K4422">
            <v>96</v>
          </cell>
          <cell r="N4422">
            <v>2510.96</v>
          </cell>
          <cell r="Q4422" t="str">
            <v>2016_04</v>
          </cell>
        </row>
        <row r="4423">
          <cell r="J4423">
            <v>96</v>
          </cell>
          <cell r="K4423">
            <v>96</v>
          </cell>
          <cell r="N4423">
            <v>3983.69</v>
          </cell>
          <cell r="Q4423" t="str">
            <v>2016_05</v>
          </cell>
        </row>
        <row r="4424">
          <cell r="J4424">
            <v>96</v>
          </cell>
          <cell r="K4424">
            <v>96</v>
          </cell>
          <cell r="N4424">
            <v>3203.56</v>
          </cell>
          <cell r="Q4424" t="str">
            <v>2016_06</v>
          </cell>
        </row>
        <row r="4425">
          <cell r="J4425">
            <v>96</v>
          </cell>
          <cell r="K4425">
            <v>96</v>
          </cell>
          <cell r="N4425">
            <v>3133.06</v>
          </cell>
          <cell r="Q4425" t="str">
            <v>2016_07</v>
          </cell>
        </row>
        <row r="4426">
          <cell r="J4426">
            <v>96</v>
          </cell>
          <cell r="K4426">
            <v>96</v>
          </cell>
          <cell r="N4426">
            <v>2569.29</v>
          </cell>
          <cell r="Q4426" t="str">
            <v>2016_08</v>
          </cell>
        </row>
        <row r="4427">
          <cell r="J4427">
            <v>96</v>
          </cell>
          <cell r="K4427">
            <v>96</v>
          </cell>
          <cell r="N4427">
            <v>1844.46</v>
          </cell>
          <cell r="Q4427" t="str">
            <v>2016_09</v>
          </cell>
        </row>
        <row r="4428">
          <cell r="J4428">
            <v>97</v>
          </cell>
          <cell r="K4428">
            <v>97</v>
          </cell>
          <cell r="N4428">
            <v>5258.72</v>
          </cell>
          <cell r="Q4428" t="str">
            <v>2015_10</v>
          </cell>
        </row>
        <row r="4429">
          <cell r="J4429">
            <v>97</v>
          </cell>
          <cell r="K4429">
            <v>97</v>
          </cell>
          <cell r="N4429">
            <v>5862.8</v>
          </cell>
          <cell r="Q4429" t="str">
            <v>2015_11</v>
          </cell>
        </row>
        <row r="4430">
          <cell r="J4430">
            <v>97</v>
          </cell>
          <cell r="K4430">
            <v>97</v>
          </cell>
          <cell r="N4430">
            <v>5794.69</v>
          </cell>
          <cell r="Q4430" t="str">
            <v>2015_12</v>
          </cell>
        </row>
        <row r="4431">
          <cell r="J4431">
            <v>97</v>
          </cell>
          <cell r="K4431">
            <v>97</v>
          </cell>
          <cell r="N4431">
            <v>5194.67</v>
          </cell>
          <cell r="Q4431" t="str">
            <v>2016_01</v>
          </cell>
        </row>
        <row r="4432">
          <cell r="J4432">
            <v>97</v>
          </cell>
          <cell r="K4432">
            <v>97</v>
          </cell>
          <cell r="N4432">
            <v>6859.87</v>
          </cell>
          <cell r="Q4432" t="str">
            <v>2016_02</v>
          </cell>
        </row>
        <row r="4433">
          <cell r="J4433">
            <v>97</v>
          </cell>
          <cell r="K4433">
            <v>97</v>
          </cell>
          <cell r="N4433">
            <v>5307.12</v>
          </cell>
          <cell r="Q4433" t="str">
            <v>2016_03</v>
          </cell>
        </row>
        <row r="4434">
          <cell r="J4434">
            <v>97</v>
          </cell>
          <cell r="K4434">
            <v>97</v>
          </cell>
          <cell r="N4434">
            <v>7317.58</v>
          </cell>
          <cell r="Q4434" t="str">
            <v>2016_04</v>
          </cell>
        </row>
        <row r="4435">
          <cell r="J4435">
            <v>97</v>
          </cell>
          <cell r="K4435">
            <v>97</v>
          </cell>
          <cell r="N4435">
            <v>6319.04</v>
          </cell>
          <cell r="Q4435" t="str">
            <v>2016_05</v>
          </cell>
        </row>
        <row r="4436">
          <cell r="J4436">
            <v>97</v>
          </cell>
          <cell r="K4436">
            <v>97</v>
          </cell>
          <cell r="N4436">
            <v>7204.08</v>
          </cell>
          <cell r="Q4436" t="str">
            <v>2016_06</v>
          </cell>
        </row>
        <row r="4437">
          <cell r="J4437">
            <v>97</v>
          </cell>
          <cell r="K4437">
            <v>97</v>
          </cell>
          <cell r="N4437">
            <v>7252.57</v>
          </cell>
          <cell r="Q4437" t="str">
            <v>2016_07</v>
          </cell>
        </row>
        <row r="4438">
          <cell r="J4438">
            <v>97</v>
          </cell>
          <cell r="K4438">
            <v>97</v>
          </cell>
          <cell r="N4438">
            <v>7978.19</v>
          </cell>
          <cell r="Q4438" t="str">
            <v>2016_08</v>
          </cell>
        </row>
        <row r="4439">
          <cell r="J4439">
            <v>97</v>
          </cell>
          <cell r="K4439">
            <v>97</v>
          </cell>
          <cell r="N4439">
            <v>7649.49</v>
          </cell>
          <cell r="Q4439" t="str">
            <v>2016_09</v>
          </cell>
        </row>
        <row r="4440">
          <cell r="J4440">
            <v>98</v>
          </cell>
          <cell r="K4440">
            <v>98</v>
          </cell>
          <cell r="N4440">
            <v>527.17999999999995</v>
          </cell>
          <cell r="Q4440" t="str">
            <v>2015_10</v>
          </cell>
        </row>
        <row r="4441">
          <cell r="J4441">
            <v>98</v>
          </cell>
          <cell r="K4441">
            <v>98</v>
          </cell>
          <cell r="N4441">
            <v>543.59</v>
          </cell>
          <cell r="Q4441" t="str">
            <v>2015_11</v>
          </cell>
        </row>
        <row r="4442">
          <cell r="J4442">
            <v>98</v>
          </cell>
          <cell r="K4442">
            <v>98</v>
          </cell>
          <cell r="N4442">
            <v>704.4</v>
          </cell>
          <cell r="Q4442" t="str">
            <v>2015_12</v>
          </cell>
        </row>
        <row r="4443">
          <cell r="J4443">
            <v>98</v>
          </cell>
          <cell r="K4443">
            <v>98</v>
          </cell>
          <cell r="N4443">
            <v>436.73</v>
          </cell>
          <cell r="Q4443" t="str">
            <v>2016_01</v>
          </cell>
        </row>
        <row r="4444">
          <cell r="J4444">
            <v>98</v>
          </cell>
          <cell r="K4444">
            <v>98</v>
          </cell>
          <cell r="N4444">
            <v>760.15</v>
          </cell>
          <cell r="Q4444" t="str">
            <v>2016_02</v>
          </cell>
        </row>
        <row r="4445">
          <cell r="J4445">
            <v>98</v>
          </cell>
          <cell r="K4445">
            <v>98</v>
          </cell>
          <cell r="N4445">
            <v>822.94</v>
          </cell>
          <cell r="Q4445" t="str">
            <v>2016_03</v>
          </cell>
        </row>
        <row r="4446">
          <cell r="J4446">
            <v>98</v>
          </cell>
          <cell r="K4446">
            <v>98</v>
          </cell>
          <cell r="N4446">
            <v>669.28</v>
          </cell>
          <cell r="Q4446" t="str">
            <v>2016_04</v>
          </cell>
        </row>
        <row r="4447">
          <cell r="J4447">
            <v>98</v>
          </cell>
          <cell r="K4447">
            <v>98</v>
          </cell>
          <cell r="N4447">
            <v>966.32</v>
          </cell>
          <cell r="Q4447" t="str">
            <v>2016_05</v>
          </cell>
        </row>
        <row r="4448">
          <cell r="J4448">
            <v>98</v>
          </cell>
          <cell r="K4448">
            <v>98</v>
          </cell>
          <cell r="N4448">
            <v>858.28</v>
          </cell>
          <cell r="Q4448" t="str">
            <v>2016_06</v>
          </cell>
        </row>
        <row r="4449">
          <cell r="J4449">
            <v>98</v>
          </cell>
          <cell r="K4449">
            <v>98</v>
          </cell>
          <cell r="N4449">
            <v>-299.57</v>
          </cell>
          <cell r="Q4449" t="str">
            <v>2016_07</v>
          </cell>
        </row>
        <row r="4450">
          <cell r="J4450">
            <v>98</v>
          </cell>
          <cell r="K4450">
            <v>98</v>
          </cell>
          <cell r="N4450">
            <v>510.97</v>
          </cell>
          <cell r="Q4450" t="str">
            <v>2016_08</v>
          </cell>
        </row>
        <row r="4451">
          <cell r="J4451">
            <v>98</v>
          </cell>
          <cell r="K4451">
            <v>98</v>
          </cell>
          <cell r="N4451">
            <v>636.66999999999996</v>
          </cell>
          <cell r="Q4451" t="str">
            <v>2016_09</v>
          </cell>
        </row>
        <row r="4452">
          <cell r="J4452">
            <v>99</v>
          </cell>
          <cell r="K4452">
            <v>99</v>
          </cell>
          <cell r="N4452">
            <v>3096.9</v>
          </cell>
          <cell r="Q4452" t="str">
            <v>2015_10</v>
          </cell>
        </row>
        <row r="4453">
          <cell r="J4453">
            <v>99</v>
          </cell>
          <cell r="K4453">
            <v>99</v>
          </cell>
          <cell r="N4453">
            <v>4446.3500000000004</v>
          </cell>
          <cell r="Q4453" t="str">
            <v>2015_11</v>
          </cell>
        </row>
        <row r="4454">
          <cell r="J4454">
            <v>99</v>
          </cell>
          <cell r="K4454">
            <v>99</v>
          </cell>
          <cell r="N4454">
            <v>3400.35</v>
          </cell>
          <cell r="Q4454" t="str">
            <v>2015_12</v>
          </cell>
        </row>
        <row r="4455">
          <cell r="J4455">
            <v>99</v>
          </cell>
          <cell r="K4455">
            <v>99</v>
          </cell>
          <cell r="N4455">
            <v>720.01</v>
          </cell>
          <cell r="Q4455" t="str">
            <v>2016_01</v>
          </cell>
        </row>
        <row r="4456">
          <cell r="J4456">
            <v>99</v>
          </cell>
          <cell r="K4456">
            <v>99</v>
          </cell>
          <cell r="N4456">
            <v>2301</v>
          </cell>
          <cell r="Q4456" t="str">
            <v>2016_02</v>
          </cell>
        </row>
        <row r="4457">
          <cell r="J4457">
            <v>99</v>
          </cell>
          <cell r="K4457">
            <v>99</v>
          </cell>
          <cell r="N4457">
            <v>2378.48</v>
          </cell>
          <cell r="Q4457" t="str">
            <v>2016_03</v>
          </cell>
        </row>
        <row r="4458">
          <cell r="J4458">
            <v>99</v>
          </cell>
          <cell r="K4458">
            <v>99</v>
          </cell>
          <cell r="N4458">
            <v>2226.14</v>
          </cell>
          <cell r="Q4458" t="str">
            <v>2016_04</v>
          </cell>
        </row>
        <row r="4459">
          <cell r="J4459">
            <v>99</v>
          </cell>
          <cell r="K4459">
            <v>99</v>
          </cell>
          <cell r="N4459">
            <v>1684.35</v>
          </cell>
          <cell r="Q4459" t="str">
            <v>2016_05</v>
          </cell>
        </row>
        <row r="4460">
          <cell r="J4460">
            <v>99</v>
          </cell>
          <cell r="K4460">
            <v>99</v>
          </cell>
          <cell r="N4460">
            <v>2246.6999999999998</v>
          </cell>
          <cell r="Q4460" t="str">
            <v>2016_06</v>
          </cell>
        </row>
        <row r="4461">
          <cell r="J4461">
            <v>99</v>
          </cell>
          <cell r="K4461">
            <v>99</v>
          </cell>
          <cell r="N4461">
            <v>2082.7600000000002</v>
          </cell>
          <cell r="Q4461" t="str">
            <v>2016_07</v>
          </cell>
        </row>
        <row r="4462">
          <cell r="J4462">
            <v>99</v>
          </cell>
          <cell r="K4462">
            <v>99</v>
          </cell>
          <cell r="N4462">
            <v>2270.85</v>
          </cell>
          <cell r="Q4462" t="str">
            <v>2016_08</v>
          </cell>
        </row>
        <row r="4463">
          <cell r="J4463">
            <v>99</v>
          </cell>
          <cell r="K4463">
            <v>99</v>
          </cell>
          <cell r="N4463">
            <v>2169.6999999999998</v>
          </cell>
          <cell r="Q4463" t="str">
            <v>2016_09</v>
          </cell>
        </row>
        <row r="4464">
          <cell r="J4464">
            <v>97</v>
          </cell>
          <cell r="K4464">
            <v>97</v>
          </cell>
          <cell r="N4464">
            <v>3211.67</v>
          </cell>
          <cell r="Q4464" t="str">
            <v>2015_10</v>
          </cell>
        </row>
        <row r="4465">
          <cell r="J4465">
            <v>97</v>
          </cell>
          <cell r="K4465">
            <v>97</v>
          </cell>
          <cell r="N4465">
            <v>9011.93</v>
          </cell>
          <cell r="Q4465" t="str">
            <v>2015_11</v>
          </cell>
        </row>
        <row r="4466">
          <cell r="J4466">
            <v>97</v>
          </cell>
          <cell r="K4466">
            <v>97</v>
          </cell>
          <cell r="N4466">
            <v>2527.44</v>
          </cell>
          <cell r="Q4466" t="str">
            <v>2015_12</v>
          </cell>
        </row>
        <row r="4467">
          <cell r="J4467">
            <v>97</v>
          </cell>
          <cell r="K4467">
            <v>97</v>
          </cell>
          <cell r="N4467">
            <v>3777.83</v>
          </cell>
          <cell r="Q4467" t="str">
            <v>2016_01</v>
          </cell>
        </row>
        <row r="4468">
          <cell r="J4468">
            <v>97</v>
          </cell>
          <cell r="K4468">
            <v>97</v>
          </cell>
          <cell r="N4468">
            <v>1767.01</v>
          </cell>
          <cell r="Q4468" t="str">
            <v>2016_02</v>
          </cell>
        </row>
        <row r="4469">
          <cell r="J4469">
            <v>97</v>
          </cell>
          <cell r="K4469">
            <v>97</v>
          </cell>
          <cell r="N4469">
            <v>5272.56</v>
          </cell>
          <cell r="Q4469" t="str">
            <v>2016_03</v>
          </cell>
        </row>
        <row r="4470">
          <cell r="J4470">
            <v>97</v>
          </cell>
          <cell r="K4470">
            <v>97</v>
          </cell>
          <cell r="N4470">
            <v>3302.77</v>
          </cell>
          <cell r="Q4470" t="str">
            <v>2016_04</v>
          </cell>
        </row>
        <row r="4471">
          <cell r="J4471">
            <v>97</v>
          </cell>
          <cell r="K4471">
            <v>97</v>
          </cell>
          <cell r="N4471">
            <v>5692.63</v>
          </cell>
          <cell r="Q4471" t="str">
            <v>2016_05</v>
          </cell>
        </row>
        <row r="4472">
          <cell r="J4472">
            <v>97</v>
          </cell>
          <cell r="K4472">
            <v>97</v>
          </cell>
          <cell r="N4472">
            <v>5589.21</v>
          </cell>
          <cell r="Q4472" t="str">
            <v>2016_06</v>
          </cell>
        </row>
        <row r="4473">
          <cell r="J4473">
            <v>97</v>
          </cell>
          <cell r="K4473">
            <v>97</v>
          </cell>
          <cell r="N4473">
            <v>8908.8799999999992</v>
          </cell>
          <cell r="Q4473" t="str">
            <v>2016_07</v>
          </cell>
        </row>
        <row r="4474">
          <cell r="J4474">
            <v>97</v>
          </cell>
          <cell r="K4474">
            <v>97</v>
          </cell>
          <cell r="N4474">
            <v>7611.94</v>
          </cell>
          <cell r="Q4474" t="str">
            <v>2016_08</v>
          </cell>
        </row>
        <row r="4475">
          <cell r="J4475">
            <v>97</v>
          </cell>
          <cell r="K4475">
            <v>97</v>
          </cell>
          <cell r="N4475">
            <v>3062.55</v>
          </cell>
          <cell r="Q4475" t="str">
            <v>2016_09</v>
          </cell>
        </row>
        <row r="4476">
          <cell r="J4476">
            <v>100</v>
          </cell>
          <cell r="K4476">
            <v>100</v>
          </cell>
          <cell r="N4476">
            <v>0</v>
          </cell>
          <cell r="Q4476" t="str">
            <v>2015_10</v>
          </cell>
        </row>
        <row r="4477">
          <cell r="J4477">
            <v>100</v>
          </cell>
          <cell r="K4477">
            <v>100</v>
          </cell>
          <cell r="N4477">
            <v>0</v>
          </cell>
          <cell r="Q4477" t="str">
            <v>2015_11</v>
          </cell>
        </row>
        <row r="4478">
          <cell r="J4478">
            <v>100</v>
          </cell>
          <cell r="K4478">
            <v>100</v>
          </cell>
          <cell r="N4478">
            <v>561</v>
          </cell>
          <cell r="Q4478" t="str">
            <v>2015_12</v>
          </cell>
        </row>
        <row r="4479">
          <cell r="J4479">
            <v>100</v>
          </cell>
          <cell r="K4479">
            <v>100</v>
          </cell>
          <cell r="N4479">
            <v>675</v>
          </cell>
          <cell r="Q4479" t="str">
            <v>2016_01</v>
          </cell>
        </row>
        <row r="4480">
          <cell r="J4480">
            <v>100</v>
          </cell>
          <cell r="K4480">
            <v>100</v>
          </cell>
          <cell r="N4480">
            <v>1055</v>
          </cell>
          <cell r="Q4480" t="str">
            <v>2016_02</v>
          </cell>
        </row>
        <row r="4481">
          <cell r="J4481">
            <v>100</v>
          </cell>
          <cell r="K4481">
            <v>100</v>
          </cell>
          <cell r="N4481">
            <v>225</v>
          </cell>
          <cell r="Q4481" t="str">
            <v>2016_03</v>
          </cell>
        </row>
        <row r="4482">
          <cell r="J4482">
            <v>100</v>
          </cell>
          <cell r="K4482">
            <v>100</v>
          </cell>
          <cell r="N4482">
            <v>95</v>
          </cell>
          <cell r="Q4482" t="str">
            <v>2016_04</v>
          </cell>
        </row>
        <row r="4483">
          <cell r="J4483">
            <v>100</v>
          </cell>
          <cell r="K4483">
            <v>100</v>
          </cell>
          <cell r="N4483">
            <v>1275</v>
          </cell>
          <cell r="Q4483" t="str">
            <v>2016_05</v>
          </cell>
        </row>
        <row r="4484">
          <cell r="J4484">
            <v>100</v>
          </cell>
          <cell r="K4484">
            <v>100</v>
          </cell>
          <cell r="N4484">
            <v>49</v>
          </cell>
          <cell r="Q4484" t="str">
            <v>2016_06</v>
          </cell>
        </row>
        <row r="4485">
          <cell r="J4485">
            <v>100</v>
          </cell>
          <cell r="K4485">
            <v>100</v>
          </cell>
          <cell r="N4485">
            <v>0</v>
          </cell>
          <cell r="Q4485" t="str">
            <v>2016_07</v>
          </cell>
        </row>
        <row r="4486">
          <cell r="J4486">
            <v>100</v>
          </cell>
          <cell r="K4486">
            <v>100</v>
          </cell>
          <cell r="N4486">
            <v>0</v>
          </cell>
          <cell r="Q4486" t="str">
            <v>2016_08</v>
          </cell>
        </row>
        <row r="4487">
          <cell r="J4487">
            <v>100</v>
          </cell>
          <cell r="K4487">
            <v>100</v>
          </cell>
          <cell r="N4487">
            <v>0</v>
          </cell>
          <cell r="Q4487" t="str">
            <v>2016_09</v>
          </cell>
        </row>
        <row r="4488">
          <cell r="J4488">
            <v>100</v>
          </cell>
          <cell r="K4488">
            <v>100</v>
          </cell>
          <cell r="N4488">
            <v>2140</v>
          </cell>
          <cell r="Q4488" t="str">
            <v>2015_10</v>
          </cell>
        </row>
        <row r="4489">
          <cell r="J4489">
            <v>100</v>
          </cell>
          <cell r="K4489">
            <v>100</v>
          </cell>
          <cell r="N4489">
            <v>1440</v>
          </cell>
          <cell r="Q4489" t="str">
            <v>2015_11</v>
          </cell>
        </row>
        <row r="4490">
          <cell r="J4490">
            <v>100</v>
          </cell>
          <cell r="K4490">
            <v>100</v>
          </cell>
          <cell r="N4490">
            <v>1790</v>
          </cell>
          <cell r="Q4490" t="str">
            <v>2015_12</v>
          </cell>
        </row>
        <row r="4491">
          <cell r="J4491">
            <v>100</v>
          </cell>
          <cell r="K4491">
            <v>100</v>
          </cell>
          <cell r="N4491">
            <v>1790</v>
          </cell>
          <cell r="Q4491" t="str">
            <v>2016_01</v>
          </cell>
        </row>
        <row r="4492">
          <cell r="J4492">
            <v>100</v>
          </cell>
          <cell r="K4492">
            <v>100</v>
          </cell>
          <cell r="N4492">
            <v>1790</v>
          </cell>
          <cell r="Q4492" t="str">
            <v>2016_02</v>
          </cell>
        </row>
        <row r="4493">
          <cell r="J4493">
            <v>100</v>
          </cell>
          <cell r="K4493">
            <v>100</v>
          </cell>
          <cell r="N4493">
            <v>1790</v>
          </cell>
          <cell r="Q4493" t="str">
            <v>2016_03</v>
          </cell>
        </row>
        <row r="4494">
          <cell r="J4494">
            <v>100</v>
          </cell>
          <cell r="K4494">
            <v>100</v>
          </cell>
          <cell r="N4494">
            <v>1790</v>
          </cell>
          <cell r="Q4494" t="str">
            <v>2016_04</v>
          </cell>
        </row>
        <row r="4495">
          <cell r="J4495">
            <v>100</v>
          </cell>
          <cell r="K4495">
            <v>100</v>
          </cell>
          <cell r="N4495">
            <v>1790</v>
          </cell>
          <cell r="Q4495" t="str">
            <v>2016_05</v>
          </cell>
        </row>
        <row r="4496">
          <cell r="J4496">
            <v>100</v>
          </cell>
          <cell r="K4496">
            <v>100</v>
          </cell>
          <cell r="N4496">
            <v>1790</v>
          </cell>
          <cell r="Q4496" t="str">
            <v>2016_06</v>
          </cell>
        </row>
        <row r="4497">
          <cell r="J4497">
            <v>100</v>
          </cell>
          <cell r="K4497">
            <v>100</v>
          </cell>
          <cell r="N4497">
            <v>1790</v>
          </cell>
          <cell r="Q4497" t="str">
            <v>2016_07</v>
          </cell>
        </row>
        <row r="4498">
          <cell r="J4498">
            <v>100</v>
          </cell>
          <cell r="K4498">
            <v>100</v>
          </cell>
          <cell r="N4498">
            <v>1790</v>
          </cell>
          <cell r="Q4498" t="str">
            <v>2016_08</v>
          </cell>
        </row>
        <row r="4499">
          <cell r="J4499">
            <v>100</v>
          </cell>
          <cell r="K4499">
            <v>100</v>
          </cell>
          <cell r="N4499">
            <v>1790</v>
          </cell>
          <cell r="Q4499" t="str">
            <v>2016_09</v>
          </cell>
        </row>
        <row r="4500">
          <cell r="J4500">
            <v>101</v>
          </cell>
          <cell r="K4500">
            <v>101</v>
          </cell>
          <cell r="N4500">
            <v>0</v>
          </cell>
          <cell r="Q4500" t="str">
            <v>2015_10</v>
          </cell>
        </row>
        <row r="4501">
          <cell r="J4501">
            <v>101</v>
          </cell>
          <cell r="K4501">
            <v>101</v>
          </cell>
          <cell r="N4501">
            <v>0</v>
          </cell>
          <cell r="Q4501" t="str">
            <v>2015_11</v>
          </cell>
        </row>
        <row r="4502">
          <cell r="J4502">
            <v>101</v>
          </cell>
          <cell r="K4502">
            <v>101</v>
          </cell>
          <cell r="N4502">
            <v>1875</v>
          </cell>
          <cell r="Q4502" t="str">
            <v>2015_12</v>
          </cell>
        </row>
        <row r="4503">
          <cell r="J4503">
            <v>101</v>
          </cell>
          <cell r="K4503">
            <v>101</v>
          </cell>
          <cell r="N4503">
            <v>130</v>
          </cell>
          <cell r="Q4503" t="str">
            <v>2016_01</v>
          </cell>
        </row>
        <row r="4504">
          <cell r="J4504">
            <v>101</v>
          </cell>
          <cell r="K4504">
            <v>101</v>
          </cell>
          <cell r="N4504">
            <v>0</v>
          </cell>
          <cell r="Q4504" t="str">
            <v>2016_02</v>
          </cell>
        </row>
        <row r="4505">
          <cell r="J4505">
            <v>101</v>
          </cell>
          <cell r="K4505">
            <v>101</v>
          </cell>
          <cell r="N4505">
            <v>1875</v>
          </cell>
          <cell r="Q4505" t="str">
            <v>2016_03</v>
          </cell>
        </row>
        <row r="4506">
          <cell r="J4506">
            <v>101</v>
          </cell>
          <cell r="K4506">
            <v>101</v>
          </cell>
          <cell r="N4506">
            <v>0</v>
          </cell>
          <cell r="Q4506" t="str">
            <v>2016_04</v>
          </cell>
        </row>
        <row r="4507">
          <cell r="J4507">
            <v>101</v>
          </cell>
          <cell r="K4507">
            <v>101</v>
          </cell>
          <cell r="N4507">
            <v>0</v>
          </cell>
          <cell r="Q4507" t="str">
            <v>2016_05</v>
          </cell>
        </row>
        <row r="4508">
          <cell r="J4508">
            <v>101</v>
          </cell>
          <cell r="K4508">
            <v>101</v>
          </cell>
          <cell r="N4508">
            <v>1875</v>
          </cell>
          <cell r="Q4508" t="str">
            <v>2016_06</v>
          </cell>
        </row>
        <row r="4509">
          <cell r="J4509">
            <v>101</v>
          </cell>
          <cell r="K4509">
            <v>101</v>
          </cell>
          <cell r="N4509">
            <v>0</v>
          </cell>
          <cell r="Q4509" t="str">
            <v>2016_07</v>
          </cell>
        </row>
        <row r="4510">
          <cell r="J4510">
            <v>101</v>
          </cell>
          <cell r="K4510">
            <v>101</v>
          </cell>
          <cell r="N4510">
            <v>100</v>
          </cell>
          <cell r="Q4510" t="str">
            <v>2016_08</v>
          </cell>
        </row>
        <row r="4511">
          <cell r="J4511">
            <v>101</v>
          </cell>
          <cell r="K4511">
            <v>101</v>
          </cell>
          <cell r="N4511">
            <v>1875</v>
          </cell>
          <cell r="Q4511" t="str">
            <v>2016_09</v>
          </cell>
        </row>
        <row r="4512">
          <cell r="J4512">
            <v>103</v>
          </cell>
          <cell r="K4512">
            <v>103</v>
          </cell>
          <cell r="N4512">
            <v>0</v>
          </cell>
          <cell r="Q4512" t="str">
            <v>2015_10</v>
          </cell>
        </row>
        <row r="4513">
          <cell r="J4513">
            <v>103</v>
          </cell>
          <cell r="K4513">
            <v>103</v>
          </cell>
          <cell r="N4513">
            <v>0</v>
          </cell>
          <cell r="Q4513" t="str">
            <v>2015_11</v>
          </cell>
        </row>
        <row r="4514">
          <cell r="J4514">
            <v>103</v>
          </cell>
          <cell r="K4514">
            <v>103</v>
          </cell>
          <cell r="N4514">
            <v>2319.6999999999998</v>
          </cell>
          <cell r="Q4514" t="str">
            <v>2015_12</v>
          </cell>
        </row>
        <row r="4515">
          <cell r="J4515">
            <v>103</v>
          </cell>
          <cell r="K4515">
            <v>103</v>
          </cell>
          <cell r="N4515">
            <v>323.48</v>
          </cell>
          <cell r="Q4515" t="str">
            <v>2016_02</v>
          </cell>
        </row>
        <row r="4516">
          <cell r="J4516">
            <v>103</v>
          </cell>
          <cell r="K4516">
            <v>103</v>
          </cell>
          <cell r="N4516">
            <v>0</v>
          </cell>
          <cell r="Q4516" t="str">
            <v>2016_03</v>
          </cell>
        </row>
        <row r="4517">
          <cell r="J4517">
            <v>103</v>
          </cell>
          <cell r="K4517">
            <v>103</v>
          </cell>
          <cell r="N4517">
            <v>950</v>
          </cell>
          <cell r="Q4517" t="str">
            <v>2016_04</v>
          </cell>
        </row>
        <row r="4518">
          <cell r="J4518">
            <v>103</v>
          </cell>
          <cell r="K4518">
            <v>103</v>
          </cell>
          <cell r="N4518">
            <v>0</v>
          </cell>
          <cell r="Q4518" t="str">
            <v>2016_05</v>
          </cell>
        </row>
        <row r="4519">
          <cell r="J4519">
            <v>103</v>
          </cell>
          <cell r="K4519">
            <v>103</v>
          </cell>
          <cell r="N4519">
            <v>0</v>
          </cell>
          <cell r="Q4519" t="str">
            <v>2016_06</v>
          </cell>
        </row>
        <row r="4520">
          <cell r="J4520">
            <v>103</v>
          </cell>
          <cell r="K4520">
            <v>103</v>
          </cell>
          <cell r="N4520">
            <v>2356.62</v>
          </cell>
          <cell r="Q4520" t="str">
            <v>2016_07</v>
          </cell>
        </row>
        <row r="4521">
          <cell r="J4521">
            <v>103</v>
          </cell>
          <cell r="K4521">
            <v>103</v>
          </cell>
          <cell r="N4521">
            <v>0</v>
          </cell>
          <cell r="Q4521" t="str">
            <v>2016_08</v>
          </cell>
        </row>
        <row r="4522">
          <cell r="J4522">
            <v>103</v>
          </cell>
          <cell r="K4522">
            <v>103</v>
          </cell>
          <cell r="N4522">
            <v>4256.62</v>
          </cell>
          <cell r="Q4522" t="str">
            <v>2016_09</v>
          </cell>
        </row>
        <row r="4523">
          <cell r="J4523">
            <v>104</v>
          </cell>
          <cell r="K4523">
            <v>104</v>
          </cell>
          <cell r="N4523">
            <v>300.29000000000002</v>
          </cell>
          <cell r="Q4523" t="str">
            <v>2015_10</v>
          </cell>
        </row>
        <row r="4524">
          <cell r="J4524">
            <v>104</v>
          </cell>
          <cell r="K4524">
            <v>104</v>
          </cell>
          <cell r="N4524">
            <v>735.21</v>
          </cell>
          <cell r="Q4524" t="str">
            <v>2015_11</v>
          </cell>
        </row>
        <row r="4525">
          <cell r="J4525">
            <v>104</v>
          </cell>
          <cell r="K4525">
            <v>104</v>
          </cell>
          <cell r="N4525">
            <v>6351.21</v>
          </cell>
          <cell r="Q4525" t="str">
            <v>2015_12</v>
          </cell>
        </row>
        <row r="4526">
          <cell r="J4526">
            <v>104</v>
          </cell>
          <cell r="K4526">
            <v>104</v>
          </cell>
          <cell r="N4526">
            <v>1937</v>
          </cell>
          <cell r="Q4526" t="str">
            <v>2016_01</v>
          </cell>
        </row>
        <row r="4527">
          <cell r="J4527">
            <v>104</v>
          </cell>
          <cell r="K4527">
            <v>104</v>
          </cell>
          <cell r="N4527">
            <v>366.21</v>
          </cell>
          <cell r="Q4527" t="str">
            <v>2016_02</v>
          </cell>
        </row>
        <row r="4528">
          <cell r="J4528">
            <v>104</v>
          </cell>
          <cell r="K4528">
            <v>104</v>
          </cell>
          <cell r="N4528">
            <v>2567.4499999999998</v>
          </cell>
          <cell r="Q4528" t="str">
            <v>2016_03</v>
          </cell>
        </row>
        <row r="4529">
          <cell r="J4529">
            <v>104</v>
          </cell>
          <cell r="K4529">
            <v>104</v>
          </cell>
          <cell r="N4529">
            <v>1846.29</v>
          </cell>
          <cell r="Q4529" t="str">
            <v>2016_04</v>
          </cell>
        </row>
        <row r="4530">
          <cell r="J4530">
            <v>104</v>
          </cell>
          <cell r="K4530">
            <v>104</v>
          </cell>
          <cell r="N4530">
            <v>1017.64</v>
          </cell>
          <cell r="Q4530" t="str">
            <v>2016_05</v>
          </cell>
        </row>
        <row r="4531">
          <cell r="J4531">
            <v>104</v>
          </cell>
          <cell r="K4531">
            <v>104</v>
          </cell>
          <cell r="N4531">
            <v>379.5</v>
          </cell>
          <cell r="Q4531" t="str">
            <v>2016_06</v>
          </cell>
        </row>
        <row r="4532">
          <cell r="J4532">
            <v>104</v>
          </cell>
          <cell r="K4532">
            <v>104</v>
          </cell>
          <cell r="N4532">
            <v>19.5</v>
          </cell>
          <cell r="Q4532" t="str">
            <v>2016_07</v>
          </cell>
        </row>
        <row r="4533">
          <cell r="J4533">
            <v>104</v>
          </cell>
          <cell r="K4533">
            <v>104</v>
          </cell>
          <cell r="N4533">
            <v>5708.77</v>
          </cell>
          <cell r="Q4533" t="str">
            <v>2016_08</v>
          </cell>
        </row>
        <row r="4534">
          <cell r="J4534">
            <v>104</v>
          </cell>
          <cell r="K4534">
            <v>104</v>
          </cell>
          <cell r="N4534">
            <v>1175</v>
          </cell>
          <cell r="Q4534" t="str">
            <v>2016_09</v>
          </cell>
        </row>
        <row r="4535">
          <cell r="J4535">
            <v>105</v>
          </cell>
          <cell r="K4535">
            <v>105</v>
          </cell>
          <cell r="N4535">
            <v>0</v>
          </cell>
          <cell r="Q4535" t="str">
            <v>2015_10</v>
          </cell>
        </row>
        <row r="4536">
          <cell r="J4536">
            <v>105</v>
          </cell>
          <cell r="K4536">
            <v>105</v>
          </cell>
          <cell r="N4536">
            <v>0</v>
          </cell>
          <cell r="Q4536" t="str">
            <v>2015_11</v>
          </cell>
        </row>
        <row r="4537">
          <cell r="J4537">
            <v>105</v>
          </cell>
          <cell r="K4537">
            <v>105</v>
          </cell>
          <cell r="N4537">
            <v>0</v>
          </cell>
          <cell r="Q4537" t="str">
            <v>2015_12</v>
          </cell>
        </row>
        <row r="4538">
          <cell r="J4538">
            <v>105</v>
          </cell>
          <cell r="K4538">
            <v>105</v>
          </cell>
          <cell r="N4538">
            <v>92</v>
          </cell>
          <cell r="Q4538" t="str">
            <v>2016_01</v>
          </cell>
        </row>
        <row r="4539">
          <cell r="J4539">
            <v>105</v>
          </cell>
          <cell r="K4539">
            <v>105</v>
          </cell>
          <cell r="N4539">
            <v>4348</v>
          </cell>
          <cell r="Q4539" t="str">
            <v>2016_02</v>
          </cell>
        </row>
        <row r="4540">
          <cell r="J4540">
            <v>105</v>
          </cell>
          <cell r="K4540">
            <v>105</v>
          </cell>
          <cell r="N4540">
            <v>158</v>
          </cell>
          <cell r="Q4540" t="str">
            <v>2016_03</v>
          </cell>
        </row>
        <row r="4541">
          <cell r="J4541">
            <v>105</v>
          </cell>
          <cell r="K4541">
            <v>105</v>
          </cell>
          <cell r="N4541">
            <v>0</v>
          </cell>
          <cell r="Q4541" t="str">
            <v>2016_04</v>
          </cell>
        </row>
        <row r="4542">
          <cell r="J4542">
            <v>105</v>
          </cell>
          <cell r="K4542">
            <v>105</v>
          </cell>
          <cell r="N4542">
            <v>8035</v>
          </cell>
          <cell r="Q4542" t="str">
            <v>2016_05</v>
          </cell>
        </row>
        <row r="4543">
          <cell r="J4543">
            <v>105</v>
          </cell>
          <cell r="K4543">
            <v>105</v>
          </cell>
          <cell r="N4543">
            <v>0</v>
          </cell>
          <cell r="Q4543" t="str">
            <v>2016_06</v>
          </cell>
        </row>
        <row r="4544">
          <cell r="J4544">
            <v>105</v>
          </cell>
          <cell r="K4544">
            <v>105</v>
          </cell>
          <cell r="N4544">
            <v>0</v>
          </cell>
          <cell r="Q4544" t="str">
            <v>2016_07</v>
          </cell>
        </row>
        <row r="4545">
          <cell r="J4545">
            <v>105</v>
          </cell>
          <cell r="K4545">
            <v>105</v>
          </cell>
          <cell r="N4545">
            <v>432.58</v>
          </cell>
          <cell r="Q4545" t="str">
            <v>2016_08</v>
          </cell>
        </row>
        <row r="4546">
          <cell r="J4546">
            <v>105</v>
          </cell>
          <cell r="K4546">
            <v>105</v>
          </cell>
          <cell r="N4546">
            <v>0</v>
          </cell>
          <cell r="Q4546" t="str">
            <v>2016_09</v>
          </cell>
        </row>
        <row r="4547">
          <cell r="J4547">
            <v>105</v>
          </cell>
          <cell r="K4547">
            <v>105</v>
          </cell>
          <cell r="N4547">
            <v>4.5999999999999996</v>
          </cell>
          <cell r="Q4547" t="str">
            <v>2015_10</v>
          </cell>
        </row>
        <row r="4548">
          <cell r="J4548">
            <v>105</v>
          </cell>
          <cell r="K4548">
            <v>105</v>
          </cell>
          <cell r="N4548">
            <v>643.04</v>
          </cell>
          <cell r="Q4548" t="str">
            <v>2015_11</v>
          </cell>
        </row>
        <row r="4549">
          <cell r="J4549">
            <v>105</v>
          </cell>
          <cell r="K4549">
            <v>105</v>
          </cell>
          <cell r="N4549">
            <v>95.3</v>
          </cell>
          <cell r="Q4549" t="str">
            <v>2015_12</v>
          </cell>
        </row>
        <row r="4550">
          <cell r="J4550">
            <v>105</v>
          </cell>
          <cell r="K4550">
            <v>105</v>
          </cell>
          <cell r="N4550">
            <v>2828.2</v>
          </cell>
          <cell r="Q4550" t="str">
            <v>2016_01</v>
          </cell>
        </row>
        <row r="4551">
          <cell r="J4551">
            <v>105</v>
          </cell>
          <cell r="K4551">
            <v>105</v>
          </cell>
          <cell r="N4551">
            <v>342.18</v>
          </cell>
          <cell r="Q4551" t="str">
            <v>2016_02</v>
          </cell>
        </row>
        <row r="4552">
          <cell r="J4552">
            <v>105</v>
          </cell>
          <cell r="K4552">
            <v>105</v>
          </cell>
          <cell r="N4552">
            <v>2399.4</v>
          </cell>
          <cell r="Q4552" t="str">
            <v>2016_03</v>
          </cell>
        </row>
        <row r="4553">
          <cell r="J4553">
            <v>105</v>
          </cell>
          <cell r="K4553">
            <v>105</v>
          </cell>
          <cell r="N4553">
            <v>-20.8</v>
          </cell>
          <cell r="Q4553" t="str">
            <v>2016_04</v>
          </cell>
        </row>
        <row r="4554">
          <cell r="J4554">
            <v>105</v>
          </cell>
          <cell r="K4554">
            <v>105</v>
          </cell>
          <cell r="N4554">
            <v>556.26</v>
          </cell>
          <cell r="Q4554" t="str">
            <v>2016_05</v>
          </cell>
        </row>
        <row r="4555">
          <cell r="J4555">
            <v>105</v>
          </cell>
          <cell r="K4555">
            <v>105</v>
          </cell>
          <cell r="N4555">
            <v>173.89</v>
          </cell>
          <cell r="Q4555" t="str">
            <v>2016_06</v>
          </cell>
        </row>
        <row r="4556">
          <cell r="J4556">
            <v>105</v>
          </cell>
          <cell r="K4556">
            <v>105</v>
          </cell>
          <cell r="N4556">
            <v>1429.83</v>
          </cell>
          <cell r="Q4556" t="str">
            <v>2016_07</v>
          </cell>
        </row>
        <row r="4557">
          <cell r="J4557">
            <v>105</v>
          </cell>
          <cell r="K4557">
            <v>105</v>
          </cell>
          <cell r="N4557">
            <v>0</v>
          </cell>
          <cell r="Q4557" t="str">
            <v>2016_08</v>
          </cell>
        </row>
        <row r="4558">
          <cell r="J4558">
            <v>105</v>
          </cell>
          <cell r="K4558">
            <v>105</v>
          </cell>
          <cell r="N4558">
            <v>1074.8800000000001</v>
          </cell>
          <cell r="Q4558" t="str">
            <v>2016_09</v>
          </cell>
        </row>
        <row r="4559">
          <cell r="J4559">
            <v>105</v>
          </cell>
          <cell r="K4559">
            <v>105</v>
          </cell>
          <cell r="N4559">
            <v>0</v>
          </cell>
          <cell r="Q4559" t="str">
            <v>2015_10</v>
          </cell>
        </row>
        <row r="4560">
          <cell r="J4560">
            <v>105</v>
          </cell>
          <cell r="K4560">
            <v>105</v>
          </cell>
          <cell r="N4560">
            <v>48.78</v>
          </cell>
          <cell r="Q4560" t="str">
            <v>2015_11</v>
          </cell>
        </row>
        <row r="4561">
          <cell r="J4561">
            <v>105</v>
          </cell>
          <cell r="K4561">
            <v>105</v>
          </cell>
          <cell r="N4561">
            <v>0</v>
          </cell>
          <cell r="Q4561" t="str">
            <v>2015_12</v>
          </cell>
        </row>
        <row r="4562">
          <cell r="J4562">
            <v>105</v>
          </cell>
          <cell r="K4562">
            <v>105</v>
          </cell>
          <cell r="N4562">
            <v>80.28</v>
          </cell>
          <cell r="Q4562" t="str">
            <v>2016_01</v>
          </cell>
        </row>
        <row r="4563">
          <cell r="J4563">
            <v>105</v>
          </cell>
          <cell r="K4563">
            <v>105</v>
          </cell>
          <cell r="N4563">
            <v>0</v>
          </cell>
          <cell r="Q4563" t="str">
            <v>2016_02</v>
          </cell>
        </row>
        <row r="4564">
          <cell r="J4564">
            <v>105</v>
          </cell>
          <cell r="K4564">
            <v>105</v>
          </cell>
          <cell r="N4564">
            <v>0</v>
          </cell>
          <cell r="Q4564" t="str">
            <v>2016_03</v>
          </cell>
        </row>
        <row r="4565">
          <cell r="J4565">
            <v>105</v>
          </cell>
          <cell r="K4565">
            <v>105</v>
          </cell>
          <cell r="N4565">
            <v>0</v>
          </cell>
          <cell r="Q4565" t="str">
            <v>2016_04</v>
          </cell>
        </row>
        <row r="4566">
          <cell r="J4566">
            <v>105</v>
          </cell>
          <cell r="K4566">
            <v>105</v>
          </cell>
          <cell r="N4566">
            <v>0</v>
          </cell>
          <cell r="Q4566" t="str">
            <v>2016_05</v>
          </cell>
        </row>
        <row r="4567">
          <cell r="J4567">
            <v>105</v>
          </cell>
          <cell r="K4567">
            <v>105</v>
          </cell>
          <cell r="N4567">
            <v>0</v>
          </cell>
          <cell r="Q4567" t="str">
            <v>2016_06</v>
          </cell>
        </row>
        <row r="4568">
          <cell r="J4568">
            <v>105</v>
          </cell>
          <cell r="K4568">
            <v>105</v>
          </cell>
          <cell r="N4568">
            <v>0</v>
          </cell>
          <cell r="Q4568" t="str">
            <v>2016_07</v>
          </cell>
        </row>
        <row r="4569">
          <cell r="J4569">
            <v>105</v>
          </cell>
          <cell r="K4569">
            <v>105</v>
          </cell>
          <cell r="N4569">
            <v>0</v>
          </cell>
          <cell r="Q4569" t="str">
            <v>2016_08</v>
          </cell>
        </row>
        <row r="4570">
          <cell r="J4570">
            <v>105</v>
          </cell>
          <cell r="K4570">
            <v>105</v>
          </cell>
          <cell r="N4570">
            <v>0</v>
          </cell>
          <cell r="Q4570" t="str">
            <v>2016_09</v>
          </cell>
        </row>
        <row r="4571">
          <cell r="J4571">
            <v>106</v>
          </cell>
          <cell r="K4571">
            <v>106</v>
          </cell>
          <cell r="N4571">
            <v>1751.55</v>
          </cell>
          <cell r="Q4571" t="str">
            <v>2015_10</v>
          </cell>
        </row>
        <row r="4572">
          <cell r="J4572">
            <v>106</v>
          </cell>
          <cell r="K4572">
            <v>106</v>
          </cell>
          <cell r="N4572">
            <v>2160.25</v>
          </cell>
          <cell r="Q4572" t="str">
            <v>2015_11</v>
          </cell>
        </row>
        <row r="4573">
          <cell r="J4573">
            <v>106</v>
          </cell>
          <cell r="K4573">
            <v>106</v>
          </cell>
          <cell r="N4573">
            <v>1955.9</v>
          </cell>
          <cell r="Q4573" t="str">
            <v>2015_12</v>
          </cell>
        </row>
        <row r="4574">
          <cell r="J4574">
            <v>106</v>
          </cell>
          <cell r="K4574">
            <v>106</v>
          </cell>
          <cell r="N4574">
            <v>1955.9</v>
          </cell>
          <cell r="Q4574" t="str">
            <v>2016_01</v>
          </cell>
        </row>
        <row r="4575">
          <cell r="J4575">
            <v>106</v>
          </cell>
          <cell r="K4575">
            <v>106</v>
          </cell>
          <cell r="N4575">
            <v>3420.7</v>
          </cell>
          <cell r="Q4575" t="str">
            <v>2016_02</v>
          </cell>
        </row>
        <row r="4576">
          <cell r="J4576">
            <v>106</v>
          </cell>
          <cell r="K4576">
            <v>106</v>
          </cell>
          <cell r="N4576">
            <v>2101.5500000000002</v>
          </cell>
          <cell r="Q4576" t="str">
            <v>2016_03</v>
          </cell>
        </row>
        <row r="4577">
          <cell r="J4577">
            <v>106</v>
          </cell>
          <cell r="K4577">
            <v>106</v>
          </cell>
          <cell r="N4577">
            <v>3350</v>
          </cell>
          <cell r="Q4577" t="str">
            <v>2016_04</v>
          </cell>
        </row>
        <row r="4578">
          <cell r="J4578">
            <v>106</v>
          </cell>
          <cell r="K4578">
            <v>106</v>
          </cell>
          <cell r="N4578">
            <v>853.1</v>
          </cell>
          <cell r="Q4578" t="str">
            <v>2016_05</v>
          </cell>
        </row>
        <row r="4579">
          <cell r="J4579">
            <v>106</v>
          </cell>
          <cell r="K4579">
            <v>106</v>
          </cell>
          <cell r="N4579">
            <v>2101.5500000000002</v>
          </cell>
          <cell r="Q4579" t="str">
            <v>2016_06</v>
          </cell>
        </row>
        <row r="4580">
          <cell r="J4580">
            <v>106</v>
          </cell>
          <cell r="K4580">
            <v>106</v>
          </cell>
          <cell r="N4580">
            <v>3468.27</v>
          </cell>
          <cell r="Q4580" t="str">
            <v>2016_07</v>
          </cell>
        </row>
        <row r="4581">
          <cell r="J4581">
            <v>106</v>
          </cell>
          <cell r="K4581">
            <v>106</v>
          </cell>
          <cell r="N4581">
            <v>1955.9</v>
          </cell>
          <cell r="Q4581" t="str">
            <v>2016_08</v>
          </cell>
        </row>
        <row r="4582">
          <cell r="J4582">
            <v>106</v>
          </cell>
          <cell r="K4582">
            <v>106</v>
          </cell>
          <cell r="N4582">
            <v>2101.5500000000002</v>
          </cell>
          <cell r="Q4582" t="str">
            <v>2016_09</v>
          </cell>
        </row>
        <row r="4583">
          <cell r="J4583">
            <v>107</v>
          </cell>
          <cell r="K4583">
            <v>107</v>
          </cell>
          <cell r="N4583">
            <v>4505.43</v>
          </cell>
          <cell r="Q4583" t="str">
            <v>2015_10</v>
          </cell>
        </row>
        <row r="4584">
          <cell r="J4584">
            <v>107</v>
          </cell>
          <cell r="K4584">
            <v>107</v>
          </cell>
          <cell r="N4584">
            <v>76.66</v>
          </cell>
          <cell r="Q4584" t="str">
            <v>2015_11</v>
          </cell>
        </row>
        <row r="4585">
          <cell r="J4585">
            <v>107</v>
          </cell>
          <cell r="K4585">
            <v>107</v>
          </cell>
          <cell r="N4585">
            <v>6766.77</v>
          </cell>
          <cell r="Q4585" t="str">
            <v>2015_12</v>
          </cell>
        </row>
        <row r="4586">
          <cell r="J4586">
            <v>107</v>
          </cell>
          <cell r="K4586">
            <v>107</v>
          </cell>
          <cell r="N4586">
            <v>4794.3999999999996</v>
          </cell>
          <cell r="Q4586" t="str">
            <v>2016_01</v>
          </cell>
        </row>
        <row r="4587">
          <cell r="J4587">
            <v>107</v>
          </cell>
          <cell r="K4587">
            <v>107</v>
          </cell>
          <cell r="N4587">
            <v>7082.27</v>
          </cell>
          <cell r="Q4587" t="str">
            <v>2016_02</v>
          </cell>
        </row>
        <row r="4588">
          <cell r="J4588">
            <v>107</v>
          </cell>
          <cell r="K4588">
            <v>107</v>
          </cell>
          <cell r="N4588">
            <v>14388.2</v>
          </cell>
          <cell r="Q4588" t="str">
            <v>2016_03</v>
          </cell>
        </row>
        <row r="4589">
          <cell r="J4589">
            <v>107</v>
          </cell>
          <cell r="K4589">
            <v>107</v>
          </cell>
          <cell r="N4589">
            <v>5578.15</v>
          </cell>
          <cell r="Q4589" t="str">
            <v>2016_04</v>
          </cell>
        </row>
        <row r="4590">
          <cell r="J4590">
            <v>107</v>
          </cell>
          <cell r="K4590">
            <v>107</v>
          </cell>
          <cell r="N4590">
            <v>3100.48</v>
          </cell>
          <cell r="Q4590" t="str">
            <v>2016_05</v>
          </cell>
        </row>
        <row r="4591">
          <cell r="J4591">
            <v>107</v>
          </cell>
          <cell r="K4591">
            <v>107</v>
          </cell>
          <cell r="N4591">
            <v>3394.84</v>
          </cell>
          <cell r="Q4591" t="str">
            <v>2016_06</v>
          </cell>
        </row>
        <row r="4592">
          <cell r="J4592">
            <v>107</v>
          </cell>
          <cell r="K4592">
            <v>107</v>
          </cell>
          <cell r="N4592">
            <v>2020.21</v>
          </cell>
          <cell r="Q4592" t="str">
            <v>2016_07</v>
          </cell>
        </row>
        <row r="4593">
          <cell r="J4593">
            <v>107</v>
          </cell>
          <cell r="K4593">
            <v>107</v>
          </cell>
          <cell r="N4593">
            <v>1135.1199999999999</v>
          </cell>
          <cell r="Q4593" t="str">
            <v>2016_08</v>
          </cell>
        </row>
        <row r="4594">
          <cell r="J4594">
            <v>107</v>
          </cell>
          <cell r="K4594">
            <v>107</v>
          </cell>
          <cell r="N4594">
            <v>30.92</v>
          </cell>
          <cell r="Q4594" t="str">
            <v>2016_09</v>
          </cell>
        </row>
        <row r="4595">
          <cell r="J4595">
            <v>108</v>
          </cell>
          <cell r="K4595">
            <v>108</v>
          </cell>
          <cell r="N4595">
            <v>7811.2</v>
          </cell>
          <cell r="Q4595" t="str">
            <v>2015_10</v>
          </cell>
        </row>
        <row r="4596">
          <cell r="J4596">
            <v>108</v>
          </cell>
          <cell r="K4596">
            <v>108</v>
          </cell>
          <cell r="N4596">
            <v>18436.599999999999</v>
          </cell>
          <cell r="Q4596" t="str">
            <v>2015_11</v>
          </cell>
        </row>
        <row r="4597">
          <cell r="J4597">
            <v>108</v>
          </cell>
          <cell r="K4597">
            <v>108</v>
          </cell>
          <cell r="N4597">
            <v>-2519.7399999999998</v>
          </cell>
          <cell r="Q4597" t="str">
            <v>2015_12</v>
          </cell>
        </row>
        <row r="4598">
          <cell r="J4598">
            <v>108</v>
          </cell>
          <cell r="K4598">
            <v>108</v>
          </cell>
          <cell r="N4598">
            <v>12096.25</v>
          </cell>
          <cell r="Q4598" t="str">
            <v>2016_01</v>
          </cell>
        </row>
        <row r="4599">
          <cell r="J4599">
            <v>108</v>
          </cell>
          <cell r="K4599">
            <v>108</v>
          </cell>
          <cell r="N4599">
            <v>22756.86</v>
          </cell>
          <cell r="Q4599" t="str">
            <v>2016_02</v>
          </cell>
        </row>
        <row r="4600">
          <cell r="J4600">
            <v>108</v>
          </cell>
          <cell r="K4600">
            <v>108</v>
          </cell>
          <cell r="N4600">
            <v>21316.49</v>
          </cell>
          <cell r="Q4600" t="str">
            <v>2016_03</v>
          </cell>
        </row>
        <row r="4601">
          <cell r="J4601">
            <v>108</v>
          </cell>
          <cell r="K4601">
            <v>108</v>
          </cell>
          <cell r="N4601">
            <v>25420.080000000002</v>
          </cell>
          <cell r="Q4601" t="str">
            <v>2016_04</v>
          </cell>
        </row>
        <row r="4602">
          <cell r="J4602">
            <v>108</v>
          </cell>
          <cell r="K4602">
            <v>108</v>
          </cell>
          <cell r="N4602">
            <v>14946.25</v>
          </cell>
          <cell r="Q4602" t="str">
            <v>2016_05</v>
          </cell>
        </row>
        <row r="4603">
          <cell r="J4603">
            <v>108</v>
          </cell>
          <cell r="K4603">
            <v>108</v>
          </cell>
          <cell r="N4603">
            <v>12878.75</v>
          </cell>
          <cell r="Q4603" t="str">
            <v>2016_06</v>
          </cell>
        </row>
        <row r="4604">
          <cell r="J4604">
            <v>108</v>
          </cell>
          <cell r="K4604">
            <v>108</v>
          </cell>
          <cell r="N4604">
            <v>25172.9</v>
          </cell>
          <cell r="Q4604" t="str">
            <v>2016_07</v>
          </cell>
        </row>
        <row r="4605">
          <cell r="J4605">
            <v>108</v>
          </cell>
          <cell r="K4605">
            <v>108</v>
          </cell>
          <cell r="N4605">
            <v>8832.5</v>
          </cell>
          <cell r="Q4605" t="str">
            <v>2016_08</v>
          </cell>
        </row>
        <row r="4606">
          <cell r="J4606">
            <v>108</v>
          </cell>
          <cell r="K4606">
            <v>108</v>
          </cell>
          <cell r="N4606">
            <v>12215.3</v>
          </cell>
          <cell r="Q4606" t="str">
            <v>2016_09</v>
          </cell>
        </row>
        <row r="4607">
          <cell r="J4607">
            <v>94</v>
          </cell>
          <cell r="K4607">
            <v>94</v>
          </cell>
          <cell r="N4607">
            <v>387.27</v>
          </cell>
          <cell r="Q4607" t="str">
            <v>2015_10</v>
          </cell>
        </row>
        <row r="4608">
          <cell r="J4608">
            <v>94</v>
          </cell>
          <cell r="K4608">
            <v>94</v>
          </cell>
          <cell r="N4608">
            <v>387.27</v>
          </cell>
          <cell r="Q4608" t="str">
            <v>2015_11</v>
          </cell>
        </row>
        <row r="4609">
          <cell r="J4609">
            <v>94</v>
          </cell>
          <cell r="K4609">
            <v>94</v>
          </cell>
          <cell r="N4609">
            <v>387.26</v>
          </cell>
          <cell r="Q4609" t="str">
            <v>2015_12</v>
          </cell>
        </row>
        <row r="4610">
          <cell r="J4610">
            <v>94</v>
          </cell>
          <cell r="K4610">
            <v>94</v>
          </cell>
          <cell r="N4610">
            <v>387.27</v>
          </cell>
          <cell r="Q4610" t="str">
            <v>2016_01</v>
          </cell>
        </row>
        <row r="4611">
          <cell r="J4611">
            <v>94</v>
          </cell>
          <cell r="K4611">
            <v>94</v>
          </cell>
          <cell r="N4611">
            <v>387.27</v>
          </cell>
          <cell r="Q4611" t="str">
            <v>2016_02</v>
          </cell>
        </row>
        <row r="4612">
          <cell r="J4612">
            <v>94</v>
          </cell>
          <cell r="K4612">
            <v>94</v>
          </cell>
          <cell r="N4612">
            <v>387.27</v>
          </cell>
          <cell r="Q4612" t="str">
            <v>2016_03</v>
          </cell>
        </row>
        <row r="4613">
          <cell r="J4613">
            <v>94</v>
          </cell>
          <cell r="K4613">
            <v>94</v>
          </cell>
          <cell r="N4613">
            <v>387.27</v>
          </cell>
          <cell r="Q4613" t="str">
            <v>2016_04</v>
          </cell>
        </row>
        <row r="4614">
          <cell r="J4614">
            <v>94</v>
          </cell>
          <cell r="K4614">
            <v>94</v>
          </cell>
          <cell r="N4614">
            <v>387.27</v>
          </cell>
          <cell r="Q4614" t="str">
            <v>2016_05</v>
          </cell>
        </row>
        <row r="4615">
          <cell r="J4615">
            <v>94</v>
          </cell>
          <cell r="K4615">
            <v>94</v>
          </cell>
          <cell r="N4615">
            <v>387.27</v>
          </cell>
          <cell r="Q4615" t="str">
            <v>2016_06</v>
          </cell>
        </row>
        <row r="4616">
          <cell r="J4616">
            <v>94</v>
          </cell>
          <cell r="K4616">
            <v>94</v>
          </cell>
          <cell r="N4616">
            <v>387.27</v>
          </cell>
          <cell r="Q4616" t="str">
            <v>2016_07</v>
          </cell>
        </row>
        <row r="4617">
          <cell r="J4617">
            <v>94</v>
          </cell>
          <cell r="K4617">
            <v>94</v>
          </cell>
          <cell r="N4617">
            <v>387.27</v>
          </cell>
          <cell r="Q4617" t="str">
            <v>2016_08</v>
          </cell>
        </row>
        <row r="4618">
          <cell r="J4618">
            <v>94</v>
          </cell>
          <cell r="K4618">
            <v>94</v>
          </cell>
          <cell r="N4618">
            <v>387.27</v>
          </cell>
          <cell r="Q4618" t="str">
            <v>2016_09</v>
          </cell>
        </row>
        <row r="4619">
          <cell r="J4619">
            <v>93</v>
          </cell>
          <cell r="K4619">
            <v>93</v>
          </cell>
          <cell r="N4619">
            <v>3825</v>
          </cell>
          <cell r="Q4619" t="str">
            <v>2015_10</v>
          </cell>
        </row>
        <row r="4620">
          <cell r="J4620">
            <v>93</v>
          </cell>
          <cell r="K4620">
            <v>93</v>
          </cell>
          <cell r="N4620">
            <v>3825</v>
          </cell>
          <cell r="Q4620" t="str">
            <v>2015_11</v>
          </cell>
        </row>
        <row r="4621">
          <cell r="J4621">
            <v>93</v>
          </cell>
          <cell r="K4621">
            <v>93</v>
          </cell>
          <cell r="N4621">
            <v>3825</v>
          </cell>
          <cell r="Q4621" t="str">
            <v>2015_12</v>
          </cell>
        </row>
        <row r="4622">
          <cell r="J4622">
            <v>93</v>
          </cell>
          <cell r="K4622">
            <v>93</v>
          </cell>
          <cell r="N4622">
            <v>3825</v>
          </cell>
          <cell r="Q4622" t="str">
            <v>2016_01</v>
          </cell>
        </row>
        <row r="4623">
          <cell r="J4623">
            <v>93</v>
          </cell>
          <cell r="K4623">
            <v>93</v>
          </cell>
          <cell r="N4623">
            <v>3825</v>
          </cell>
          <cell r="Q4623" t="str">
            <v>2016_02</v>
          </cell>
        </row>
        <row r="4624">
          <cell r="J4624">
            <v>93</v>
          </cell>
          <cell r="K4624">
            <v>93</v>
          </cell>
          <cell r="N4624">
            <v>3825</v>
          </cell>
          <cell r="Q4624" t="str">
            <v>2016_03</v>
          </cell>
        </row>
        <row r="4625">
          <cell r="J4625">
            <v>93</v>
          </cell>
          <cell r="K4625">
            <v>93</v>
          </cell>
          <cell r="N4625">
            <v>3825</v>
          </cell>
          <cell r="Q4625" t="str">
            <v>2016_04</v>
          </cell>
        </row>
        <row r="4626">
          <cell r="J4626">
            <v>93</v>
          </cell>
          <cell r="K4626">
            <v>93</v>
          </cell>
          <cell r="N4626">
            <v>3825</v>
          </cell>
          <cell r="Q4626" t="str">
            <v>2016_05</v>
          </cell>
        </row>
        <row r="4627">
          <cell r="J4627">
            <v>93</v>
          </cell>
          <cell r="K4627">
            <v>93</v>
          </cell>
          <cell r="N4627">
            <v>3825</v>
          </cell>
          <cell r="Q4627" t="str">
            <v>2016_06</v>
          </cell>
        </row>
        <row r="4628">
          <cell r="J4628">
            <v>93</v>
          </cell>
          <cell r="K4628">
            <v>93</v>
          </cell>
          <cell r="N4628">
            <v>3825</v>
          </cell>
          <cell r="Q4628" t="str">
            <v>2016_07</v>
          </cell>
        </row>
        <row r="4629">
          <cell r="J4629">
            <v>93</v>
          </cell>
          <cell r="K4629">
            <v>93</v>
          </cell>
          <cell r="N4629">
            <v>3825</v>
          </cell>
          <cell r="Q4629" t="str">
            <v>2016_08</v>
          </cell>
        </row>
        <row r="4630">
          <cell r="J4630">
            <v>93</v>
          </cell>
          <cell r="K4630">
            <v>93</v>
          </cell>
          <cell r="N4630">
            <v>3825</v>
          </cell>
          <cell r="Q4630" t="str">
            <v>2016_09</v>
          </cell>
        </row>
        <row r="4631">
          <cell r="J4631">
            <v>110</v>
          </cell>
          <cell r="K4631">
            <v>110</v>
          </cell>
          <cell r="N4631">
            <v>8.98</v>
          </cell>
          <cell r="Q4631" t="str">
            <v>2015_10</v>
          </cell>
        </row>
        <row r="4632">
          <cell r="J4632">
            <v>110</v>
          </cell>
          <cell r="K4632">
            <v>110</v>
          </cell>
          <cell r="N4632">
            <v>0</v>
          </cell>
          <cell r="Q4632" t="str">
            <v>2015_11</v>
          </cell>
        </row>
        <row r="4633">
          <cell r="J4633">
            <v>110</v>
          </cell>
          <cell r="K4633">
            <v>110</v>
          </cell>
          <cell r="N4633">
            <v>29.73</v>
          </cell>
          <cell r="Q4633" t="str">
            <v>2015_12</v>
          </cell>
        </row>
        <row r="4634">
          <cell r="J4634">
            <v>110</v>
          </cell>
          <cell r="K4634">
            <v>110</v>
          </cell>
          <cell r="N4634">
            <v>-3.99</v>
          </cell>
          <cell r="Q4634" t="str">
            <v>2016_08</v>
          </cell>
        </row>
        <row r="4635">
          <cell r="J4635">
            <v>110</v>
          </cell>
          <cell r="K4635">
            <v>110</v>
          </cell>
          <cell r="N4635">
            <v>0</v>
          </cell>
          <cell r="Q4635" t="str">
            <v>2016_09</v>
          </cell>
        </row>
        <row r="4636">
          <cell r="J4636">
            <v>102</v>
          </cell>
          <cell r="K4636">
            <v>102</v>
          </cell>
          <cell r="N4636">
            <v>867.21</v>
          </cell>
          <cell r="Q4636" t="str">
            <v>2015_10</v>
          </cell>
        </row>
        <row r="4637">
          <cell r="J4637">
            <v>102</v>
          </cell>
          <cell r="K4637">
            <v>102</v>
          </cell>
          <cell r="N4637">
            <v>0</v>
          </cell>
          <cell r="Q4637" t="str">
            <v>2015_11</v>
          </cell>
        </row>
        <row r="4638">
          <cell r="J4638">
            <v>102</v>
          </cell>
          <cell r="K4638">
            <v>102</v>
          </cell>
          <cell r="N4638">
            <v>47878.15</v>
          </cell>
          <cell r="Q4638" t="str">
            <v>2015_12</v>
          </cell>
        </row>
        <row r="4639">
          <cell r="J4639">
            <v>102</v>
          </cell>
          <cell r="K4639">
            <v>102</v>
          </cell>
          <cell r="N4639">
            <v>179.53</v>
          </cell>
          <cell r="Q4639" t="str">
            <v>2016_01</v>
          </cell>
        </row>
        <row r="4640">
          <cell r="J4640">
            <v>102</v>
          </cell>
          <cell r="K4640">
            <v>102</v>
          </cell>
          <cell r="N4640">
            <v>10059.26</v>
          </cell>
          <cell r="Q4640" t="str">
            <v>2016_02</v>
          </cell>
        </row>
        <row r="4641">
          <cell r="J4641">
            <v>102</v>
          </cell>
          <cell r="K4641">
            <v>102</v>
          </cell>
          <cell r="N4641">
            <v>531.26</v>
          </cell>
          <cell r="Q4641" t="str">
            <v>2016_03</v>
          </cell>
        </row>
        <row r="4642">
          <cell r="J4642">
            <v>102</v>
          </cell>
          <cell r="K4642">
            <v>102</v>
          </cell>
          <cell r="N4642">
            <v>1223.67</v>
          </cell>
          <cell r="Q4642" t="str">
            <v>2016_04</v>
          </cell>
        </row>
        <row r="4643">
          <cell r="J4643">
            <v>102</v>
          </cell>
          <cell r="K4643">
            <v>102</v>
          </cell>
          <cell r="N4643">
            <v>1426.84</v>
          </cell>
          <cell r="Q4643" t="str">
            <v>2016_05</v>
          </cell>
        </row>
        <row r="4644">
          <cell r="J4644">
            <v>102</v>
          </cell>
          <cell r="K4644">
            <v>102</v>
          </cell>
          <cell r="N4644">
            <v>798.61</v>
          </cell>
          <cell r="Q4644" t="str">
            <v>2016_06</v>
          </cell>
        </row>
        <row r="4645">
          <cell r="J4645">
            <v>102</v>
          </cell>
          <cell r="K4645">
            <v>102</v>
          </cell>
          <cell r="N4645">
            <v>-456.68</v>
          </cell>
          <cell r="Q4645" t="str">
            <v>2016_07</v>
          </cell>
        </row>
        <row r="4646">
          <cell r="J4646">
            <v>102</v>
          </cell>
          <cell r="K4646">
            <v>102</v>
          </cell>
          <cell r="N4646">
            <v>455.66</v>
          </cell>
          <cell r="Q4646" t="str">
            <v>2016_08</v>
          </cell>
        </row>
        <row r="4647">
          <cell r="J4647">
            <v>102</v>
          </cell>
          <cell r="K4647">
            <v>102</v>
          </cell>
          <cell r="N4647">
            <v>352.18</v>
          </cell>
          <cell r="Q4647" t="str">
            <v>2016_09</v>
          </cell>
        </row>
        <row r="4648">
          <cell r="J4648">
            <v>110</v>
          </cell>
          <cell r="K4648">
            <v>110</v>
          </cell>
          <cell r="N4648">
            <v>3509.56</v>
          </cell>
          <cell r="Q4648" t="str">
            <v>2016_08</v>
          </cell>
        </row>
        <row r="4649">
          <cell r="J4649">
            <v>110</v>
          </cell>
          <cell r="K4649">
            <v>110</v>
          </cell>
          <cell r="N4649">
            <v>4691.97</v>
          </cell>
          <cell r="Q4649" t="str">
            <v>2016_09</v>
          </cell>
        </row>
        <row r="4650">
          <cell r="J4650">
            <v>110</v>
          </cell>
          <cell r="K4650">
            <v>110</v>
          </cell>
          <cell r="N4650">
            <v>0</v>
          </cell>
          <cell r="Q4650" t="str">
            <v>2015_10</v>
          </cell>
        </row>
        <row r="4651">
          <cell r="J4651">
            <v>110</v>
          </cell>
          <cell r="K4651">
            <v>110</v>
          </cell>
          <cell r="N4651">
            <v>0</v>
          </cell>
          <cell r="Q4651" t="str">
            <v>2015_11</v>
          </cell>
        </row>
        <row r="4652">
          <cell r="J4652">
            <v>110</v>
          </cell>
          <cell r="K4652">
            <v>110</v>
          </cell>
          <cell r="N4652">
            <v>0</v>
          </cell>
          <cell r="Q4652" t="str">
            <v>2015_12</v>
          </cell>
        </row>
        <row r="4653">
          <cell r="J4653">
            <v>110</v>
          </cell>
          <cell r="K4653">
            <v>110</v>
          </cell>
          <cell r="N4653">
            <v>3200</v>
          </cell>
          <cell r="Q4653" t="str">
            <v>2016_04</v>
          </cell>
        </row>
        <row r="4654">
          <cell r="J4654">
            <v>110</v>
          </cell>
          <cell r="K4654">
            <v>110</v>
          </cell>
          <cell r="N4654">
            <v>3422.58</v>
          </cell>
          <cell r="Q4654" t="str">
            <v>2016_05</v>
          </cell>
        </row>
        <row r="4655">
          <cell r="J4655">
            <v>110</v>
          </cell>
          <cell r="K4655">
            <v>110</v>
          </cell>
          <cell r="N4655">
            <v>5800.34</v>
          </cell>
          <cell r="Q4655" t="str">
            <v>2016_06</v>
          </cell>
        </row>
        <row r="4656">
          <cell r="J4656">
            <v>110</v>
          </cell>
          <cell r="K4656">
            <v>110</v>
          </cell>
          <cell r="N4656">
            <v>0</v>
          </cell>
          <cell r="Q4656" t="str">
            <v>2016_07</v>
          </cell>
        </row>
        <row r="4657">
          <cell r="J4657">
            <v>110</v>
          </cell>
          <cell r="K4657">
            <v>110</v>
          </cell>
          <cell r="N4657">
            <v>43</v>
          </cell>
          <cell r="Q4657" t="str">
            <v>2016_08</v>
          </cell>
        </row>
        <row r="4658">
          <cell r="J4658">
            <v>110</v>
          </cell>
          <cell r="K4658">
            <v>110</v>
          </cell>
          <cell r="N4658">
            <v>283.02</v>
          </cell>
          <cell r="Q4658" t="str">
            <v>2016_09</v>
          </cell>
        </row>
        <row r="4659">
          <cell r="J4659">
            <v>111</v>
          </cell>
          <cell r="K4659">
            <v>111</v>
          </cell>
          <cell r="N4659">
            <v>46794.91</v>
          </cell>
          <cell r="Q4659" t="str">
            <v>2015_10</v>
          </cell>
        </row>
        <row r="4660">
          <cell r="J4660">
            <v>111</v>
          </cell>
          <cell r="K4660">
            <v>111</v>
          </cell>
          <cell r="N4660">
            <v>0</v>
          </cell>
          <cell r="Q4660" t="str">
            <v>2015_11</v>
          </cell>
        </row>
        <row r="4661">
          <cell r="J4661">
            <v>111</v>
          </cell>
          <cell r="K4661">
            <v>111</v>
          </cell>
          <cell r="N4661">
            <v>-18439.97</v>
          </cell>
          <cell r="Q4661" t="str">
            <v>2015_12</v>
          </cell>
        </row>
        <row r="4662">
          <cell r="J4662">
            <v>111</v>
          </cell>
          <cell r="K4662">
            <v>111</v>
          </cell>
          <cell r="N4662">
            <v>-4590.6000000000004</v>
          </cell>
          <cell r="Q4662" t="str">
            <v>2016_07</v>
          </cell>
        </row>
        <row r="4663">
          <cell r="J4663">
            <v>111</v>
          </cell>
          <cell r="K4663">
            <v>111</v>
          </cell>
          <cell r="N4663">
            <v>0</v>
          </cell>
          <cell r="Q4663" t="str">
            <v>2016_08</v>
          </cell>
        </row>
        <row r="4664">
          <cell r="J4664">
            <v>111</v>
          </cell>
          <cell r="K4664">
            <v>111</v>
          </cell>
          <cell r="N4664">
            <v>-6605.54</v>
          </cell>
          <cell r="Q4664" t="str">
            <v>2016_09</v>
          </cell>
        </row>
        <row r="4665">
          <cell r="J4665">
            <v>112</v>
          </cell>
          <cell r="K4665">
            <v>112</v>
          </cell>
          <cell r="N4665">
            <v>1882.05</v>
          </cell>
          <cell r="Q4665" t="str">
            <v>2015_10</v>
          </cell>
        </row>
        <row r="4666">
          <cell r="J4666">
            <v>112</v>
          </cell>
          <cell r="K4666">
            <v>112</v>
          </cell>
          <cell r="N4666">
            <v>1250.51</v>
          </cell>
          <cell r="Q4666" t="str">
            <v>2015_11</v>
          </cell>
        </row>
        <row r="4667">
          <cell r="J4667">
            <v>112</v>
          </cell>
          <cell r="K4667">
            <v>112</v>
          </cell>
          <cell r="N4667">
            <v>1566.45</v>
          </cell>
          <cell r="Q4667" t="str">
            <v>2015_12</v>
          </cell>
        </row>
        <row r="4668">
          <cell r="J4668">
            <v>112</v>
          </cell>
          <cell r="K4668">
            <v>112</v>
          </cell>
          <cell r="N4668">
            <v>968.95</v>
          </cell>
          <cell r="Q4668" t="str">
            <v>2016_01</v>
          </cell>
        </row>
        <row r="4669">
          <cell r="J4669">
            <v>112</v>
          </cell>
          <cell r="K4669">
            <v>112</v>
          </cell>
          <cell r="N4669">
            <v>2043.99</v>
          </cell>
          <cell r="Q4669" t="str">
            <v>2016_02</v>
          </cell>
        </row>
        <row r="4670">
          <cell r="J4670">
            <v>112</v>
          </cell>
          <cell r="K4670">
            <v>112</v>
          </cell>
          <cell r="N4670">
            <v>2965.34</v>
          </cell>
          <cell r="Q4670" t="str">
            <v>2016_03</v>
          </cell>
        </row>
        <row r="4671">
          <cell r="J4671">
            <v>112</v>
          </cell>
          <cell r="K4671">
            <v>112</v>
          </cell>
          <cell r="N4671">
            <v>3430.55</v>
          </cell>
          <cell r="Q4671" t="str">
            <v>2016_04</v>
          </cell>
        </row>
        <row r="4672">
          <cell r="J4672">
            <v>112</v>
          </cell>
          <cell r="K4672">
            <v>112</v>
          </cell>
          <cell r="N4672">
            <v>2034.34</v>
          </cell>
          <cell r="Q4672" t="str">
            <v>2016_05</v>
          </cell>
        </row>
        <row r="4673">
          <cell r="J4673">
            <v>112</v>
          </cell>
          <cell r="K4673">
            <v>112</v>
          </cell>
          <cell r="N4673">
            <v>2258.6999999999998</v>
          </cell>
          <cell r="Q4673" t="str">
            <v>2016_06</v>
          </cell>
        </row>
        <row r="4674">
          <cell r="J4674">
            <v>112</v>
          </cell>
          <cell r="K4674">
            <v>112</v>
          </cell>
          <cell r="N4674">
            <v>2318.06</v>
          </cell>
          <cell r="Q4674" t="str">
            <v>2016_07</v>
          </cell>
        </row>
        <row r="4675">
          <cell r="J4675">
            <v>112</v>
          </cell>
          <cell r="K4675">
            <v>112</v>
          </cell>
          <cell r="N4675">
            <v>1850.98</v>
          </cell>
          <cell r="Q4675" t="str">
            <v>2016_08</v>
          </cell>
        </row>
        <row r="4676">
          <cell r="J4676">
            <v>112</v>
          </cell>
          <cell r="K4676">
            <v>112</v>
          </cell>
          <cell r="N4676">
            <v>1396.21</v>
          </cell>
          <cell r="Q4676" t="str">
            <v>2016_09</v>
          </cell>
        </row>
        <row r="4677">
          <cell r="J4677">
            <v>114</v>
          </cell>
          <cell r="K4677">
            <v>114</v>
          </cell>
          <cell r="N4677">
            <v>0</v>
          </cell>
          <cell r="Q4677" t="str">
            <v>2015_10</v>
          </cell>
        </row>
        <row r="4678">
          <cell r="J4678">
            <v>114</v>
          </cell>
          <cell r="K4678">
            <v>114</v>
          </cell>
          <cell r="N4678">
            <v>0</v>
          </cell>
          <cell r="Q4678" t="str">
            <v>2015_11</v>
          </cell>
        </row>
        <row r="4679">
          <cell r="J4679">
            <v>114</v>
          </cell>
          <cell r="K4679">
            <v>114</v>
          </cell>
          <cell r="N4679">
            <v>-451.78</v>
          </cell>
          <cell r="Q4679" t="str">
            <v>2015_12</v>
          </cell>
        </row>
        <row r="4680">
          <cell r="J4680">
            <v>115</v>
          </cell>
          <cell r="K4680">
            <v>115</v>
          </cell>
          <cell r="N4680">
            <v>1027.33</v>
          </cell>
          <cell r="Q4680" t="str">
            <v>2016_09</v>
          </cell>
        </row>
        <row r="4681">
          <cell r="J4681">
            <v>115</v>
          </cell>
          <cell r="K4681">
            <v>115</v>
          </cell>
          <cell r="N4681">
            <v>49.31</v>
          </cell>
          <cell r="Q4681" t="str">
            <v>2015_11</v>
          </cell>
        </row>
        <row r="4682">
          <cell r="J4682">
            <v>115</v>
          </cell>
          <cell r="K4682">
            <v>115</v>
          </cell>
          <cell r="N4682">
            <v>0</v>
          </cell>
          <cell r="Q4682" t="str">
            <v>2015_12</v>
          </cell>
        </row>
      </sheetData>
      <sheetData sheetId="6">
        <row r="3">
          <cell r="B3" t="str">
            <v>Account</v>
          </cell>
          <cell r="C3" t="str">
            <v>IS</v>
          </cell>
          <cell r="D3" t="str">
            <v>ProF</v>
          </cell>
        </row>
        <row r="4">
          <cell r="B4" t="str">
            <v xml:space="preserve">3000-000-100  Revenue-Pasco Residential       </v>
          </cell>
          <cell r="C4">
            <v>6</v>
          </cell>
          <cell r="D4">
            <v>1</v>
          </cell>
        </row>
        <row r="5">
          <cell r="B5" t="str">
            <v xml:space="preserve">3000-000-101  Resi Rev - 01-PASCO             </v>
          </cell>
          <cell r="C5">
            <v>6</v>
          </cell>
          <cell r="D5">
            <v>1</v>
          </cell>
        </row>
        <row r="6">
          <cell r="B6" t="str">
            <v xml:space="preserve">3000-000-101  Revenue-Pasco Residential       </v>
          </cell>
          <cell r="C6">
            <v>6</v>
          </cell>
          <cell r="D6">
            <v>1</v>
          </cell>
        </row>
        <row r="7">
          <cell r="B7" t="str">
            <v xml:space="preserve">3000-000-200  Revenue-Pasco Commercial        </v>
          </cell>
          <cell r="C7">
            <v>6</v>
          </cell>
          <cell r="D7">
            <v>2</v>
          </cell>
        </row>
        <row r="8">
          <cell r="B8" t="str">
            <v xml:space="preserve">3000-000-201  Comm Revenue - 01-PASCO         </v>
          </cell>
          <cell r="C8">
            <v>6</v>
          </cell>
          <cell r="D8">
            <v>2</v>
          </cell>
        </row>
        <row r="9">
          <cell r="B9" t="str">
            <v xml:space="preserve">3000-000-201  Comm. Revenue - T1 Pasco        </v>
          </cell>
          <cell r="C9">
            <v>6</v>
          </cell>
          <cell r="D9">
            <v>2</v>
          </cell>
        </row>
        <row r="10">
          <cell r="B10" t="str">
            <v xml:space="preserve">3000-000-300  Revenue-Pasco Industrial        </v>
          </cell>
          <cell r="C10">
            <v>6</v>
          </cell>
          <cell r="D10">
            <v>3</v>
          </cell>
        </row>
        <row r="11">
          <cell r="B11" t="str">
            <v xml:space="preserve">3000-000-301  Indust Revenue - 01 Pasco       </v>
          </cell>
          <cell r="C11">
            <v>6</v>
          </cell>
          <cell r="D11">
            <v>3</v>
          </cell>
        </row>
        <row r="12">
          <cell r="B12" t="str">
            <v xml:space="preserve">3000-000-400  Revenue-Pasco D/F Pass Thru     </v>
          </cell>
          <cell r="C12">
            <v>6</v>
          </cell>
          <cell r="D12">
            <v>3.1</v>
          </cell>
        </row>
        <row r="13">
          <cell r="B13" t="str">
            <v xml:space="preserve">3000-000-401  Pass-Thru Rev - 01 PASCO        </v>
          </cell>
          <cell r="C13">
            <v>6</v>
          </cell>
          <cell r="D13">
            <v>3.1</v>
          </cell>
        </row>
        <row r="14">
          <cell r="B14" t="str">
            <v xml:space="preserve">3000-000-501  Other Revenue - 01 Pasco        </v>
          </cell>
          <cell r="C14">
            <v>6</v>
          </cell>
          <cell r="D14">
            <v>6</v>
          </cell>
        </row>
        <row r="15">
          <cell r="B15" t="str">
            <v xml:space="preserve">3000-010-201  Comm. Revenue - T1 Pasco        </v>
          </cell>
          <cell r="C15">
            <v>6</v>
          </cell>
          <cell r="D15">
            <v>6</v>
          </cell>
        </row>
        <row r="16">
          <cell r="B16" t="str">
            <v xml:space="preserve">3000-010-301  Indust Revenue - T1 Pasco       </v>
          </cell>
          <cell r="C16">
            <v>6</v>
          </cell>
          <cell r="D16">
            <v>6</v>
          </cell>
        </row>
        <row r="17">
          <cell r="B17" t="str">
            <v xml:space="preserve">3000-010-401  Pass-Thru Revenue - T1 Pasco    </v>
          </cell>
          <cell r="C17">
            <v>6</v>
          </cell>
          <cell r="D17">
            <v>3.1</v>
          </cell>
        </row>
        <row r="18">
          <cell r="B18" t="str">
            <v xml:space="preserve">3000-010-501  Other Revenue - T1 Pasco        </v>
          </cell>
          <cell r="C18">
            <v>6</v>
          </cell>
          <cell r="D18">
            <v>6</v>
          </cell>
        </row>
        <row r="19">
          <cell r="B19" t="str">
            <v xml:space="preserve">3015-000-100  Revenue-Prosser Residential     </v>
          </cell>
          <cell r="C19">
            <v>7</v>
          </cell>
          <cell r="D19">
            <v>7</v>
          </cell>
        </row>
        <row r="20">
          <cell r="B20" t="str">
            <v xml:space="preserve">3015-000-115  Resi Revenue - Prosser CB       </v>
          </cell>
          <cell r="C20">
            <v>7</v>
          </cell>
          <cell r="D20">
            <v>7</v>
          </cell>
        </row>
        <row r="21">
          <cell r="B21" t="str">
            <v xml:space="preserve">3015-000-200  Revenue-Prosser Commercial      </v>
          </cell>
          <cell r="C21">
            <v>7</v>
          </cell>
          <cell r="D21">
            <v>7</v>
          </cell>
        </row>
        <row r="22">
          <cell r="B22" t="str">
            <v xml:space="preserve">3015-000-215  Comm Revenue - Prosser CB       </v>
          </cell>
          <cell r="C22">
            <v>7</v>
          </cell>
          <cell r="D22">
            <v>7</v>
          </cell>
        </row>
        <row r="23">
          <cell r="B23" t="str">
            <v xml:space="preserve">3015-000-300  Revenue-Prosser Industrial      </v>
          </cell>
          <cell r="C23">
            <v>7</v>
          </cell>
          <cell r="D23">
            <v>7</v>
          </cell>
        </row>
        <row r="24">
          <cell r="B24" t="str">
            <v xml:space="preserve">3015-000-315  Indust Revenue - Prosser CB     </v>
          </cell>
          <cell r="C24">
            <v>7</v>
          </cell>
          <cell r="D24">
            <v>7</v>
          </cell>
        </row>
        <row r="25">
          <cell r="B25" t="str">
            <v xml:space="preserve">3015-000-400  Revenue-Prosser Pass Thru       </v>
          </cell>
          <cell r="C25">
            <v>7</v>
          </cell>
          <cell r="D25">
            <v>7</v>
          </cell>
        </row>
        <row r="26">
          <cell r="B26" t="str">
            <v xml:space="preserve">3015-000-415  Pass-Thru Revenue - Prosser CB  </v>
          </cell>
          <cell r="C26">
            <v>7</v>
          </cell>
          <cell r="D26">
            <v>7</v>
          </cell>
        </row>
        <row r="27">
          <cell r="B27" t="str">
            <v xml:space="preserve">3015-000-500  Revenue-Prosser Tfr Stn         </v>
          </cell>
          <cell r="C27">
            <v>8</v>
          </cell>
          <cell r="D27">
            <v>8</v>
          </cell>
        </row>
        <row r="28">
          <cell r="B28" t="str">
            <v xml:space="preserve">3015-000-515  Other Revenue - Prosser Trans   </v>
          </cell>
          <cell r="C28">
            <v>8</v>
          </cell>
          <cell r="D28">
            <v>8</v>
          </cell>
        </row>
        <row r="29">
          <cell r="B29" t="str">
            <v xml:space="preserve">3015-001-515  Other Revenue - Prosser Trans   </v>
          </cell>
          <cell r="C29">
            <v>8</v>
          </cell>
          <cell r="D29">
            <v>8</v>
          </cell>
        </row>
        <row r="30">
          <cell r="B30" t="str">
            <v xml:space="preserve">3020-000-100  Revenue-Connell Residentioal    </v>
          </cell>
          <cell r="C30">
            <v>9</v>
          </cell>
          <cell r="D30">
            <v>9</v>
          </cell>
        </row>
        <row r="31">
          <cell r="B31" t="str">
            <v xml:space="preserve">3020-000-108  Resi Revenue - Connell CB       </v>
          </cell>
          <cell r="C31">
            <v>9</v>
          </cell>
          <cell r="D31">
            <v>9</v>
          </cell>
        </row>
        <row r="32">
          <cell r="B32" t="str">
            <v xml:space="preserve">3020-000-200  Revenue-Connell Commercial      </v>
          </cell>
          <cell r="C32">
            <v>9</v>
          </cell>
          <cell r="D32">
            <v>9</v>
          </cell>
        </row>
        <row r="33">
          <cell r="B33" t="str">
            <v xml:space="preserve">3020-000-208  Comm Revenue - Connell          </v>
          </cell>
          <cell r="C33">
            <v>9</v>
          </cell>
          <cell r="D33">
            <v>9</v>
          </cell>
        </row>
        <row r="34">
          <cell r="B34" t="str">
            <v xml:space="preserve">3020-000-300  Revenue-Connell Industrial      </v>
          </cell>
          <cell r="C34">
            <v>9</v>
          </cell>
          <cell r="D34">
            <v>9</v>
          </cell>
        </row>
        <row r="35">
          <cell r="B35" t="str">
            <v xml:space="preserve">3020-000-308  Indust Revenue - Connell CB     </v>
          </cell>
          <cell r="C35">
            <v>9</v>
          </cell>
          <cell r="D35">
            <v>9</v>
          </cell>
        </row>
        <row r="36">
          <cell r="B36" t="str">
            <v xml:space="preserve">3020-000-400  Revenue-Connell D/F Pass Thru   </v>
          </cell>
          <cell r="C36">
            <v>9</v>
          </cell>
          <cell r="D36">
            <v>9</v>
          </cell>
        </row>
        <row r="37">
          <cell r="B37" t="str">
            <v xml:space="preserve">3020-001-108  Resi Revenue - Connell DB       </v>
          </cell>
          <cell r="C37">
            <v>9</v>
          </cell>
          <cell r="D37">
            <v>9</v>
          </cell>
        </row>
        <row r="38">
          <cell r="B38" t="str">
            <v xml:space="preserve">3020-001-208  Comm Revenue - Connell DB       </v>
          </cell>
          <cell r="C38">
            <v>9</v>
          </cell>
          <cell r="D38">
            <v>9</v>
          </cell>
        </row>
        <row r="39">
          <cell r="B39" t="str">
            <v xml:space="preserve">3020-001-308  Indust Revenue - Connell DB     </v>
          </cell>
          <cell r="C39">
            <v>9</v>
          </cell>
          <cell r="D39">
            <v>9</v>
          </cell>
        </row>
        <row r="40">
          <cell r="B40" t="str">
            <v xml:space="preserve">3020-001-408  Pass-Thru Revenue - Connell DB  </v>
          </cell>
          <cell r="C40">
            <v>9</v>
          </cell>
          <cell r="D40">
            <v>9</v>
          </cell>
        </row>
        <row r="41">
          <cell r="B41" t="str">
            <v xml:space="preserve">3020-001-508  Other Revenue - Connell DB      </v>
          </cell>
          <cell r="C41">
            <v>9</v>
          </cell>
          <cell r="D41">
            <v>9</v>
          </cell>
        </row>
        <row r="42">
          <cell r="B42" t="str">
            <v xml:space="preserve">3025-000-100  Revenue-Dayton Residential      </v>
          </cell>
          <cell r="C42">
            <v>10</v>
          </cell>
          <cell r="D42">
            <v>10</v>
          </cell>
        </row>
        <row r="43">
          <cell r="B43" t="str">
            <v xml:space="preserve">3025-000-200  Revenue-Dayton Commercial       </v>
          </cell>
          <cell r="C43">
            <v>10</v>
          </cell>
          <cell r="D43">
            <v>10</v>
          </cell>
        </row>
        <row r="44">
          <cell r="B44" t="str">
            <v xml:space="preserve">3025-000-300  Revenue-Dayton Industrial       </v>
          </cell>
          <cell r="C44">
            <v>10</v>
          </cell>
          <cell r="D44">
            <v>10</v>
          </cell>
        </row>
        <row r="45">
          <cell r="B45" t="str">
            <v xml:space="preserve">3025-000-400  Revenue-Dayton D/F Pass Thru    </v>
          </cell>
          <cell r="C45">
            <v>10</v>
          </cell>
          <cell r="D45">
            <v>10</v>
          </cell>
        </row>
        <row r="46">
          <cell r="B46" t="str">
            <v xml:space="preserve">3025-001-117  Resi Revenue - Dayton DB        </v>
          </cell>
          <cell r="C46">
            <v>10</v>
          </cell>
          <cell r="D46">
            <v>10</v>
          </cell>
        </row>
        <row r="47">
          <cell r="B47" t="str">
            <v xml:space="preserve">3025-001-217  Comm Revenue - Dayton DB        </v>
          </cell>
          <cell r="C47">
            <v>10</v>
          </cell>
          <cell r="D47">
            <v>10</v>
          </cell>
        </row>
        <row r="48">
          <cell r="B48" t="str">
            <v xml:space="preserve">3025-001-317  Indust Revenue - Dayton DB      </v>
          </cell>
          <cell r="C48">
            <v>10</v>
          </cell>
          <cell r="D48">
            <v>10</v>
          </cell>
        </row>
        <row r="49">
          <cell r="B49" t="str">
            <v xml:space="preserve">3025-001-417  Pass-Thru Rev - Dayton DB       </v>
          </cell>
          <cell r="C49">
            <v>10</v>
          </cell>
          <cell r="D49">
            <v>10</v>
          </cell>
        </row>
        <row r="50">
          <cell r="B50" t="str">
            <v xml:space="preserve">3025-001-517  Other Revenue - Dayton DB       </v>
          </cell>
          <cell r="C50">
            <v>10</v>
          </cell>
          <cell r="D50">
            <v>10</v>
          </cell>
        </row>
        <row r="51">
          <cell r="B51" t="str">
            <v xml:space="preserve">3030-000-100  Revenue-Waitsburg Residential   </v>
          </cell>
          <cell r="C51">
            <v>11</v>
          </cell>
          <cell r="D51">
            <v>11</v>
          </cell>
        </row>
        <row r="52">
          <cell r="B52" t="str">
            <v xml:space="preserve">3030-000-116  Resi Revenue - Waitsburg CB     </v>
          </cell>
          <cell r="C52">
            <v>11</v>
          </cell>
          <cell r="D52">
            <v>11</v>
          </cell>
        </row>
        <row r="53">
          <cell r="B53" t="str">
            <v xml:space="preserve">3030-000-200  Revenue-Waitsburg Commercial    </v>
          </cell>
          <cell r="C53">
            <v>11</v>
          </cell>
          <cell r="D53">
            <v>11</v>
          </cell>
        </row>
        <row r="54">
          <cell r="B54" t="str">
            <v xml:space="preserve">3030-000-216  Comm Revenue - Waitsburg CB     </v>
          </cell>
          <cell r="C54">
            <v>11</v>
          </cell>
          <cell r="D54">
            <v>11</v>
          </cell>
        </row>
        <row r="55">
          <cell r="B55" t="str">
            <v xml:space="preserve">3030-000-300  Revenue-Waitsburg Industrial    </v>
          </cell>
          <cell r="C55">
            <v>11</v>
          </cell>
          <cell r="D55">
            <v>11</v>
          </cell>
        </row>
        <row r="56">
          <cell r="B56" t="str">
            <v xml:space="preserve">3030-000-316  Indust Revenue - WaitsBurg CB   </v>
          </cell>
          <cell r="C56">
            <v>11</v>
          </cell>
          <cell r="D56">
            <v>11</v>
          </cell>
        </row>
        <row r="57">
          <cell r="B57" t="str">
            <v xml:space="preserve">3030-000-400  Revenue-Waitsburg D/F PassThru  </v>
          </cell>
          <cell r="C57">
            <v>11</v>
          </cell>
          <cell r="D57">
            <v>11</v>
          </cell>
        </row>
        <row r="58">
          <cell r="B58" t="str">
            <v xml:space="preserve">3030-000-516  Other Revenue - Waitsburg CB    </v>
          </cell>
          <cell r="C58">
            <v>11</v>
          </cell>
          <cell r="D58">
            <v>11</v>
          </cell>
        </row>
        <row r="59">
          <cell r="B59" t="str">
            <v xml:space="preserve">3030-001-316  Indust Revenue - Waitsburg DB   </v>
          </cell>
          <cell r="C59">
            <v>11</v>
          </cell>
          <cell r="D59">
            <v>11</v>
          </cell>
        </row>
        <row r="60">
          <cell r="B60" t="str">
            <v xml:space="preserve">3030-001-416  Pass-Thru Rev - Waitsburg DB    </v>
          </cell>
          <cell r="C60">
            <v>11</v>
          </cell>
          <cell r="D60">
            <v>11</v>
          </cell>
        </row>
        <row r="61">
          <cell r="B61" t="str">
            <v xml:space="preserve">3040-000-100  Revenue-Kennewick Residential   </v>
          </cell>
          <cell r="C61">
            <v>12</v>
          </cell>
          <cell r="D61">
            <v>12</v>
          </cell>
        </row>
        <row r="62">
          <cell r="B62" t="str">
            <v xml:space="preserve">3040-000-111  Resi Revenue - Kennewick        </v>
          </cell>
          <cell r="C62">
            <v>12</v>
          </cell>
          <cell r="D62">
            <v>12</v>
          </cell>
        </row>
        <row r="63">
          <cell r="B63" t="str">
            <v xml:space="preserve">3040-000-200  Revenue-Kennewick Commercial    </v>
          </cell>
          <cell r="C63">
            <v>12</v>
          </cell>
          <cell r="D63">
            <v>12</v>
          </cell>
        </row>
        <row r="64">
          <cell r="B64" t="str">
            <v xml:space="preserve">3040-000-211  Comm Revenue - Kennewick        </v>
          </cell>
          <cell r="C64">
            <v>12</v>
          </cell>
          <cell r="D64">
            <v>12</v>
          </cell>
        </row>
        <row r="65">
          <cell r="B65" t="str">
            <v xml:space="preserve">3040-000-300  Revenue-Kennewick Industrial    </v>
          </cell>
          <cell r="C65">
            <v>12</v>
          </cell>
          <cell r="D65">
            <v>12</v>
          </cell>
        </row>
        <row r="66">
          <cell r="B66" t="str">
            <v xml:space="preserve">3040-000-311  Indust Revenue - Kennewick      </v>
          </cell>
          <cell r="C66">
            <v>12</v>
          </cell>
          <cell r="D66">
            <v>12</v>
          </cell>
        </row>
        <row r="67">
          <cell r="B67" t="str">
            <v xml:space="preserve">3040-000-400  Revenue-Kennewick D/F PassThru  </v>
          </cell>
          <cell r="C67">
            <v>12</v>
          </cell>
          <cell r="D67">
            <v>12</v>
          </cell>
        </row>
        <row r="68">
          <cell r="B68" t="str">
            <v xml:space="preserve">3040-000-411  Pass-Thru Rev - Kennewick       </v>
          </cell>
          <cell r="C68">
            <v>12</v>
          </cell>
          <cell r="D68">
            <v>12</v>
          </cell>
        </row>
        <row r="69">
          <cell r="B69" t="str">
            <v xml:space="preserve">3040-000-511  Other Revenue - Kennewick       </v>
          </cell>
          <cell r="C69">
            <v>12</v>
          </cell>
          <cell r="D69">
            <v>12</v>
          </cell>
        </row>
        <row r="70">
          <cell r="B70" t="str">
            <v xml:space="preserve">3045-000-100  Revenue-Mesa Residential        </v>
          </cell>
          <cell r="C70">
            <v>13</v>
          </cell>
          <cell r="D70">
            <v>13</v>
          </cell>
        </row>
        <row r="71">
          <cell r="B71" t="str">
            <v xml:space="preserve">3045-000-107  Resi Revenue - Mesa CB          </v>
          </cell>
          <cell r="C71">
            <v>13</v>
          </cell>
          <cell r="D71">
            <v>13</v>
          </cell>
        </row>
        <row r="72">
          <cell r="B72" t="str">
            <v xml:space="preserve">3045-000-200  Revenue-Mesa Commercial         </v>
          </cell>
          <cell r="C72">
            <v>13</v>
          </cell>
          <cell r="D72">
            <v>13</v>
          </cell>
        </row>
        <row r="73">
          <cell r="B73" t="str">
            <v xml:space="preserve">3045-000-207  Comm Revenue - Mesa CB          </v>
          </cell>
          <cell r="C73">
            <v>13</v>
          </cell>
          <cell r="D73">
            <v>13</v>
          </cell>
        </row>
        <row r="74">
          <cell r="B74" t="str">
            <v xml:space="preserve">3045-000-300  Revenue-Mesa Industrial         </v>
          </cell>
          <cell r="C74">
            <v>13</v>
          </cell>
          <cell r="D74">
            <v>13</v>
          </cell>
        </row>
        <row r="75">
          <cell r="B75" t="str">
            <v xml:space="preserve">3045-000-307  Indust Revenue - Mesa CB        </v>
          </cell>
          <cell r="C75">
            <v>13</v>
          </cell>
          <cell r="D75">
            <v>13</v>
          </cell>
        </row>
        <row r="76">
          <cell r="B76" t="str">
            <v xml:space="preserve">3045-000-400  Revenue-Mesa D/F Pass Thru      </v>
          </cell>
          <cell r="C76">
            <v>13</v>
          </cell>
          <cell r="D76">
            <v>13</v>
          </cell>
        </row>
        <row r="77">
          <cell r="B77" t="str">
            <v xml:space="preserve">3045-000-407  Pass-Thru Revenue - Mesa CB     </v>
          </cell>
          <cell r="C77">
            <v>13</v>
          </cell>
          <cell r="D77">
            <v>13</v>
          </cell>
        </row>
        <row r="78">
          <cell r="B78" t="str">
            <v xml:space="preserve">3050-000-100  Revenue-Kahlotus Residential    </v>
          </cell>
          <cell r="C78">
            <v>14</v>
          </cell>
          <cell r="D78">
            <v>14</v>
          </cell>
        </row>
        <row r="79">
          <cell r="B79" t="str">
            <v xml:space="preserve">3050-000-109  Resi Revenue - Kahlotus CB      </v>
          </cell>
          <cell r="C79">
            <v>14</v>
          </cell>
          <cell r="D79">
            <v>14</v>
          </cell>
        </row>
        <row r="80">
          <cell r="B80" t="str">
            <v xml:space="preserve">3050-000-200  Revenue-Kahlotus Commercial     </v>
          </cell>
          <cell r="C80">
            <v>14</v>
          </cell>
          <cell r="D80">
            <v>14</v>
          </cell>
        </row>
        <row r="81">
          <cell r="B81" t="str">
            <v xml:space="preserve">3050-000-209  Comm Revenue - Kahlotus CB      </v>
          </cell>
          <cell r="C81">
            <v>14</v>
          </cell>
          <cell r="D81">
            <v>14</v>
          </cell>
        </row>
        <row r="82">
          <cell r="B82" t="str">
            <v xml:space="preserve">3050-000-300  Revenue-Kahlotus Industrial     </v>
          </cell>
          <cell r="C82">
            <v>14</v>
          </cell>
          <cell r="D82">
            <v>14</v>
          </cell>
        </row>
        <row r="83">
          <cell r="B83" t="str">
            <v xml:space="preserve">3050-000-400  Revenue-Kahlotus D/F Pass Thru  </v>
          </cell>
          <cell r="C83">
            <v>14</v>
          </cell>
          <cell r="D83">
            <v>14</v>
          </cell>
        </row>
        <row r="84">
          <cell r="B84" t="str">
            <v xml:space="preserve">3055-000-100  Revenue-Hatton Residential      </v>
          </cell>
          <cell r="C84">
            <v>15</v>
          </cell>
          <cell r="D84">
            <v>15</v>
          </cell>
        </row>
        <row r="85">
          <cell r="B85" t="str">
            <v xml:space="preserve">3055-000-110  Resi Revenue - Hatton           </v>
          </cell>
          <cell r="C85">
            <v>15</v>
          </cell>
          <cell r="D85">
            <v>15</v>
          </cell>
        </row>
        <row r="86">
          <cell r="B86" t="str">
            <v xml:space="preserve">3060-000-300  Revenue-W Richland Industrial   </v>
          </cell>
          <cell r="C86">
            <v>16</v>
          </cell>
          <cell r="D86">
            <v>16</v>
          </cell>
        </row>
        <row r="87">
          <cell r="B87" t="str">
            <v xml:space="preserve">3060-001-513  Other Revenue - W. Richland DB  </v>
          </cell>
          <cell r="C87">
            <v>16</v>
          </cell>
          <cell r="D87">
            <v>16</v>
          </cell>
        </row>
        <row r="88">
          <cell r="B88" t="str">
            <v xml:space="preserve">3100-000-100  Revenue-WUTC Residential        </v>
          </cell>
          <cell r="C88">
            <v>1</v>
          </cell>
          <cell r="D88">
            <v>1</v>
          </cell>
        </row>
        <row r="89">
          <cell r="B89" t="str">
            <v xml:space="preserve">3100-000-102  Resi Revenue - 02 Frank Co      </v>
          </cell>
          <cell r="C89">
            <v>1</v>
          </cell>
          <cell r="D89">
            <v>1</v>
          </cell>
        </row>
        <row r="90">
          <cell r="B90" t="str">
            <v xml:space="preserve">3100-000-104  Resi Revenue - Walla Walla Co   </v>
          </cell>
          <cell r="C90">
            <v>1</v>
          </cell>
          <cell r="D90">
            <v>1</v>
          </cell>
        </row>
        <row r="91">
          <cell r="B91" t="str">
            <v xml:space="preserve">3100-000-200  Revenue-WUTC Commercial         </v>
          </cell>
          <cell r="C91">
            <v>2</v>
          </cell>
          <cell r="D91">
            <v>2</v>
          </cell>
        </row>
        <row r="92">
          <cell r="B92" t="str">
            <v xml:space="preserve">3100-000-202  Comm Revenue - 02 Franklin Co   </v>
          </cell>
          <cell r="C92">
            <v>2</v>
          </cell>
          <cell r="D92">
            <v>2</v>
          </cell>
        </row>
        <row r="93">
          <cell r="B93" t="str">
            <v xml:space="preserve">3100-000-204  Comm Revenue - Walla Walla Co   </v>
          </cell>
          <cell r="C93">
            <v>2</v>
          </cell>
          <cell r="D93">
            <v>2</v>
          </cell>
        </row>
        <row r="94">
          <cell r="B94" t="str">
            <v xml:space="preserve">3100-000-212  Comm Revenue - Richland Rec     </v>
          </cell>
          <cell r="C94">
            <v>16</v>
          </cell>
          <cell r="D94">
            <v>16</v>
          </cell>
        </row>
        <row r="95">
          <cell r="B95" t="str">
            <v xml:space="preserve">3100-000-228  Comm Revenue - Becthel          </v>
          </cell>
          <cell r="C95">
            <v>2</v>
          </cell>
          <cell r="D95">
            <v>2</v>
          </cell>
        </row>
        <row r="96">
          <cell r="B96" t="str">
            <v xml:space="preserve">3100-000-300  Revenue-WUTC Industrial         </v>
          </cell>
          <cell r="C96">
            <v>3</v>
          </cell>
          <cell r="D96">
            <v>3</v>
          </cell>
        </row>
        <row r="97">
          <cell r="B97" t="str">
            <v xml:space="preserve">3100-000-302  Indust Revenue- 02 Franklin Co  </v>
          </cell>
          <cell r="C97">
            <v>3</v>
          </cell>
          <cell r="D97">
            <v>3</v>
          </cell>
        </row>
        <row r="98">
          <cell r="B98" t="str">
            <v xml:space="preserve">3100-000-304  Indust Revenue- Walla Walla Co  </v>
          </cell>
          <cell r="C98">
            <v>3</v>
          </cell>
          <cell r="D98">
            <v>3</v>
          </cell>
        </row>
        <row r="99">
          <cell r="B99" t="str">
            <v xml:space="preserve">3100-000-312  Indust Revenue - Richland Rec   </v>
          </cell>
          <cell r="C99">
            <v>16</v>
          </cell>
          <cell r="D99">
            <v>16</v>
          </cell>
        </row>
        <row r="100">
          <cell r="B100" t="str">
            <v xml:space="preserve">3100-000-328  Indust Revenue - Becthel        </v>
          </cell>
          <cell r="C100">
            <v>3</v>
          </cell>
          <cell r="D100">
            <v>3</v>
          </cell>
        </row>
        <row r="101">
          <cell r="B101" t="str">
            <v xml:space="preserve">3100-000-400  Revenue-WUTC D/F Pass Thru      </v>
          </cell>
          <cell r="C101">
            <v>4</v>
          </cell>
          <cell r="D101">
            <v>4</v>
          </cell>
        </row>
        <row r="102">
          <cell r="B102" t="str">
            <v xml:space="preserve">3100-000-402  Pass-Thru Rev - 02 Franklin Co  </v>
          </cell>
          <cell r="C102">
            <v>4</v>
          </cell>
          <cell r="D102">
            <v>4</v>
          </cell>
        </row>
        <row r="103">
          <cell r="B103" t="str">
            <v xml:space="preserve">3100-000-404  Pass-Thru Rev - Walla Walla Co  </v>
          </cell>
          <cell r="C103">
            <v>4</v>
          </cell>
          <cell r="D103">
            <v>4</v>
          </cell>
        </row>
        <row r="104">
          <cell r="B104" t="str">
            <v xml:space="preserve">3100-000-428  Pass-Thru Revenue - Becthel     </v>
          </cell>
          <cell r="C104">
            <v>4</v>
          </cell>
          <cell r="D104">
            <v>4</v>
          </cell>
        </row>
        <row r="105">
          <cell r="B105" t="str">
            <v xml:space="preserve">3100-000-502  Other Revenue - 02 Franklin Co  </v>
          </cell>
          <cell r="C105">
            <v>5</v>
          </cell>
          <cell r="D105">
            <v>5</v>
          </cell>
        </row>
        <row r="106">
          <cell r="B106" t="str">
            <v xml:space="preserve">3100-000-504  Other Revenue - Walla Walla Co  </v>
          </cell>
          <cell r="C106">
            <v>5</v>
          </cell>
          <cell r="D106">
            <v>5</v>
          </cell>
        </row>
        <row r="107">
          <cell r="B107" t="str">
            <v xml:space="preserve">3100-000-512  Other Revenue - Richland Rec    </v>
          </cell>
          <cell r="C107">
            <v>16</v>
          </cell>
          <cell r="D107">
            <v>16</v>
          </cell>
        </row>
        <row r="108">
          <cell r="B108" t="str">
            <v xml:space="preserve">3100-010-103  Resi Revenue- 03 Benton Co      </v>
          </cell>
          <cell r="C108">
            <v>1</v>
          </cell>
          <cell r="D108">
            <v>1</v>
          </cell>
        </row>
        <row r="109">
          <cell r="B109" t="str">
            <v xml:space="preserve">3100-010-203  Comm Revenue - 03 Benton Co     </v>
          </cell>
          <cell r="C109">
            <v>2</v>
          </cell>
          <cell r="D109">
            <v>2</v>
          </cell>
        </row>
        <row r="110">
          <cell r="B110" t="str">
            <v xml:space="preserve">3100-010-303  Indust - Revenue- 03 Benton C   </v>
          </cell>
          <cell r="C110">
            <v>3</v>
          </cell>
          <cell r="D110">
            <v>3</v>
          </cell>
        </row>
        <row r="111">
          <cell r="B111" t="str">
            <v xml:space="preserve">3100-010-403  Pass-Thru Reven - 03 Benton Co  </v>
          </cell>
          <cell r="C111">
            <v>4</v>
          </cell>
          <cell r="D111">
            <v>4</v>
          </cell>
        </row>
        <row r="112">
          <cell r="B112" t="str">
            <v xml:space="preserve">3100-010-503  Other Revenue - 03 Benton Co    </v>
          </cell>
          <cell r="C112">
            <v>5</v>
          </cell>
          <cell r="D112">
            <v>5</v>
          </cell>
        </row>
        <row r="113">
          <cell r="B113" t="str">
            <v xml:space="preserve">3100-100-202  Comm Revenue - Franklin Contra  </v>
          </cell>
          <cell r="C113">
            <v>18</v>
          </cell>
          <cell r="D113">
            <v>18</v>
          </cell>
        </row>
        <row r="114">
          <cell r="B114" t="str">
            <v xml:space="preserve">3100-100-302  Indust Revenue - Franklin Cont  </v>
          </cell>
          <cell r="C114">
            <v>18</v>
          </cell>
          <cell r="D114">
            <v>18</v>
          </cell>
        </row>
        <row r="115">
          <cell r="B115" t="str">
            <v xml:space="preserve">3100-100-304  Indust Revenue - WW Contract    </v>
          </cell>
          <cell r="C115">
            <v>18</v>
          </cell>
          <cell r="D115">
            <v>18</v>
          </cell>
        </row>
        <row r="116">
          <cell r="B116" t="str">
            <v xml:space="preserve">3100-100-402  Pass-Thru Rev - Frank Contract  </v>
          </cell>
          <cell r="C116">
            <v>18</v>
          </cell>
          <cell r="D116">
            <v>18</v>
          </cell>
        </row>
        <row r="117">
          <cell r="B117" t="str">
            <v xml:space="preserve">3100-100-502  Other Revenue - Franklin Contr  </v>
          </cell>
          <cell r="C117">
            <v>18</v>
          </cell>
          <cell r="D117">
            <v>18</v>
          </cell>
        </row>
        <row r="118">
          <cell r="B118" t="str">
            <v xml:space="preserve">3100-100-504  Other Rev - WW Contract         </v>
          </cell>
          <cell r="C118">
            <v>18</v>
          </cell>
          <cell r="D118">
            <v>18</v>
          </cell>
        </row>
        <row r="119">
          <cell r="B119" t="str">
            <v xml:space="preserve">3100-110-203  Comm Revenue - Benton Contract  </v>
          </cell>
          <cell r="C119">
            <v>18</v>
          </cell>
          <cell r="D119">
            <v>18</v>
          </cell>
        </row>
        <row r="120">
          <cell r="B120" t="str">
            <v xml:space="preserve">3100-110-503  Other Revenue - Benton Contrac  </v>
          </cell>
          <cell r="C120">
            <v>18</v>
          </cell>
          <cell r="D120">
            <v>18</v>
          </cell>
        </row>
        <row r="121">
          <cell r="B121" t="str">
            <v xml:space="preserve">3120-000-300  Revenue-Benton City Industrial  </v>
          </cell>
          <cell r="C121">
            <v>18</v>
          </cell>
          <cell r="D121">
            <v>18</v>
          </cell>
        </row>
        <row r="122">
          <cell r="B122" t="str">
            <v xml:space="preserve">3120-000-514  Other Revenue - Benton Cithy    </v>
          </cell>
          <cell r="C122">
            <v>18</v>
          </cell>
          <cell r="D122">
            <v>18</v>
          </cell>
        </row>
        <row r="123">
          <cell r="B123" t="str">
            <v xml:space="preserve">3420-000-000  Recycling/Service Revenue       </v>
          </cell>
          <cell r="C123">
            <v>21</v>
          </cell>
          <cell r="D123">
            <v>21</v>
          </cell>
        </row>
        <row r="124">
          <cell r="B124" t="str">
            <v xml:space="preserve">3420-000-501  Recycle Rev - Pasco             </v>
          </cell>
          <cell r="C124">
            <v>6</v>
          </cell>
          <cell r="D124">
            <v>6</v>
          </cell>
        </row>
        <row r="125">
          <cell r="B125" t="str">
            <v xml:space="preserve">3420-000-502  Recycle Rev - Frank Contract    </v>
          </cell>
          <cell r="C125">
            <v>18</v>
          </cell>
          <cell r="D125">
            <v>18</v>
          </cell>
        </row>
        <row r="126">
          <cell r="B126" t="str">
            <v xml:space="preserve">3420-000-504  Recycle Rev -WW Contract        </v>
          </cell>
          <cell r="C126">
            <v>18</v>
          </cell>
          <cell r="D126">
            <v>18</v>
          </cell>
        </row>
        <row r="127">
          <cell r="B127" t="str">
            <v xml:space="preserve">3420-000-508  Other Revenue - Connell CB      </v>
          </cell>
          <cell r="C127">
            <v>9</v>
          </cell>
          <cell r="D127">
            <v>9</v>
          </cell>
        </row>
        <row r="128">
          <cell r="B128" t="str">
            <v xml:space="preserve">3420-000-511  Recycle Rev - Kennewick         </v>
          </cell>
          <cell r="C128">
            <v>12</v>
          </cell>
          <cell r="D128">
            <v>12</v>
          </cell>
        </row>
        <row r="129">
          <cell r="B129" t="str">
            <v xml:space="preserve">3420-000-512  Recycle Rev - Richland Rec      </v>
          </cell>
          <cell r="C129">
            <v>16</v>
          </cell>
          <cell r="D129">
            <v>16</v>
          </cell>
        </row>
        <row r="130">
          <cell r="B130" t="str">
            <v xml:space="preserve">3420-000-513  Recycle Rev - W. Richland DB    </v>
          </cell>
          <cell r="C130">
            <v>16</v>
          </cell>
          <cell r="D130">
            <v>16</v>
          </cell>
        </row>
        <row r="131">
          <cell r="B131" t="str">
            <v xml:space="preserve">3420-000-514  Recycle Rev - Benton City       </v>
          </cell>
          <cell r="C131">
            <v>18</v>
          </cell>
          <cell r="D131">
            <v>18</v>
          </cell>
        </row>
        <row r="132">
          <cell r="B132" t="str">
            <v xml:space="preserve">3420-000-515  Recycle Rev - City of Prosser   </v>
          </cell>
          <cell r="C132">
            <v>7</v>
          </cell>
          <cell r="D132">
            <v>7</v>
          </cell>
        </row>
        <row r="133">
          <cell r="B133" t="str">
            <v xml:space="preserve">3420-000-524  Recycle Rev - Yakima Co         </v>
          </cell>
          <cell r="C133">
            <v>5</v>
          </cell>
          <cell r="D133">
            <v>5</v>
          </cell>
        </row>
        <row r="134">
          <cell r="B134" t="str">
            <v xml:space="preserve">3420-000-528  Recycle Rev - Becthel           </v>
          </cell>
          <cell r="C134">
            <v>5</v>
          </cell>
          <cell r="D134">
            <v>5</v>
          </cell>
        </row>
        <row r="135">
          <cell r="B135" t="str">
            <v xml:space="preserve">3420-110-503  Recycle Rev - Benton Contract   </v>
          </cell>
          <cell r="C135">
            <v>18</v>
          </cell>
          <cell r="D135">
            <v>18</v>
          </cell>
        </row>
        <row r="136">
          <cell r="B136" t="str">
            <v xml:space="preserve">3425-000-000  Truck Wash Revenue              </v>
          </cell>
          <cell r="C136">
            <v>20</v>
          </cell>
          <cell r="D136">
            <v>20</v>
          </cell>
        </row>
        <row r="137">
          <cell r="B137" t="str">
            <v xml:space="preserve">3500-100-000  Fuel Revenue-BDI                </v>
          </cell>
          <cell r="C137">
            <v>19</v>
          </cell>
          <cell r="D137">
            <v>19</v>
          </cell>
        </row>
        <row r="138">
          <cell r="B138" t="str">
            <v xml:space="preserve">3500-200-000  Fuel Revenue EDS                </v>
          </cell>
          <cell r="C138">
            <v>19</v>
          </cell>
          <cell r="D138">
            <v>19</v>
          </cell>
        </row>
        <row r="139">
          <cell r="B139" t="str">
            <v xml:space="preserve">3500-300-000  Fuel Revenue BDIT               </v>
          </cell>
          <cell r="C139">
            <v>19</v>
          </cell>
          <cell r="D139">
            <v>19</v>
          </cell>
        </row>
        <row r="140">
          <cell r="B140" t="str">
            <v xml:space="preserve">3500-302-000  Fuel Revenue ATT                </v>
          </cell>
          <cell r="C140">
            <v>19</v>
          </cell>
          <cell r="D140">
            <v>19</v>
          </cell>
        </row>
        <row r="141">
          <cell r="B141" t="str">
            <v xml:space="preserve">3500-600-000  Fuel Revenue BlueRoom           </v>
          </cell>
          <cell r="C141">
            <v>19</v>
          </cell>
          <cell r="D141">
            <v>19</v>
          </cell>
        </row>
        <row r="142">
          <cell r="B142" t="str">
            <v xml:space="preserve">3999-000-000  Recycling/Commodity Revenue     </v>
          </cell>
          <cell r="C142">
            <v>21</v>
          </cell>
          <cell r="D142">
            <v>21</v>
          </cell>
        </row>
        <row r="143">
          <cell r="B143" t="str">
            <v xml:space="preserve">4000-100-000  Disposal Fees - Finley          </v>
          </cell>
          <cell r="C143">
            <v>23</v>
          </cell>
          <cell r="D143">
            <v>23</v>
          </cell>
        </row>
        <row r="144">
          <cell r="B144" t="str">
            <v xml:space="preserve">4000-200-000  Disposal Fees - Roosevelt       </v>
          </cell>
          <cell r="C144">
            <v>23</v>
          </cell>
          <cell r="D144">
            <v>23</v>
          </cell>
        </row>
        <row r="145">
          <cell r="B145" t="str">
            <v xml:space="preserve">4000-300-000  Disposal Fees TransferStn BDIT  </v>
          </cell>
          <cell r="C145">
            <v>22</v>
          </cell>
          <cell r="D145">
            <v>22</v>
          </cell>
        </row>
        <row r="146">
          <cell r="B146" t="str">
            <v xml:space="preserve">4002-100-000  Refrig and Ewaste               </v>
          </cell>
          <cell r="C146">
            <v>24</v>
          </cell>
          <cell r="D146">
            <v>24</v>
          </cell>
        </row>
        <row r="147">
          <cell r="B147" t="str">
            <v xml:space="preserve">4020-000-000  Hauling Fees                    </v>
          </cell>
          <cell r="C147">
            <v>22</v>
          </cell>
          <cell r="D147">
            <v>22</v>
          </cell>
        </row>
        <row r="148">
          <cell r="B148" t="str">
            <v xml:space="preserve">4020-100-000  Recycle Haul Fees               </v>
          </cell>
          <cell r="C148">
            <v>22</v>
          </cell>
          <cell r="D148">
            <v>22</v>
          </cell>
        </row>
        <row r="149">
          <cell r="B149" t="str">
            <v>4100-000-030  Wages-Salaried                  Mechanic</v>
          </cell>
          <cell r="C149">
            <v>25</v>
          </cell>
          <cell r="D149">
            <v>25</v>
          </cell>
        </row>
        <row r="150">
          <cell r="B150" t="str">
            <v>4100-000-050  Wages-Salaried                  Supervisor</v>
          </cell>
          <cell r="C150">
            <v>25</v>
          </cell>
          <cell r="D150">
            <v>25</v>
          </cell>
        </row>
        <row r="151">
          <cell r="B151" t="str">
            <v>4100-000-060  Wages-Salaried                  CSR</v>
          </cell>
          <cell r="C151">
            <v>85</v>
          </cell>
          <cell r="D151">
            <v>85.1</v>
          </cell>
        </row>
        <row r="152">
          <cell r="B152" t="str">
            <v>4100-000-064  Wages-Salaried                  Admin</v>
          </cell>
          <cell r="C152">
            <v>85</v>
          </cell>
          <cell r="D152">
            <v>85.2</v>
          </cell>
        </row>
        <row r="153">
          <cell r="B153" t="str">
            <v>4100-000-070  Wages-Salaried                  Stockholder</v>
          </cell>
          <cell r="C153">
            <v>77</v>
          </cell>
          <cell r="D153">
            <v>77</v>
          </cell>
        </row>
        <row r="154">
          <cell r="B154" t="str">
            <v>4100-100-020  Wages-Regular                   Utility</v>
          </cell>
          <cell r="C154">
            <v>49</v>
          </cell>
          <cell r="D154">
            <v>49</v>
          </cell>
        </row>
        <row r="155">
          <cell r="B155" t="str">
            <v>4100-100-030  Wages-Regular                   Mechanic</v>
          </cell>
          <cell r="C155">
            <v>49</v>
          </cell>
          <cell r="D155">
            <v>49</v>
          </cell>
        </row>
        <row r="156">
          <cell r="B156" t="str">
            <v>4100-100-040  Wages-Regular                   Welder</v>
          </cell>
          <cell r="C156">
            <v>49</v>
          </cell>
          <cell r="D156">
            <v>49</v>
          </cell>
        </row>
        <row r="157">
          <cell r="B157" t="str">
            <v>4100-100-060  Office Wages-Regular            CSR</v>
          </cell>
          <cell r="C157">
            <v>85</v>
          </cell>
          <cell r="D157">
            <v>85.1</v>
          </cell>
        </row>
        <row r="158">
          <cell r="B158" t="str">
            <v>4100-100-062  Wages-Regular                   Accounting</v>
          </cell>
          <cell r="C158">
            <v>85</v>
          </cell>
          <cell r="D158">
            <v>85.2</v>
          </cell>
        </row>
        <row r="159">
          <cell r="B159" t="str">
            <v>4100-100-064  Admin Wages-Regular             Admin</v>
          </cell>
          <cell r="C159">
            <v>85</v>
          </cell>
          <cell r="D159">
            <v>85.2</v>
          </cell>
        </row>
        <row r="160">
          <cell r="B160" t="str">
            <v>4100-100-090  Wages-Regular                   DEL</v>
          </cell>
          <cell r="C160">
            <v>69</v>
          </cell>
          <cell r="D160">
            <v>69</v>
          </cell>
        </row>
        <row r="161">
          <cell r="B161" t="str">
            <v>4100-100-100  Wages-Regular                   ASL</v>
          </cell>
          <cell r="C161">
            <v>26</v>
          </cell>
          <cell r="D161">
            <v>26</v>
          </cell>
        </row>
        <row r="162">
          <cell r="B162" t="str">
            <v>4100-100-120  Wages-Regular                   REL</v>
          </cell>
          <cell r="C162">
            <v>26</v>
          </cell>
          <cell r="D162">
            <v>26</v>
          </cell>
        </row>
        <row r="163">
          <cell r="B163" t="str">
            <v>4100-100-200  Wages-Regular                   FEL</v>
          </cell>
          <cell r="C163">
            <v>26</v>
          </cell>
          <cell r="D163">
            <v>26</v>
          </cell>
        </row>
        <row r="164">
          <cell r="B164" t="str">
            <v>4100-100-300  Wages-Regular                   ROL</v>
          </cell>
          <cell r="C164">
            <v>34</v>
          </cell>
          <cell r="D164">
            <v>34</v>
          </cell>
        </row>
        <row r="165">
          <cell r="B165" t="str">
            <v>4100-200-020  Wages-Overtime                  Utility</v>
          </cell>
          <cell r="C165">
            <v>50</v>
          </cell>
          <cell r="D165">
            <v>50</v>
          </cell>
        </row>
        <row r="166">
          <cell r="B166" t="str">
            <v>4100-200-030  Wages-Overtime                  Mechanic</v>
          </cell>
          <cell r="C166">
            <v>50</v>
          </cell>
          <cell r="D166">
            <v>50</v>
          </cell>
        </row>
        <row r="167">
          <cell r="B167" t="str">
            <v>4100-200-040  Wages-Overtime                  Welder</v>
          </cell>
          <cell r="C167">
            <v>50</v>
          </cell>
          <cell r="D167">
            <v>50</v>
          </cell>
        </row>
        <row r="168">
          <cell r="B168" t="str">
            <v>4100-200-060  Office Wages-Overtime           CSR</v>
          </cell>
          <cell r="C168">
            <v>85</v>
          </cell>
          <cell r="D168">
            <v>85.1</v>
          </cell>
        </row>
        <row r="169">
          <cell r="B169" t="str">
            <v>4100-200-062  Wages-Overtime                  Accounting</v>
          </cell>
          <cell r="C169">
            <v>85</v>
          </cell>
          <cell r="D169">
            <v>85.2</v>
          </cell>
        </row>
        <row r="170">
          <cell r="B170" t="str">
            <v>4100-200-064  Admin Wages-Overtime            Admin</v>
          </cell>
          <cell r="C170">
            <v>85</v>
          </cell>
          <cell r="D170">
            <v>85.2</v>
          </cell>
        </row>
        <row r="171">
          <cell r="B171" t="str">
            <v>4100-200-090  Wages-Overtime                  DEL</v>
          </cell>
          <cell r="C171">
            <v>69</v>
          </cell>
          <cell r="D171">
            <v>69</v>
          </cell>
        </row>
        <row r="172">
          <cell r="B172" t="str">
            <v>4100-200-100  Wages-Overtime                  ASL</v>
          </cell>
          <cell r="C172">
            <v>27</v>
          </cell>
          <cell r="D172">
            <v>27</v>
          </cell>
        </row>
        <row r="173">
          <cell r="B173" t="str">
            <v>4100-200-120  Wages-Overtime                  REL</v>
          </cell>
          <cell r="C173">
            <v>27</v>
          </cell>
          <cell r="D173">
            <v>27</v>
          </cell>
        </row>
        <row r="174">
          <cell r="B174" t="str">
            <v>4100-200-200  Wages-Overtime                  FEL</v>
          </cell>
          <cell r="C174">
            <v>27</v>
          </cell>
          <cell r="D174">
            <v>27</v>
          </cell>
        </row>
        <row r="175">
          <cell r="B175" t="str">
            <v>4100-200-300  Wages-Overtime                  ROL</v>
          </cell>
          <cell r="C175">
            <v>35</v>
          </cell>
          <cell r="D175">
            <v>35</v>
          </cell>
        </row>
        <row r="176">
          <cell r="B176" t="str">
            <v>4100-400-060  Wages Allocated - Office        CSR</v>
          </cell>
          <cell r="C176">
            <v>85</v>
          </cell>
          <cell r="D176">
            <v>85.1</v>
          </cell>
        </row>
        <row r="177">
          <cell r="B177" t="str">
            <v>4100-400-070  Allocated Salaried              Stockholder</v>
          </cell>
          <cell r="C177">
            <v>78</v>
          </cell>
          <cell r="D177">
            <v>78</v>
          </cell>
        </row>
        <row r="178">
          <cell r="B178" t="str">
            <v>4100-400-090  Wages Allocated-DEL             DEL</v>
          </cell>
          <cell r="C178">
            <v>69</v>
          </cell>
          <cell r="D178">
            <v>69</v>
          </cell>
        </row>
        <row r="179">
          <cell r="B179" t="str">
            <v>4100-400-100  Wages Allocated                 ASL</v>
          </cell>
          <cell r="C179">
            <v>26</v>
          </cell>
          <cell r="D179">
            <v>26</v>
          </cell>
        </row>
        <row r="180">
          <cell r="B180" t="str">
            <v>4100-400-300  Wages Allocated-ROL             ROL</v>
          </cell>
          <cell r="C180">
            <v>34</v>
          </cell>
          <cell r="D180">
            <v>34</v>
          </cell>
        </row>
        <row r="181">
          <cell r="B181" t="str">
            <v>4100-600-020  Contract Labor                  Utility</v>
          </cell>
          <cell r="C181">
            <v>57</v>
          </cell>
          <cell r="D181">
            <v>57</v>
          </cell>
        </row>
        <row r="182">
          <cell r="B182" t="str">
            <v>4100-600-040  Contract Labor                  Welder</v>
          </cell>
          <cell r="C182">
            <v>57</v>
          </cell>
          <cell r="D182">
            <v>57</v>
          </cell>
        </row>
        <row r="183">
          <cell r="B183" t="str">
            <v>4100-600-060  Contract Labor                  CSR</v>
          </cell>
          <cell r="C183">
            <v>57</v>
          </cell>
          <cell r="D183">
            <v>57</v>
          </cell>
        </row>
        <row r="184">
          <cell r="B184" t="str">
            <v>4100-600-100  Contract Haul                   ASL</v>
          </cell>
          <cell r="C184">
            <v>57</v>
          </cell>
          <cell r="D184">
            <v>57</v>
          </cell>
        </row>
        <row r="185">
          <cell r="B185" t="str">
            <v>4200-000-020  Group Medical                   Utility</v>
          </cell>
          <cell r="C185">
            <v>52</v>
          </cell>
          <cell r="D185">
            <v>52</v>
          </cell>
        </row>
        <row r="186">
          <cell r="B186" t="str">
            <v>4200-000-030  Group Medical                   Mechanic</v>
          </cell>
          <cell r="C186">
            <v>52</v>
          </cell>
          <cell r="D186">
            <v>52</v>
          </cell>
        </row>
        <row r="187">
          <cell r="B187" t="str">
            <v>4200-000-040  Group Medical                   Welder</v>
          </cell>
          <cell r="C187">
            <v>52</v>
          </cell>
          <cell r="D187">
            <v>52</v>
          </cell>
        </row>
        <row r="188">
          <cell r="B188" t="str">
            <v>4200-000-050  Group Medical                   Supervisor</v>
          </cell>
          <cell r="C188">
            <v>29</v>
          </cell>
          <cell r="D188">
            <v>29</v>
          </cell>
        </row>
        <row r="189">
          <cell r="B189" t="str">
            <v>4200-000-060  Group Medical                   CSR</v>
          </cell>
          <cell r="C189">
            <v>87</v>
          </cell>
          <cell r="D189">
            <v>87.1</v>
          </cell>
        </row>
        <row r="190">
          <cell r="B190" t="str">
            <v>4200-000-062  Group Medical                   Accounting</v>
          </cell>
          <cell r="C190">
            <v>87</v>
          </cell>
          <cell r="D190">
            <v>87.2</v>
          </cell>
        </row>
        <row r="191">
          <cell r="B191" t="str">
            <v>4200-000-064  Group Medical                   Admin</v>
          </cell>
          <cell r="C191">
            <v>87</v>
          </cell>
          <cell r="D191">
            <v>87.2</v>
          </cell>
        </row>
        <row r="192">
          <cell r="B192" t="str">
            <v>4200-000-070  Group Medical                   Stockholder</v>
          </cell>
          <cell r="C192">
            <v>80</v>
          </cell>
          <cell r="D192">
            <v>80</v>
          </cell>
        </row>
        <row r="193">
          <cell r="B193" t="str">
            <v>4200-000-090  Group Medical                   DEL</v>
          </cell>
          <cell r="C193" t="str">
            <v>69a</v>
          </cell>
          <cell r="D193" t="str">
            <v>69a</v>
          </cell>
        </row>
        <row r="194">
          <cell r="B194" t="str">
            <v>4200-000-100  Group Medical                   ASL</v>
          </cell>
          <cell r="C194">
            <v>29</v>
          </cell>
          <cell r="D194">
            <v>29</v>
          </cell>
        </row>
        <row r="195">
          <cell r="B195" t="str">
            <v>4200-000-120  Group Medical                   REL</v>
          </cell>
          <cell r="C195">
            <v>29</v>
          </cell>
          <cell r="D195">
            <v>29</v>
          </cell>
        </row>
        <row r="196">
          <cell r="B196" t="str">
            <v>4200-000-200  Group Medical                   FEL</v>
          </cell>
          <cell r="C196">
            <v>29</v>
          </cell>
          <cell r="D196">
            <v>29</v>
          </cell>
        </row>
        <row r="197">
          <cell r="B197" t="str">
            <v>4200-000-300  Group Medical                   ROL</v>
          </cell>
          <cell r="C197">
            <v>37</v>
          </cell>
          <cell r="D197">
            <v>37</v>
          </cell>
        </row>
        <row r="198">
          <cell r="B198" t="str">
            <v>4200-100-020  Emp Benefits-401K               Utility</v>
          </cell>
          <cell r="C198">
            <v>53</v>
          </cell>
          <cell r="D198">
            <v>53</v>
          </cell>
        </row>
        <row r="199">
          <cell r="B199" t="str">
            <v>4200-100-030  Emp Benefits-401K               Mechanic</v>
          </cell>
          <cell r="C199">
            <v>53</v>
          </cell>
          <cell r="D199">
            <v>53</v>
          </cell>
        </row>
        <row r="200">
          <cell r="B200" t="str">
            <v>4200-100-040  Emp Benefits-401K               Welder</v>
          </cell>
          <cell r="C200">
            <v>53</v>
          </cell>
          <cell r="D200">
            <v>53</v>
          </cell>
        </row>
        <row r="201">
          <cell r="B201" t="str">
            <v>4200-100-050  Emp Benefits-401K               Supervisor</v>
          </cell>
          <cell r="C201">
            <v>30</v>
          </cell>
          <cell r="D201">
            <v>30</v>
          </cell>
        </row>
        <row r="202">
          <cell r="B202" t="str">
            <v>4200-100-060  Emp Benefits-401K               CSR</v>
          </cell>
          <cell r="C202">
            <v>89</v>
          </cell>
          <cell r="D202">
            <v>89.1</v>
          </cell>
        </row>
        <row r="203">
          <cell r="B203" t="str">
            <v>4200-100-062  Emp Benefits-401K               Accounting</v>
          </cell>
          <cell r="C203">
            <v>89</v>
          </cell>
          <cell r="D203">
            <v>89.2</v>
          </cell>
        </row>
        <row r="204">
          <cell r="B204" t="str">
            <v>4200-100-064  Emp Benefits-401K               Admin</v>
          </cell>
          <cell r="C204">
            <v>89</v>
          </cell>
          <cell r="D204">
            <v>89.2</v>
          </cell>
        </row>
        <row r="205">
          <cell r="B205" t="str">
            <v>4200-100-070  Emp Benefits-401K               Stockholder</v>
          </cell>
          <cell r="C205">
            <v>82</v>
          </cell>
          <cell r="D205">
            <v>82</v>
          </cell>
        </row>
        <row r="206">
          <cell r="B206" t="str">
            <v>4200-100-090  Emp Benefits-401K               DEL</v>
          </cell>
          <cell r="C206" t="str">
            <v>69b</v>
          </cell>
          <cell r="D206" t="str">
            <v>69b</v>
          </cell>
        </row>
        <row r="207">
          <cell r="B207" t="str">
            <v>4200-100-100  Emp Benefits-401K               ASL</v>
          </cell>
          <cell r="C207">
            <v>30</v>
          </cell>
          <cell r="D207">
            <v>30</v>
          </cell>
        </row>
        <row r="208">
          <cell r="B208" t="str">
            <v>4200-100-120  Emp Benefits-401K               REL</v>
          </cell>
          <cell r="C208">
            <v>30</v>
          </cell>
          <cell r="D208">
            <v>30</v>
          </cell>
        </row>
        <row r="209">
          <cell r="B209" t="str">
            <v>4200-100-200  Emp Benefits-401K               FEL</v>
          </cell>
          <cell r="C209">
            <v>30</v>
          </cell>
          <cell r="D209">
            <v>30</v>
          </cell>
        </row>
        <row r="210">
          <cell r="B210" t="str">
            <v>4200-100-300  Emp Benefits-401K               ROL</v>
          </cell>
          <cell r="C210">
            <v>38</v>
          </cell>
          <cell r="D210">
            <v>38</v>
          </cell>
        </row>
        <row r="211">
          <cell r="B211" t="str">
            <v>4200-120-020  Emp Benefits- Life Ins          Utility</v>
          </cell>
          <cell r="C211">
            <v>53</v>
          </cell>
          <cell r="D211">
            <v>53</v>
          </cell>
        </row>
        <row r="212">
          <cell r="B212" t="str">
            <v>4200-120-030  Emp Benefits- Life Ins          Mechanic</v>
          </cell>
          <cell r="C212">
            <v>53</v>
          </cell>
          <cell r="D212">
            <v>53</v>
          </cell>
        </row>
        <row r="213">
          <cell r="B213" t="str">
            <v>4200-120-040  Emp Benefits- Life Ins          Welder</v>
          </cell>
          <cell r="C213">
            <v>53</v>
          </cell>
          <cell r="D213">
            <v>53</v>
          </cell>
        </row>
        <row r="214">
          <cell r="B214" t="str">
            <v>4200-120-050  Emp Benefits - Life Ins         Supervisor</v>
          </cell>
          <cell r="C214">
            <v>30</v>
          </cell>
          <cell r="D214">
            <v>30</v>
          </cell>
        </row>
        <row r="215">
          <cell r="B215" t="str">
            <v>4200-120-060  Emp Benefits- Life Ins          CSR</v>
          </cell>
          <cell r="C215">
            <v>89</v>
          </cell>
          <cell r="D215">
            <v>89.1</v>
          </cell>
        </row>
        <row r="216">
          <cell r="B216" t="str">
            <v>4200-120-062  Emp Benefits - Life Ins         Accounting</v>
          </cell>
          <cell r="C216">
            <v>89</v>
          </cell>
          <cell r="D216">
            <v>89.2</v>
          </cell>
        </row>
        <row r="217">
          <cell r="B217" t="str">
            <v>4200-120-064  Emp Benefits - Life Ins         Admin</v>
          </cell>
          <cell r="C217">
            <v>89</v>
          </cell>
          <cell r="D217">
            <v>89.2</v>
          </cell>
        </row>
        <row r="218">
          <cell r="B218" t="str">
            <v>4200-120-070  Emp Benefits- Life Ins          Stockholder</v>
          </cell>
          <cell r="C218">
            <v>82</v>
          </cell>
          <cell r="D218">
            <v>82</v>
          </cell>
        </row>
        <row r="219">
          <cell r="B219" t="str">
            <v>4200-120-090  Emp Benefits - Life Ins         DEL</v>
          </cell>
          <cell r="C219" t="str">
            <v>69b</v>
          </cell>
          <cell r="D219" t="str">
            <v>69b</v>
          </cell>
        </row>
        <row r="220">
          <cell r="B220" t="str">
            <v>4200-120-100  Emp Benefits- Life Ins          ASL</v>
          </cell>
          <cell r="C220">
            <v>30</v>
          </cell>
          <cell r="D220">
            <v>30</v>
          </cell>
        </row>
        <row r="221">
          <cell r="B221" t="str">
            <v>4200-120-120  Emp Benefits - Life Ins         REL</v>
          </cell>
          <cell r="C221">
            <v>30</v>
          </cell>
          <cell r="D221">
            <v>30</v>
          </cell>
        </row>
        <row r="222">
          <cell r="B222" t="str">
            <v>4200-120-200  Emp Benefits - Life Ins         FEL</v>
          </cell>
          <cell r="C222">
            <v>30</v>
          </cell>
          <cell r="D222">
            <v>30</v>
          </cell>
        </row>
        <row r="223">
          <cell r="B223" t="str">
            <v>4200-120-300  Emp Benefits- Life Ins          ROL</v>
          </cell>
          <cell r="C223">
            <v>38</v>
          </cell>
          <cell r="D223">
            <v>38</v>
          </cell>
        </row>
        <row r="224">
          <cell r="B224" t="str">
            <v>4200-140-020  Wages-Vacation                  Utility</v>
          </cell>
          <cell r="C224">
            <v>51</v>
          </cell>
          <cell r="D224">
            <v>51</v>
          </cell>
        </row>
        <row r="225">
          <cell r="B225" t="str">
            <v>4200-140-030  Wages-Vacation                  Mechanic</v>
          </cell>
          <cell r="C225">
            <v>51</v>
          </cell>
          <cell r="D225">
            <v>51</v>
          </cell>
        </row>
        <row r="226">
          <cell r="B226" t="str">
            <v>4200-140-040  Wages-Vacation                  Welder</v>
          </cell>
          <cell r="C226">
            <v>51</v>
          </cell>
          <cell r="D226">
            <v>51</v>
          </cell>
        </row>
        <row r="227">
          <cell r="B227" t="str">
            <v>4200-140-050  Vacation                        Supervisor</v>
          </cell>
          <cell r="C227">
            <v>28</v>
          </cell>
          <cell r="D227">
            <v>28</v>
          </cell>
        </row>
        <row r="228">
          <cell r="B228" t="str">
            <v>4200-140-060  Wages-Vacation                  CSR</v>
          </cell>
          <cell r="C228">
            <v>86</v>
          </cell>
          <cell r="D228">
            <v>85.1</v>
          </cell>
        </row>
        <row r="229">
          <cell r="B229" t="str">
            <v>4200-140-062  Vacation                        Accounting</v>
          </cell>
          <cell r="C229">
            <v>86</v>
          </cell>
          <cell r="D229">
            <v>85.2</v>
          </cell>
        </row>
        <row r="230">
          <cell r="B230" t="str">
            <v>4200-140-064  Vacations                       Admin</v>
          </cell>
          <cell r="C230">
            <v>86</v>
          </cell>
          <cell r="D230">
            <v>85.2</v>
          </cell>
        </row>
        <row r="231">
          <cell r="B231" t="str">
            <v>4200-140-090  Vacation                        DEL</v>
          </cell>
          <cell r="C231">
            <v>69</v>
          </cell>
          <cell r="D231">
            <v>69</v>
          </cell>
        </row>
        <row r="232">
          <cell r="B232" t="str">
            <v>4200-140-100  Wages-Vacation                  ASL</v>
          </cell>
          <cell r="C232">
            <v>28</v>
          </cell>
          <cell r="D232">
            <v>28</v>
          </cell>
        </row>
        <row r="233">
          <cell r="B233" t="str">
            <v>4200-140-120  Vacation                        REL</v>
          </cell>
          <cell r="C233">
            <v>28</v>
          </cell>
          <cell r="D233">
            <v>28</v>
          </cell>
        </row>
        <row r="234">
          <cell r="B234" t="str">
            <v>4200-140-200  Wages-Vacation                  FEL</v>
          </cell>
          <cell r="C234">
            <v>28</v>
          </cell>
          <cell r="D234">
            <v>28</v>
          </cell>
        </row>
        <row r="235">
          <cell r="B235" t="str">
            <v>4200-140-300  Wages-Vacation                  ROL</v>
          </cell>
          <cell r="C235">
            <v>36</v>
          </cell>
          <cell r="D235">
            <v>36</v>
          </cell>
        </row>
        <row r="236">
          <cell r="B236" t="str">
            <v>4200-200-020  FICA                            Utility</v>
          </cell>
          <cell r="C236">
            <v>55</v>
          </cell>
          <cell r="D236">
            <v>55</v>
          </cell>
        </row>
        <row r="237">
          <cell r="B237" t="str">
            <v>4200-200-030  FICA                            Mechanic</v>
          </cell>
          <cell r="C237">
            <v>55</v>
          </cell>
          <cell r="D237">
            <v>55</v>
          </cell>
        </row>
        <row r="238">
          <cell r="B238" t="str">
            <v>4200-200-040  FICA                            Welder</v>
          </cell>
          <cell r="C238">
            <v>55</v>
          </cell>
          <cell r="D238">
            <v>55</v>
          </cell>
        </row>
        <row r="239">
          <cell r="B239" t="str">
            <v>4200-200-050  FICA                            Supervisor</v>
          </cell>
          <cell r="C239">
            <v>32</v>
          </cell>
          <cell r="D239">
            <v>32</v>
          </cell>
        </row>
        <row r="240">
          <cell r="B240" t="str">
            <v>4200-200-060  FICA                            CSR</v>
          </cell>
          <cell r="C240">
            <v>90</v>
          </cell>
          <cell r="D240">
            <v>90.1</v>
          </cell>
        </row>
        <row r="241">
          <cell r="B241" t="str">
            <v>4200-200-062  FICA                            Accounting</v>
          </cell>
          <cell r="C241">
            <v>90</v>
          </cell>
          <cell r="D241">
            <v>90.2</v>
          </cell>
        </row>
        <row r="242">
          <cell r="B242" t="str">
            <v>4200-200-064  FICA                            Admin</v>
          </cell>
          <cell r="C242">
            <v>90</v>
          </cell>
          <cell r="D242">
            <v>90.2</v>
          </cell>
        </row>
        <row r="243">
          <cell r="B243" t="str">
            <v>4200-200-070  FICA                            Stockholder</v>
          </cell>
          <cell r="C243">
            <v>83</v>
          </cell>
          <cell r="D243">
            <v>83</v>
          </cell>
        </row>
        <row r="244">
          <cell r="B244" t="str">
            <v>4200-200-090  FICA                            DEL</v>
          </cell>
          <cell r="C244" t="str">
            <v>69d</v>
          </cell>
          <cell r="D244" t="str">
            <v>69d</v>
          </cell>
        </row>
        <row r="245">
          <cell r="B245" t="str">
            <v>4200-200-100  FICA                            ASL</v>
          </cell>
          <cell r="C245">
            <v>32</v>
          </cell>
          <cell r="D245">
            <v>32</v>
          </cell>
        </row>
        <row r="246">
          <cell r="B246" t="str">
            <v>4200-200-120  FICA                            REL</v>
          </cell>
          <cell r="C246">
            <v>32</v>
          </cell>
          <cell r="D246">
            <v>32</v>
          </cell>
        </row>
        <row r="247">
          <cell r="B247" t="str">
            <v>4200-200-200  FICA                            FEL</v>
          </cell>
          <cell r="C247">
            <v>32</v>
          </cell>
          <cell r="D247">
            <v>32</v>
          </cell>
        </row>
        <row r="248">
          <cell r="B248" t="str">
            <v>4200-200-300  FICA                            ROL</v>
          </cell>
          <cell r="C248">
            <v>40</v>
          </cell>
          <cell r="D248">
            <v>40</v>
          </cell>
        </row>
        <row r="249">
          <cell r="B249" t="str">
            <v>4200-220-020  Medicare                        Utility</v>
          </cell>
          <cell r="C249">
            <v>55</v>
          </cell>
          <cell r="D249">
            <v>55</v>
          </cell>
        </row>
        <row r="250">
          <cell r="B250" t="str">
            <v>4200-220-030  Medicare                        Mechanic</v>
          </cell>
          <cell r="C250">
            <v>55</v>
          </cell>
          <cell r="D250">
            <v>55</v>
          </cell>
        </row>
        <row r="251">
          <cell r="B251" t="str">
            <v>4200-220-040  Medicare                        Welder</v>
          </cell>
          <cell r="C251">
            <v>55</v>
          </cell>
          <cell r="D251">
            <v>55</v>
          </cell>
        </row>
        <row r="252">
          <cell r="B252" t="str">
            <v>4200-220-050  Medicare                        Supervisor</v>
          </cell>
          <cell r="C252">
            <v>32</v>
          </cell>
          <cell r="D252">
            <v>32</v>
          </cell>
        </row>
        <row r="253">
          <cell r="B253" t="str">
            <v>4200-220-060  Medicare                        CSR</v>
          </cell>
          <cell r="C253">
            <v>90</v>
          </cell>
          <cell r="D253">
            <v>90.1</v>
          </cell>
        </row>
        <row r="254">
          <cell r="B254" t="str">
            <v>4200-220-062  Medicare                        Accounting</v>
          </cell>
          <cell r="C254">
            <v>90</v>
          </cell>
          <cell r="D254">
            <v>90.2</v>
          </cell>
        </row>
        <row r="255">
          <cell r="B255" t="str">
            <v>4200-220-064  Medicare                        Admin</v>
          </cell>
          <cell r="C255">
            <v>90</v>
          </cell>
          <cell r="D255">
            <v>90.2</v>
          </cell>
        </row>
        <row r="256">
          <cell r="B256" t="str">
            <v>4200-220-070  Medicare                        Stockholder</v>
          </cell>
          <cell r="C256">
            <v>83</v>
          </cell>
          <cell r="D256">
            <v>83</v>
          </cell>
        </row>
        <row r="257">
          <cell r="B257" t="str">
            <v>4200-220-090  Medicare                        DEL</v>
          </cell>
          <cell r="C257" t="str">
            <v>69d</v>
          </cell>
          <cell r="D257" t="str">
            <v>69d</v>
          </cell>
        </row>
        <row r="258">
          <cell r="B258" t="str">
            <v>4200-220-100  Medicare                        ASL</v>
          </cell>
          <cell r="C258">
            <v>32</v>
          </cell>
          <cell r="D258">
            <v>32</v>
          </cell>
        </row>
        <row r="259">
          <cell r="B259" t="str">
            <v>4200-220-120  Medicare                        REL</v>
          </cell>
          <cell r="C259">
            <v>32</v>
          </cell>
          <cell r="D259">
            <v>32</v>
          </cell>
        </row>
        <row r="260">
          <cell r="B260" t="str">
            <v>4200-220-200  Medicare                        FEL</v>
          </cell>
          <cell r="C260">
            <v>32</v>
          </cell>
          <cell r="D260">
            <v>32</v>
          </cell>
        </row>
        <row r="261">
          <cell r="B261" t="str">
            <v>4200-220-300  Medicare                        ROL</v>
          </cell>
          <cell r="C261">
            <v>40</v>
          </cell>
          <cell r="D261">
            <v>40</v>
          </cell>
        </row>
        <row r="262">
          <cell r="B262" t="str">
            <v>4200-240-020  FUTA                            Utility</v>
          </cell>
          <cell r="C262">
            <v>55</v>
          </cell>
          <cell r="D262">
            <v>55</v>
          </cell>
        </row>
        <row r="263">
          <cell r="B263" t="str">
            <v>4200-240-030  FUTA                            Mechanic</v>
          </cell>
          <cell r="C263">
            <v>55</v>
          </cell>
          <cell r="D263">
            <v>55</v>
          </cell>
        </row>
        <row r="264">
          <cell r="B264" t="str">
            <v>4200-240-040  FUTA                            Welder</v>
          </cell>
          <cell r="C264">
            <v>55</v>
          </cell>
          <cell r="D264">
            <v>55</v>
          </cell>
        </row>
        <row r="265">
          <cell r="B265" t="str">
            <v>4200-240-050  FUTA                            Supervisor</v>
          </cell>
          <cell r="C265">
            <v>32</v>
          </cell>
          <cell r="D265">
            <v>32</v>
          </cell>
        </row>
        <row r="266">
          <cell r="B266" t="str">
            <v>4200-240-060  FUTA                            CSR</v>
          </cell>
          <cell r="C266">
            <v>90</v>
          </cell>
          <cell r="D266">
            <v>90.1</v>
          </cell>
        </row>
        <row r="267">
          <cell r="B267" t="str">
            <v>4200-240-062  FUTA                            Accounting</v>
          </cell>
          <cell r="C267">
            <v>90</v>
          </cell>
          <cell r="D267">
            <v>90.2</v>
          </cell>
        </row>
        <row r="268">
          <cell r="B268" t="str">
            <v>4200-240-064  FUTA                            Admin</v>
          </cell>
          <cell r="C268">
            <v>90</v>
          </cell>
          <cell r="D268">
            <v>90.2</v>
          </cell>
        </row>
        <row r="269">
          <cell r="B269" t="str">
            <v>4200-240-070  FUTA                            Stockholder</v>
          </cell>
          <cell r="C269">
            <v>83</v>
          </cell>
          <cell r="D269">
            <v>83</v>
          </cell>
        </row>
        <row r="270">
          <cell r="B270" t="str">
            <v>4200-240-090  FUTA                            DEL</v>
          </cell>
          <cell r="C270" t="str">
            <v>69d</v>
          </cell>
          <cell r="D270" t="str">
            <v>69d</v>
          </cell>
        </row>
        <row r="271">
          <cell r="B271" t="str">
            <v>4200-240-100  FUTA                            ASL</v>
          </cell>
          <cell r="C271">
            <v>32</v>
          </cell>
          <cell r="D271">
            <v>32</v>
          </cell>
        </row>
        <row r="272">
          <cell r="B272" t="str">
            <v>4200-240-120  FUTA                            REL</v>
          </cell>
          <cell r="C272">
            <v>32</v>
          </cell>
          <cell r="D272">
            <v>32</v>
          </cell>
        </row>
        <row r="273">
          <cell r="B273" t="str">
            <v>4200-240-200  FUTA                            FEL</v>
          </cell>
          <cell r="C273">
            <v>32</v>
          </cell>
          <cell r="D273">
            <v>32</v>
          </cell>
        </row>
        <row r="274">
          <cell r="B274" t="str">
            <v>4200-240-300  FUTA                            ROL</v>
          </cell>
          <cell r="C274">
            <v>40</v>
          </cell>
          <cell r="D274">
            <v>40</v>
          </cell>
        </row>
        <row r="275">
          <cell r="B275" t="str">
            <v>4200-300-020  SUTA                            Utility</v>
          </cell>
          <cell r="C275">
            <v>55</v>
          </cell>
          <cell r="D275">
            <v>55</v>
          </cell>
        </row>
        <row r="276">
          <cell r="B276" t="str">
            <v>4200-300-030  SUTA                            Mechanic</v>
          </cell>
          <cell r="C276">
            <v>55</v>
          </cell>
          <cell r="D276">
            <v>55</v>
          </cell>
        </row>
        <row r="277">
          <cell r="B277" t="str">
            <v>4200-300-040  SUTA                            Welder</v>
          </cell>
          <cell r="C277">
            <v>55</v>
          </cell>
          <cell r="D277">
            <v>55</v>
          </cell>
        </row>
        <row r="278">
          <cell r="B278" t="str">
            <v>4200-300-050  SUTA                            Supervisor</v>
          </cell>
          <cell r="C278">
            <v>32</v>
          </cell>
          <cell r="D278">
            <v>32</v>
          </cell>
        </row>
        <row r="279">
          <cell r="B279" t="str">
            <v>4200-300-060  SUTA                            CSR</v>
          </cell>
          <cell r="C279">
            <v>90</v>
          </cell>
          <cell r="D279">
            <v>90.1</v>
          </cell>
        </row>
        <row r="280">
          <cell r="B280" t="str">
            <v>4200-300-062  SUTA                            Accounting</v>
          </cell>
          <cell r="C280">
            <v>90</v>
          </cell>
          <cell r="D280">
            <v>90.2</v>
          </cell>
        </row>
        <row r="281">
          <cell r="B281" t="str">
            <v>4200-300-064  SUTA                            Admin</v>
          </cell>
          <cell r="C281">
            <v>90</v>
          </cell>
          <cell r="D281">
            <v>90.2</v>
          </cell>
        </row>
        <row r="282">
          <cell r="B282" t="str">
            <v>4200-300-070  SUTA                            Stockholder</v>
          </cell>
          <cell r="C282">
            <v>83</v>
          </cell>
          <cell r="D282">
            <v>83</v>
          </cell>
        </row>
        <row r="283">
          <cell r="B283" t="str">
            <v>4200-300-090  SUTA                            DEL</v>
          </cell>
          <cell r="C283" t="str">
            <v>69d</v>
          </cell>
          <cell r="D283" t="str">
            <v>69d</v>
          </cell>
        </row>
        <row r="284">
          <cell r="B284" t="str">
            <v>4200-300-100  SUTA                            ASL</v>
          </cell>
          <cell r="C284">
            <v>32</v>
          </cell>
          <cell r="D284">
            <v>32</v>
          </cell>
        </row>
        <row r="285">
          <cell r="B285" t="str">
            <v>4200-300-120  SUTA                            REL</v>
          </cell>
          <cell r="C285">
            <v>32</v>
          </cell>
          <cell r="D285">
            <v>32</v>
          </cell>
        </row>
        <row r="286">
          <cell r="B286" t="str">
            <v>4200-300-200  SUTA                            FEL</v>
          </cell>
          <cell r="C286">
            <v>32</v>
          </cell>
          <cell r="D286">
            <v>32</v>
          </cell>
        </row>
        <row r="287">
          <cell r="B287" t="str">
            <v>4200-300-300  SUTA                            ROL</v>
          </cell>
          <cell r="C287">
            <v>40</v>
          </cell>
          <cell r="D287">
            <v>40</v>
          </cell>
        </row>
        <row r="288">
          <cell r="B288" t="str">
            <v>4200-320-020  L &amp; I                           Utility</v>
          </cell>
          <cell r="C288">
            <v>54</v>
          </cell>
          <cell r="D288">
            <v>54</v>
          </cell>
        </row>
        <row r="289">
          <cell r="B289" t="str">
            <v>4200-320-030  L &amp; I                           Mechanic</v>
          </cell>
          <cell r="C289">
            <v>54</v>
          </cell>
          <cell r="D289">
            <v>54</v>
          </cell>
        </row>
        <row r="290">
          <cell r="B290" t="str">
            <v>4200-320-040  L &amp; I                           Welder</v>
          </cell>
          <cell r="C290">
            <v>54</v>
          </cell>
          <cell r="D290">
            <v>54</v>
          </cell>
        </row>
        <row r="291">
          <cell r="B291" t="str">
            <v>4200-320-050  L&amp;I                             Supervisor</v>
          </cell>
          <cell r="C291">
            <v>31</v>
          </cell>
          <cell r="D291">
            <v>31</v>
          </cell>
        </row>
        <row r="292">
          <cell r="B292" t="str">
            <v>4200-320-060  L &amp; I                           CSR</v>
          </cell>
          <cell r="C292">
            <v>88</v>
          </cell>
          <cell r="D292">
            <v>90.1</v>
          </cell>
        </row>
        <row r="293">
          <cell r="B293" t="str">
            <v>4200-320-062  L&amp;I                             Accounting</v>
          </cell>
          <cell r="C293">
            <v>88</v>
          </cell>
          <cell r="D293">
            <v>90.2</v>
          </cell>
        </row>
        <row r="294">
          <cell r="B294" t="str">
            <v>4200-320-064  L&amp;I                             Admin</v>
          </cell>
          <cell r="C294">
            <v>88</v>
          </cell>
          <cell r="D294">
            <v>90.2</v>
          </cell>
        </row>
        <row r="295">
          <cell r="B295" t="str">
            <v>4200-320-070  L &amp; I                           Stockholder</v>
          </cell>
          <cell r="C295">
            <v>81</v>
          </cell>
          <cell r="D295">
            <v>81</v>
          </cell>
        </row>
        <row r="296">
          <cell r="B296" t="str">
            <v>4200-320-090  L&amp;I                             DEL</v>
          </cell>
          <cell r="C296" t="str">
            <v>69c</v>
          </cell>
          <cell r="D296" t="str">
            <v>69c</v>
          </cell>
        </row>
        <row r="297">
          <cell r="B297" t="str">
            <v>4200-320-100  L &amp; I                           ASL</v>
          </cell>
          <cell r="C297">
            <v>31</v>
          </cell>
          <cell r="D297">
            <v>31</v>
          </cell>
        </row>
        <row r="298">
          <cell r="B298" t="str">
            <v>4200-320-120  L&amp;I                             REL</v>
          </cell>
          <cell r="C298">
            <v>31</v>
          </cell>
          <cell r="D298">
            <v>31</v>
          </cell>
        </row>
        <row r="299">
          <cell r="B299" t="str">
            <v>4200-320-200  L&amp;I                             FEL</v>
          </cell>
          <cell r="C299">
            <v>31</v>
          </cell>
          <cell r="D299">
            <v>31</v>
          </cell>
        </row>
        <row r="300">
          <cell r="B300" t="str">
            <v>4200-320-300  L &amp; I                           ROL</v>
          </cell>
          <cell r="C300">
            <v>39</v>
          </cell>
          <cell r="D300">
            <v>39</v>
          </cell>
        </row>
        <row r="301">
          <cell r="B301" t="str">
            <v>4200-400-060  Employee Benefits Alloc-Office  CSR</v>
          </cell>
          <cell r="C301">
            <v>89</v>
          </cell>
          <cell r="D301">
            <v>89.1</v>
          </cell>
        </row>
        <row r="302">
          <cell r="B302" t="str">
            <v>4200-400-070  Allocated Salaried Benefits     Stockholder</v>
          </cell>
          <cell r="C302">
            <v>78</v>
          </cell>
          <cell r="D302">
            <v>78</v>
          </cell>
        </row>
        <row r="303">
          <cell r="B303" t="str">
            <v>4200-400-090  Employee Benefits Allocated     DEL</v>
          </cell>
          <cell r="C303" t="str">
            <v>69b</v>
          </cell>
          <cell r="D303" t="str">
            <v>69b</v>
          </cell>
        </row>
        <row r="304">
          <cell r="B304" t="str">
            <v>4200-400-100  Employee Benefits Allocated     ASL</v>
          </cell>
          <cell r="C304">
            <v>30</v>
          </cell>
          <cell r="D304">
            <v>30</v>
          </cell>
        </row>
        <row r="305">
          <cell r="B305" t="str">
            <v>4200-400-300  Employee Benefits Allocated     ROL</v>
          </cell>
          <cell r="C305">
            <v>38</v>
          </cell>
          <cell r="D305">
            <v>38</v>
          </cell>
        </row>
        <row r="306">
          <cell r="B306" t="str">
            <v>4200-500-020  Other Employee Costs            Utility</v>
          </cell>
          <cell r="C306">
            <v>56</v>
          </cell>
          <cell r="D306">
            <v>56</v>
          </cell>
        </row>
        <row r="307">
          <cell r="B307" t="str">
            <v>4200-500-030  Other Employee Costs            Mechanic</v>
          </cell>
          <cell r="C307">
            <v>56</v>
          </cell>
          <cell r="D307">
            <v>56</v>
          </cell>
        </row>
        <row r="308">
          <cell r="B308" t="str">
            <v>4200-500-040  Other Employee Costs            Welder</v>
          </cell>
          <cell r="C308">
            <v>56</v>
          </cell>
          <cell r="D308">
            <v>56</v>
          </cell>
        </row>
        <row r="309">
          <cell r="B309" t="str">
            <v>4200-500-060  Other Employee Costs            CSR</v>
          </cell>
          <cell r="C309">
            <v>91</v>
          </cell>
          <cell r="D309">
            <v>90.1</v>
          </cell>
        </row>
        <row r="310">
          <cell r="B310" t="str">
            <v>4200-500-064  Other Employee Costs            Admin</v>
          </cell>
          <cell r="C310">
            <v>91</v>
          </cell>
          <cell r="D310">
            <v>91.2</v>
          </cell>
        </row>
        <row r="311">
          <cell r="B311" t="str">
            <v>4200-500-070  Other Employee Costs            Stockholder</v>
          </cell>
          <cell r="C311">
            <v>84</v>
          </cell>
          <cell r="D311">
            <v>84</v>
          </cell>
        </row>
        <row r="312">
          <cell r="B312" t="str">
            <v>4200-500-100  Other Employee Costs            ASL</v>
          </cell>
          <cell r="C312">
            <v>33</v>
          </cell>
          <cell r="D312">
            <v>33</v>
          </cell>
        </row>
        <row r="313">
          <cell r="B313" t="str">
            <v>4200-500-300  Other Employee Costs            ROL</v>
          </cell>
          <cell r="C313">
            <v>41</v>
          </cell>
          <cell r="D313">
            <v>41</v>
          </cell>
        </row>
        <row r="314">
          <cell r="B314" t="str">
            <v xml:space="preserve">4300-000-000  Maint-Fleet Equip               </v>
          </cell>
          <cell r="C314">
            <v>58</v>
          </cell>
          <cell r="D314">
            <v>58</v>
          </cell>
        </row>
        <row r="315">
          <cell r="B315" t="str">
            <v>4300-000-090  Maint-Fleet Equip-DEL           DEL</v>
          </cell>
          <cell r="C315">
            <v>58</v>
          </cell>
          <cell r="D315">
            <v>58</v>
          </cell>
        </row>
        <row r="316">
          <cell r="B316" t="str">
            <v>4300-000-100  Maint-Fleet Equip-ASL           ASL</v>
          </cell>
          <cell r="C316">
            <v>58</v>
          </cell>
          <cell r="D316">
            <v>58</v>
          </cell>
        </row>
        <row r="317">
          <cell r="B317" t="str">
            <v>4300-000-120  Maint-Fleet Equip-REL           REL</v>
          </cell>
          <cell r="C317">
            <v>58</v>
          </cell>
          <cell r="D317">
            <v>58</v>
          </cell>
        </row>
        <row r="318">
          <cell r="B318" t="str">
            <v>4300-000-200  Maint-Fleet Equip-FEL           FEL</v>
          </cell>
          <cell r="C318">
            <v>58</v>
          </cell>
          <cell r="D318">
            <v>58</v>
          </cell>
        </row>
        <row r="319">
          <cell r="B319" t="str">
            <v>4300-000-300  Maint-Fleet Equip-ROL           ROL</v>
          </cell>
          <cell r="C319">
            <v>58</v>
          </cell>
          <cell r="D319">
            <v>58</v>
          </cell>
        </row>
        <row r="320">
          <cell r="B320" t="str">
            <v xml:space="preserve">4300-120-000  Maint-Lubricants                </v>
          </cell>
          <cell r="C320">
            <v>59</v>
          </cell>
          <cell r="D320">
            <v>59</v>
          </cell>
        </row>
        <row r="321">
          <cell r="B321" t="str">
            <v xml:space="preserve">4300-140-000  Maint-Tires                     </v>
          </cell>
          <cell r="C321">
            <v>60</v>
          </cell>
          <cell r="D321">
            <v>60</v>
          </cell>
        </row>
        <row r="322">
          <cell r="B322" t="str">
            <v>4300-140-090  Maint-Tires-DEL                 DEL</v>
          </cell>
          <cell r="C322">
            <v>60</v>
          </cell>
          <cell r="D322">
            <v>60</v>
          </cell>
        </row>
        <row r="323">
          <cell r="B323" t="str">
            <v>4300-140-100  Maint-Tires-ASL                 ASL</v>
          </cell>
          <cell r="C323">
            <v>60</v>
          </cell>
          <cell r="D323">
            <v>60</v>
          </cell>
        </row>
        <row r="324">
          <cell r="B324" t="str">
            <v>4300-140-120  Maint-Tires-REL                 REL</v>
          </cell>
          <cell r="C324">
            <v>60</v>
          </cell>
          <cell r="D324">
            <v>60</v>
          </cell>
        </row>
        <row r="325">
          <cell r="B325" t="str">
            <v>4300-140-200  Maint-Tires-FEL                 FEL</v>
          </cell>
          <cell r="C325">
            <v>60</v>
          </cell>
          <cell r="D325">
            <v>60</v>
          </cell>
        </row>
        <row r="326">
          <cell r="B326" t="str">
            <v>4300-140-300  Maint-Tires-ROL                 ROL</v>
          </cell>
          <cell r="C326">
            <v>60</v>
          </cell>
          <cell r="D326">
            <v>60</v>
          </cell>
        </row>
        <row r="327">
          <cell r="B327" t="str">
            <v xml:space="preserve">4300-160-000  Maint- Outside Repair           </v>
          </cell>
          <cell r="C327">
            <v>61</v>
          </cell>
          <cell r="D327">
            <v>61</v>
          </cell>
        </row>
        <row r="328">
          <cell r="B328" t="str">
            <v>4300-160-090  Maint- Outside Repair-DEL       DEL</v>
          </cell>
          <cell r="C328">
            <v>61</v>
          </cell>
          <cell r="D328">
            <v>61</v>
          </cell>
        </row>
        <row r="329">
          <cell r="B329" t="str">
            <v>4300-160-100  Maint- Outside Repair-ASL       ASL</v>
          </cell>
          <cell r="C329">
            <v>61</v>
          </cell>
          <cell r="D329">
            <v>61</v>
          </cell>
        </row>
        <row r="330">
          <cell r="B330" t="str">
            <v>4300-160-120  Maint- Outside Repair-REL       REL</v>
          </cell>
          <cell r="C330">
            <v>61</v>
          </cell>
          <cell r="D330">
            <v>61</v>
          </cell>
        </row>
        <row r="331">
          <cell r="B331" t="str">
            <v>4300-160-200  Maint- Outside Repair-FEL       FEL</v>
          </cell>
          <cell r="C331">
            <v>61</v>
          </cell>
          <cell r="D331">
            <v>61</v>
          </cell>
        </row>
        <row r="332">
          <cell r="B332" t="str">
            <v>4300-160-300  Maint- Outside Repair-ROL       ROL</v>
          </cell>
          <cell r="C332">
            <v>61</v>
          </cell>
          <cell r="D332">
            <v>61</v>
          </cell>
        </row>
        <row r="333">
          <cell r="B333" t="str">
            <v xml:space="preserve">4300-200-000  Maint- Building                 </v>
          </cell>
          <cell r="C333">
            <v>62</v>
          </cell>
          <cell r="D333">
            <v>62</v>
          </cell>
        </row>
        <row r="334">
          <cell r="B334" t="str">
            <v xml:space="preserve">4300-220-000  Shop Supplies &amp; Small Tools     </v>
          </cell>
          <cell r="C334">
            <v>63</v>
          </cell>
          <cell r="D334">
            <v>63</v>
          </cell>
        </row>
        <row r="335">
          <cell r="B335" t="str">
            <v xml:space="preserve">4300-240-000  Utilities                       </v>
          </cell>
          <cell r="C335">
            <v>64</v>
          </cell>
          <cell r="D335">
            <v>64</v>
          </cell>
        </row>
        <row r="336">
          <cell r="B336" t="str">
            <v xml:space="preserve">4300-260-000  Maint - Truck Wash              </v>
          </cell>
          <cell r="C336">
            <v>58</v>
          </cell>
          <cell r="D336">
            <v>58</v>
          </cell>
        </row>
        <row r="337">
          <cell r="B337" t="str">
            <v>4300-260-090  Maint - Truck Wash              DEL</v>
          </cell>
          <cell r="C337">
            <v>58</v>
          </cell>
          <cell r="D337">
            <v>58</v>
          </cell>
        </row>
        <row r="338">
          <cell r="B338" t="str">
            <v>4300-260-100  Maint - Truck Wash              ASL</v>
          </cell>
          <cell r="C338">
            <v>58</v>
          </cell>
          <cell r="D338">
            <v>58</v>
          </cell>
        </row>
        <row r="339">
          <cell r="B339" t="str">
            <v>4300-260-120  Maint - Truck Wash              REL</v>
          </cell>
          <cell r="C339">
            <v>58</v>
          </cell>
          <cell r="D339">
            <v>58</v>
          </cell>
        </row>
        <row r="340">
          <cell r="B340" t="str">
            <v>4300-260-200  Maint - Truck Wash              FEL</v>
          </cell>
          <cell r="C340">
            <v>58</v>
          </cell>
          <cell r="D340">
            <v>58</v>
          </cell>
        </row>
        <row r="341">
          <cell r="B341" t="str">
            <v>4300-260-300  Maint - Truck Wash              ROL</v>
          </cell>
          <cell r="C341">
            <v>58</v>
          </cell>
          <cell r="D341">
            <v>58</v>
          </cell>
        </row>
        <row r="342">
          <cell r="B342" t="str">
            <v xml:space="preserve">4300-280-000  Maint-Fuel Station              </v>
          </cell>
          <cell r="C342">
            <v>65</v>
          </cell>
          <cell r="D342">
            <v>65</v>
          </cell>
        </row>
        <row r="343">
          <cell r="B343" t="str">
            <v xml:space="preserve">4300-300-000  Fuel Expense Diesel             </v>
          </cell>
          <cell r="C343">
            <v>65</v>
          </cell>
          <cell r="D343">
            <v>65</v>
          </cell>
        </row>
        <row r="344">
          <cell r="B344" t="str">
            <v xml:space="preserve">4300-310-000  Fuel Tax Credit                 </v>
          </cell>
          <cell r="C344">
            <v>65</v>
          </cell>
          <cell r="D344">
            <v>65</v>
          </cell>
        </row>
        <row r="345">
          <cell r="B345" t="str">
            <v xml:space="preserve">4300-320-000  Fuel Exp/Purchase Fuel Station  </v>
          </cell>
          <cell r="C345">
            <v>19</v>
          </cell>
          <cell r="D345">
            <v>19</v>
          </cell>
        </row>
        <row r="346">
          <cell r="B346" t="str">
            <v xml:space="preserve">4300-400-000  Fuel Expense NG                 </v>
          </cell>
          <cell r="C346">
            <v>65</v>
          </cell>
          <cell r="D346">
            <v>65</v>
          </cell>
        </row>
        <row r="347">
          <cell r="B347" t="str">
            <v xml:space="preserve">4301-000-000  Depreciation - Trucks           </v>
          </cell>
          <cell r="C347">
            <v>43</v>
          </cell>
          <cell r="D347">
            <v>43</v>
          </cell>
        </row>
        <row r="348">
          <cell r="B348" t="str">
            <v>4301-000-090  Depreciation-Trucks-DEL         DEL</v>
          </cell>
          <cell r="C348">
            <v>43</v>
          </cell>
          <cell r="D348">
            <v>43</v>
          </cell>
        </row>
        <row r="349">
          <cell r="B349" t="str">
            <v>4301-000-100  Depreciation-Trucks-ASL         ASL</v>
          </cell>
          <cell r="C349">
            <v>43</v>
          </cell>
          <cell r="D349">
            <v>43</v>
          </cell>
        </row>
        <row r="350">
          <cell r="B350" t="str">
            <v>4301-000-200  Depreciation-Trucks-FEL         FEL</v>
          </cell>
          <cell r="C350">
            <v>43</v>
          </cell>
          <cell r="D350">
            <v>43</v>
          </cell>
        </row>
        <row r="351">
          <cell r="B351" t="str">
            <v>4301-000-300  Depreciation-Trucks-ROL         ROL</v>
          </cell>
          <cell r="C351">
            <v>43</v>
          </cell>
          <cell r="D351">
            <v>43</v>
          </cell>
        </row>
        <row r="352">
          <cell r="B352" t="str">
            <v xml:space="preserve">4303-000-000  Insurance Premiums-Fleet        </v>
          </cell>
          <cell r="C352">
            <v>42</v>
          </cell>
          <cell r="D352">
            <v>42</v>
          </cell>
        </row>
        <row r="353">
          <cell r="B353" t="str">
            <v xml:space="preserve">4305-000-000  Vehicle Licenses &amp; Reg Fee      </v>
          </cell>
          <cell r="C353">
            <v>47</v>
          </cell>
          <cell r="D353">
            <v>47</v>
          </cell>
        </row>
        <row r="354">
          <cell r="B354" t="str">
            <v xml:space="preserve">4307-000-000  Truck Rent Expense              </v>
          </cell>
          <cell r="C354">
            <v>45</v>
          </cell>
          <cell r="D354">
            <v>45</v>
          </cell>
        </row>
        <row r="355">
          <cell r="B355" t="str">
            <v xml:space="preserve">4400-000-000  Maint-Containers                </v>
          </cell>
          <cell r="C355">
            <v>70</v>
          </cell>
          <cell r="D355">
            <v>70</v>
          </cell>
        </row>
        <row r="356">
          <cell r="B356" t="str">
            <v xml:space="preserve">4401-000-000  Depreciation - Carts/Pts/Trls   </v>
          </cell>
          <cell r="C356">
            <v>67</v>
          </cell>
          <cell r="D356">
            <v>67</v>
          </cell>
        </row>
        <row r="357">
          <cell r="B357" t="str">
            <v>4401-000-100  Depreciation - Resi Carts       ASL</v>
          </cell>
          <cell r="C357">
            <v>67</v>
          </cell>
          <cell r="D357">
            <v>67</v>
          </cell>
        </row>
        <row r="358">
          <cell r="B358" t="str">
            <v>4401-000-200  Depreciation - Comm Carts       FEL</v>
          </cell>
          <cell r="C358">
            <v>67</v>
          </cell>
          <cell r="D358">
            <v>67</v>
          </cell>
        </row>
        <row r="359">
          <cell r="B359" t="str">
            <v>4401-000-300  Depreciation - Indust Carts     ROL</v>
          </cell>
          <cell r="C359">
            <v>67</v>
          </cell>
          <cell r="D359">
            <v>67</v>
          </cell>
        </row>
        <row r="360">
          <cell r="B360" t="str">
            <v xml:space="preserve">4407-000-000  Cart Rents                      </v>
          </cell>
          <cell r="C360">
            <v>66</v>
          </cell>
          <cell r="D360">
            <v>66</v>
          </cell>
        </row>
        <row r="361">
          <cell r="B361" t="str">
            <v xml:space="preserve">4470-000-000  Personal Property Taxes         </v>
          </cell>
          <cell r="C361">
            <v>68</v>
          </cell>
          <cell r="D361">
            <v>68</v>
          </cell>
        </row>
        <row r="362">
          <cell r="B362" t="str">
            <v xml:space="preserve">4501-000-000  Depreciation - Floor/Plant Eq   </v>
          </cell>
          <cell r="C362">
            <v>44</v>
          </cell>
          <cell r="D362">
            <v>44</v>
          </cell>
        </row>
        <row r="363">
          <cell r="B363" t="str">
            <v xml:space="preserve">4507-100-000  Rent-Maintenance Facility       </v>
          </cell>
          <cell r="C363">
            <v>45</v>
          </cell>
          <cell r="D363">
            <v>45</v>
          </cell>
        </row>
        <row r="364">
          <cell r="B364" t="str">
            <v xml:space="preserve">4570-000-000  Personal Property Taxes         </v>
          </cell>
          <cell r="C364">
            <v>68</v>
          </cell>
          <cell r="D364">
            <v>68</v>
          </cell>
        </row>
        <row r="365">
          <cell r="B365" t="str">
            <v xml:space="preserve">4700-000-000  Insurance-Prop &amp; Liab           </v>
          </cell>
          <cell r="C365">
            <v>71</v>
          </cell>
          <cell r="D365">
            <v>71</v>
          </cell>
        </row>
        <row r="366">
          <cell r="B366" t="str">
            <v xml:space="preserve">4700-200-000  Property Damage                 </v>
          </cell>
          <cell r="C366">
            <v>73</v>
          </cell>
          <cell r="D366">
            <v>73</v>
          </cell>
        </row>
        <row r="367">
          <cell r="B367" t="str">
            <v xml:space="preserve">5000-000-000  Pasco City Tax                  </v>
          </cell>
          <cell r="C367">
            <v>74</v>
          </cell>
          <cell r="D367">
            <v>74</v>
          </cell>
        </row>
        <row r="368">
          <cell r="B368" t="str">
            <v xml:space="preserve">5000-200-000  Kennewick City Tax              </v>
          </cell>
          <cell r="C368">
            <v>74</v>
          </cell>
          <cell r="D368">
            <v>74</v>
          </cell>
        </row>
        <row r="369">
          <cell r="B369" t="str">
            <v xml:space="preserve">5300-000-000  State Excise Tax                </v>
          </cell>
          <cell r="C369">
            <v>75</v>
          </cell>
          <cell r="D369">
            <v>75</v>
          </cell>
        </row>
        <row r="370">
          <cell r="B370" t="str">
            <v xml:space="preserve">5305-000-000  WUTC Reg Fee                    </v>
          </cell>
          <cell r="C370">
            <v>76</v>
          </cell>
          <cell r="D370">
            <v>76</v>
          </cell>
        </row>
        <row r="371">
          <cell r="B371" t="str">
            <v xml:space="preserve">5999-000-000  Other Taxes &amp; Licenses          </v>
          </cell>
          <cell r="C371">
            <v>77</v>
          </cell>
          <cell r="D371">
            <v>77</v>
          </cell>
        </row>
        <row r="372">
          <cell r="B372" t="str">
            <v xml:space="preserve">6000-200-000  Building &amp; Prop Maint           </v>
          </cell>
          <cell r="C372">
            <v>95</v>
          </cell>
          <cell r="D372">
            <v>95</v>
          </cell>
        </row>
        <row r="373">
          <cell r="B373" t="str">
            <v xml:space="preserve">6000-210-000  Printing                        </v>
          </cell>
          <cell r="C373">
            <v>96</v>
          </cell>
          <cell r="D373">
            <v>96</v>
          </cell>
        </row>
        <row r="374">
          <cell r="B374" t="str">
            <v xml:space="preserve">6000-220-000  Office Supplies &amp; Exp           </v>
          </cell>
          <cell r="C374">
            <v>96</v>
          </cell>
          <cell r="D374">
            <v>96</v>
          </cell>
        </row>
        <row r="375">
          <cell r="B375" t="str">
            <v xml:space="preserve">6000-230-000  Bank Fees &amp; Charges             </v>
          </cell>
          <cell r="C375">
            <v>97</v>
          </cell>
          <cell r="D375">
            <v>97</v>
          </cell>
        </row>
        <row r="376">
          <cell r="B376" t="str">
            <v xml:space="preserve">6000-240-000  Utilities                       </v>
          </cell>
          <cell r="C376">
            <v>98</v>
          </cell>
          <cell r="D376">
            <v>98</v>
          </cell>
        </row>
        <row r="377">
          <cell r="B377" t="str">
            <v xml:space="preserve">6000-260-000  Telephone, Internet, &amp; Radio    </v>
          </cell>
          <cell r="C377">
            <v>99</v>
          </cell>
          <cell r="D377">
            <v>99</v>
          </cell>
        </row>
        <row r="378">
          <cell r="B378" t="str">
            <v xml:space="preserve">6000-280-000  Computer Expense                </v>
          </cell>
          <cell r="C378">
            <v>97</v>
          </cell>
          <cell r="D378">
            <v>97</v>
          </cell>
        </row>
        <row r="379">
          <cell r="B379" t="str">
            <v xml:space="preserve">6000-300-000  Dues &amp; Subscriptions            </v>
          </cell>
          <cell r="C379">
            <v>100</v>
          </cell>
          <cell r="D379">
            <v>100</v>
          </cell>
        </row>
        <row r="380">
          <cell r="B380" t="str">
            <v xml:space="preserve">6000-310-000  WRRA Dues                       </v>
          </cell>
          <cell r="C380">
            <v>100</v>
          </cell>
          <cell r="D380">
            <v>100</v>
          </cell>
        </row>
        <row r="381">
          <cell r="B381" t="str">
            <v xml:space="preserve">6000-320-000  Contributions                   </v>
          </cell>
          <cell r="C381">
            <v>101</v>
          </cell>
          <cell r="D381">
            <v>101</v>
          </cell>
        </row>
        <row r="382">
          <cell r="B382" t="str">
            <v xml:space="preserve">6000-340-000  Pasco Newsletter                </v>
          </cell>
          <cell r="C382">
            <v>103</v>
          </cell>
          <cell r="D382">
            <v>103</v>
          </cell>
        </row>
        <row r="383">
          <cell r="B383" t="str">
            <v xml:space="preserve">6000-360-000  Advertising                     </v>
          </cell>
          <cell r="C383">
            <v>104</v>
          </cell>
          <cell r="D383">
            <v>104</v>
          </cell>
        </row>
        <row r="384">
          <cell r="B384" t="str">
            <v xml:space="preserve">6000-380-000  Seminars &amp; Education            </v>
          </cell>
          <cell r="C384">
            <v>105</v>
          </cell>
          <cell r="D384">
            <v>105</v>
          </cell>
        </row>
        <row r="385">
          <cell r="B385" t="str">
            <v xml:space="preserve">6000-400-000  Business Travel                 </v>
          </cell>
          <cell r="C385">
            <v>105</v>
          </cell>
          <cell r="D385">
            <v>105</v>
          </cell>
        </row>
        <row r="386">
          <cell r="B386" t="str">
            <v xml:space="preserve">6000-410-000  Meals &amp; Entertainment Exp       </v>
          </cell>
          <cell r="C386">
            <v>105</v>
          </cell>
          <cell r="D386">
            <v>105</v>
          </cell>
        </row>
        <row r="387">
          <cell r="B387" t="str">
            <v xml:space="preserve">6000-426-000  Spudaire-Misc Flight Expenses   </v>
          </cell>
          <cell r="C387">
            <v>105</v>
          </cell>
          <cell r="D387">
            <v>105</v>
          </cell>
        </row>
        <row r="388">
          <cell r="B388" t="str">
            <v xml:space="preserve">6000-500-000  Consulting &amp; Lobbying           </v>
          </cell>
          <cell r="C388">
            <v>106</v>
          </cell>
          <cell r="D388">
            <v>106</v>
          </cell>
        </row>
        <row r="389">
          <cell r="B389" t="str">
            <v xml:space="preserve">6000-520-000  Law &amp; Outside Accounting        </v>
          </cell>
          <cell r="C389">
            <v>107</v>
          </cell>
          <cell r="D389">
            <v>107</v>
          </cell>
        </row>
        <row r="390">
          <cell r="B390" t="str">
            <v xml:space="preserve">6000-540-000  Legal Fees Plp Matters          </v>
          </cell>
          <cell r="C390">
            <v>108</v>
          </cell>
          <cell r="D390">
            <v>108</v>
          </cell>
        </row>
        <row r="391">
          <cell r="B391" t="str">
            <v xml:space="preserve">6001-000-000  Depreciation - Office Equip     </v>
          </cell>
          <cell r="C391">
            <v>94</v>
          </cell>
          <cell r="D391">
            <v>94</v>
          </cell>
        </row>
        <row r="392">
          <cell r="B392" t="str">
            <v xml:space="preserve">6007-100-000  Rent - Office Facility          </v>
          </cell>
          <cell r="C392">
            <v>93</v>
          </cell>
          <cell r="D392">
            <v>93</v>
          </cell>
        </row>
        <row r="393">
          <cell r="B393" t="str">
            <v xml:space="preserve">6100-000-000  Cash Over/Short                 </v>
          </cell>
          <cell r="C393">
            <v>110</v>
          </cell>
          <cell r="D393">
            <v>110</v>
          </cell>
        </row>
        <row r="394">
          <cell r="B394" t="str">
            <v xml:space="preserve">7000-000-000  Bad Debts &amp; Collection Exp      </v>
          </cell>
          <cell r="C394">
            <v>102</v>
          </cell>
          <cell r="D394">
            <v>102</v>
          </cell>
        </row>
        <row r="395">
          <cell r="B395" t="str">
            <v xml:space="preserve">7000-100-000  Misc Other                      </v>
          </cell>
          <cell r="C395">
            <v>110</v>
          </cell>
          <cell r="D395">
            <v>110</v>
          </cell>
        </row>
        <row r="396">
          <cell r="B396" t="str">
            <v xml:space="preserve">7001-000-000  Misc Expense                    </v>
          </cell>
          <cell r="C396">
            <v>110</v>
          </cell>
          <cell r="D396">
            <v>110</v>
          </cell>
        </row>
        <row r="397">
          <cell r="B397" t="str">
            <v xml:space="preserve">7002-000-000  Misc Revenue                    </v>
          </cell>
          <cell r="C397">
            <v>111</v>
          </cell>
          <cell r="D397">
            <v>111</v>
          </cell>
        </row>
        <row r="398">
          <cell r="B398" t="str">
            <v xml:space="preserve">7005-000-000  Dump Fees Pasco Coupons         </v>
          </cell>
          <cell r="C398">
            <v>112</v>
          </cell>
          <cell r="D398">
            <v>112</v>
          </cell>
        </row>
        <row r="399">
          <cell r="B399" t="str">
            <v xml:space="preserve">7015-000-000  Interest Income                 </v>
          </cell>
          <cell r="C399">
            <v>114</v>
          </cell>
          <cell r="D399">
            <v>114</v>
          </cell>
        </row>
        <row r="400">
          <cell r="B400" t="str">
            <v xml:space="preserve">7018-000-000  Intra Co Interest               </v>
          </cell>
          <cell r="C400">
            <v>115</v>
          </cell>
          <cell r="D400">
            <v>115</v>
          </cell>
        </row>
        <row r="401">
          <cell r="B401" t="str">
            <v xml:space="preserve">7020-000-000  Interest Expense                </v>
          </cell>
          <cell r="C401">
            <v>115</v>
          </cell>
          <cell r="D401">
            <v>115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Version"/>
      <sheetName val="1. BDI Rev &amp; Exp Total Sheet"/>
      <sheetName val="2. 12 Month Income Stmt. 4(c)"/>
      <sheetName val="3. ProForma"/>
      <sheetName val="4. Matrix"/>
      <sheetName val="5. BDI Gen Ledger Table"/>
      <sheetName val="6. V Lookup Tables"/>
      <sheetName val="7. GL Pivot"/>
      <sheetName val="Recon"/>
      <sheetName val="8. BDI_IS_2015-16"/>
      <sheetName val="8.1 BDI_IS_2016"/>
      <sheetName val="8.2 BDI_IS for 2015"/>
      <sheetName val="9. BDI Balance Sheet"/>
      <sheetName val="Consolidated Balance Sheet 4(g)"/>
      <sheetName val="Sheet5"/>
      <sheetName val="Sheet6"/>
      <sheetName val="Format"/>
    </sheetNames>
    <sheetDataSet>
      <sheetData sheetId="0"/>
      <sheetData sheetId="1"/>
      <sheetData sheetId="2">
        <row r="28">
          <cell r="O28">
            <v>0</v>
          </cell>
        </row>
      </sheetData>
      <sheetData sheetId="3">
        <row r="2">
          <cell r="A2" t="str">
            <v>12 mo end 9/30/2016</v>
          </cell>
        </row>
        <row r="6">
          <cell r="A6" t="str">
            <v>WUTC - Residential</v>
          </cell>
        </row>
        <row r="7">
          <cell r="A7" t="str">
            <v>WUTC - Commercial</v>
          </cell>
        </row>
        <row r="8">
          <cell r="A8" t="str">
            <v>WUCT - Drop Box</v>
          </cell>
        </row>
        <row r="9">
          <cell r="A9" t="str">
            <v>WUTC - Pass Through</v>
          </cell>
        </row>
        <row r="10">
          <cell r="A10" t="str">
            <v xml:space="preserve">WUTC - Other </v>
          </cell>
        </row>
        <row r="11">
          <cell r="A11" t="str">
            <v>Contact Revenue</v>
          </cell>
        </row>
        <row r="12">
          <cell r="A12" t="str">
            <v>Other Revenue</v>
          </cell>
        </row>
        <row r="17">
          <cell r="A17" t="str">
            <v>Driver Wages:</v>
          </cell>
        </row>
        <row r="18">
          <cell r="A18" t="str">
            <v xml:space="preserve">  Payroll Taxes</v>
          </cell>
        </row>
        <row r="19">
          <cell r="A19" t="str">
            <v xml:space="preserve">  Benefits</v>
          </cell>
        </row>
        <row r="20">
          <cell r="A20" t="str">
            <v xml:space="preserve">  Medical Expense</v>
          </cell>
        </row>
        <row r="21">
          <cell r="A21" t="str">
            <v xml:space="preserve">  Other EE Costs</v>
          </cell>
        </row>
        <row r="22">
          <cell r="A22" t="str">
            <v>Insurance Premiums</v>
          </cell>
        </row>
        <row r="23">
          <cell r="A23" t="str">
            <v>Fleet Deprec</v>
          </cell>
        </row>
        <row r="24">
          <cell r="A24" t="str">
            <v>Rent- Maint Facility</v>
          </cell>
        </row>
        <row r="25">
          <cell r="A25" t="str">
            <v>Shop Depreciation</v>
          </cell>
        </row>
        <row r="26">
          <cell r="A26" t="str">
            <v>Vehicle License</v>
          </cell>
        </row>
        <row r="28">
          <cell r="A28" t="str">
            <v>Shop Wages:</v>
          </cell>
        </row>
        <row r="29">
          <cell r="A29" t="str">
            <v xml:space="preserve">  Payroll Taxes</v>
          </cell>
        </row>
        <row r="30">
          <cell r="A30" t="str">
            <v xml:space="preserve">  Benefits</v>
          </cell>
        </row>
        <row r="31">
          <cell r="A31" t="str">
            <v xml:space="preserve">  Medical Expense</v>
          </cell>
        </row>
        <row r="32">
          <cell r="A32" t="str">
            <v xml:space="preserve">  Other EE Costs</v>
          </cell>
        </row>
        <row r="33">
          <cell r="A33" t="str">
            <v>Maint Fleet Equip</v>
          </cell>
        </row>
        <row r="34">
          <cell r="A34" t="str">
            <v>Maint Outside Repair</v>
          </cell>
        </row>
        <row r="35">
          <cell r="A35" t="str">
            <v>Maint Lubricants</v>
          </cell>
        </row>
        <row r="36">
          <cell r="A36" t="str">
            <v>Fuel</v>
          </cell>
        </row>
        <row r="37">
          <cell r="A37" t="str">
            <v>Tires</v>
          </cell>
        </row>
        <row r="38">
          <cell r="A38" t="str">
            <v>Shop Supplies and Small Tools</v>
          </cell>
        </row>
        <row r="39">
          <cell r="A39" t="str">
            <v>Shop utilities</v>
          </cell>
        </row>
        <row r="40">
          <cell r="A40" t="str">
            <v>Building Maintenance</v>
          </cell>
        </row>
        <row r="42">
          <cell r="A42" t="str">
            <v>Container Maint. Wages</v>
          </cell>
        </row>
        <row r="43">
          <cell r="A43" t="str">
            <v xml:space="preserve">  Payroll Taxes</v>
          </cell>
        </row>
        <row r="44">
          <cell r="A44" t="str">
            <v xml:space="preserve">  Benefits</v>
          </cell>
        </row>
        <row r="45">
          <cell r="A45" t="str">
            <v xml:space="preserve">  Medical Expense</v>
          </cell>
        </row>
        <row r="46">
          <cell r="A46" t="str">
            <v xml:space="preserve">  Contract Labor</v>
          </cell>
        </row>
        <row r="47">
          <cell r="A47" t="str">
            <v>Cart Rents</v>
          </cell>
        </row>
        <row r="48">
          <cell r="A48" t="str">
            <v>Depreciation Cont./Carts</v>
          </cell>
        </row>
        <row r="49">
          <cell r="A49" t="str">
            <v>Maintenance Containers</v>
          </cell>
        </row>
        <row r="50">
          <cell r="A50" t="str">
            <v>Property Tax</v>
          </cell>
        </row>
        <row r="51">
          <cell r="A51" t="str">
            <v>Insurance</v>
          </cell>
        </row>
        <row r="53">
          <cell r="A53" t="str">
            <v>Officer Wages</v>
          </cell>
        </row>
        <row r="54">
          <cell r="A54" t="str">
            <v xml:space="preserve">  Payroll Taxes</v>
          </cell>
        </row>
        <row r="55">
          <cell r="A55" t="str">
            <v xml:space="preserve">  Benefits</v>
          </cell>
        </row>
        <row r="56">
          <cell r="A56" t="str">
            <v xml:space="preserve">  Medical Expense</v>
          </cell>
        </row>
        <row r="57">
          <cell r="A57" t="str">
            <v xml:space="preserve">  Other EE Costs</v>
          </cell>
        </row>
        <row r="59">
          <cell r="A59" t="str">
            <v>Customer Service</v>
          </cell>
        </row>
        <row r="60">
          <cell r="A60" t="str">
            <v xml:space="preserve">  Payroll Taxes</v>
          </cell>
        </row>
        <row r="61">
          <cell r="A61" t="str">
            <v xml:space="preserve">  Benefits</v>
          </cell>
        </row>
        <row r="62">
          <cell r="A62" t="str">
            <v xml:space="preserve">  Medical Expense</v>
          </cell>
        </row>
        <row r="63">
          <cell r="A63" t="str">
            <v xml:space="preserve">  Other EE Costs</v>
          </cell>
        </row>
        <row r="65">
          <cell r="A65" t="str">
            <v>Admin Wages</v>
          </cell>
        </row>
        <row r="66">
          <cell r="A66" t="str">
            <v xml:space="preserve">  Payroll Taxes</v>
          </cell>
        </row>
        <row r="67">
          <cell r="A67" t="str">
            <v xml:space="preserve">  Benefits</v>
          </cell>
        </row>
        <row r="68">
          <cell r="A68" t="str">
            <v xml:space="preserve">  Medical Expense</v>
          </cell>
        </row>
        <row r="69">
          <cell r="A69" t="str">
            <v xml:space="preserve">  Other EE Costs</v>
          </cell>
        </row>
        <row r="70">
          <cell r="A70" t="str">
            <v xml:space="preserve">  Contract Labor</v>
          </cell>
        </row>
        <row r="72">
          <cell r="A72" t="str">
            <v>City Taxes</v>
          </cell>
        </row>
        <row r="73">
          <cell r="A73" t="str">
            <v>State Excise Tax</v>
          </cell>
        </row>
        <row r="74">
          <cell r="A74" t="str">
            <v>WUTC Reg Fees</v>
          </cell>
        </row>
        <row r="75">
          <cell r="A75" t="str">
            <v xml:space="preserve">Other Taxes &amp; Licenses        </v>
          </cell>
        </row>
        <row r="76">
          <cell r="A76" t="str">
            <v xml:space="preserve">Building &amp; Prop Maint         </v>
          </cell>
        </row>
        <row r="77">
          <cell r="A77" t="str">
            <v xml:space="preserve">Office Supplies, Postage, &amp; Exp         </v>
          </cell>
        </row>
        <row r="78">
          <cell r="A78" t="str">
            <v xml:space="preserve">Utilities                     </v>
          </cell>
        </row>
        <row r="79">
          <cell r="A79" t="str">
            <v xml:space="preserve">Telephone, Internet, &amp; Radio  </v>
          </cell>
        </row>
        <row r="80">
          <cell r="A80" t="str">
            <v xml:space="preserve">Computer Expense              </v>
          </cell>
        </row>
        <row r="81">
          <cell r="A81" t="str">
            <v xml:space="preserve">Dues &amp; Subscriptions          </v>
          </cell>
        </row>
        <row r="82">
          <cell r="A82" t="str">
            <v xml:space="preserve">Contributions                 </v>
          </cell>
        </row>
        <row r="83">
          <cell r="A83" t="str">
            <v>Advertising</v>
          </cell>
        </row>
        <row r="84">
          <cell r="A84" t="str">
            <v>Travel</v>
          </cell>
        </row>
        <row r="85">
          <cell r="A85" t="str">
            <v>Consulting &amp; Lobbying</v>
          </cell>
        </row>
        <row r="86">
          <cell r="A86" t="str">
            <v xml:space="preserve">Law &amp; Outside Accounting      </v>
          </cell>
        </row>
        <row r="87">
          <cell r="A87" t="str">
            <v xml:space="preserve">Legal Fees Plp Matters        </v>
          </cell>
        </row>
        <row r="88">
          <cell r="A88" t="str">
            <v xml:space="preserve">Depreciation - Office Equip   </v>
          </cell>
        </row>
        <row r="89">
          <cell r="A89" t="str">
            <v>Depreciation - Service Cars &amp; Equip</v>
          </cell>
        </row>
        <row r="90">
          <cell r="A90" t="str">
            <v xml:space="preserve">Rent - Office Facility        </v>
          </cell>
        </row>
        <row r="91">
          <cell r="A91" t="str">
            <v xml:space="preserve">Bad Debts &amp; Collection Exp    </v>
          </cell>
        </row>
        <row r="92">
          <cell r="A92" t="str">
            <v xml:space="preserve">Misc Expense                  </v>
          </cell>
        </row>
        <row r="94">
          <cell r="A94" t="str">
            <v xml:space="preserve">Interest Income               </v>
          </cell>
        </row>
        <row r="95">
          <cell r="A95" t="str">
            <v xml:space="preserve">Interest Expense              </v>
          </cell>
        </row>
        <row r="96">
          <cell r="A96" t="str">
            <v xml:space="preserve">Federal Income Taxes          </v>
          </cell>
          <cell r="C96">
            <v>0</v>
          </cell>
        </row>
        <row r="98">
          <cell r="A98" t="str">
            <v>Total Expense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Price_Out Rev-Gen"/>
      <sheetName val="Matrix"/>
      <sheetName val="Net Fixed Assets"/>
      <sheetName val="Price_Out Comp"/>
      <sheetName val="Overhead Allocation"/>
      <sheetName val="Contibutions"/>
      <sheetName val="B&amp;B Printing"/>
      <sheetName val="Proforma FTEs"/>
      <sheetName val="Diesel Tax Adjustment"/>
      <sheetName val="City Shop Adjustment"/>
      <sheetName val="PLP"/>
      <sheetName val="Auto Pay"/>
      <sheetName val="Pasco Recycle"/>
      <sheetName val="GL Download"/>
      <sheetName val="GL Update"/>
      <sheetName val="LG Curve"/>
      <sheetName val="Deprec Schedule"/>
      <sheetName val="12 Month Income Statement by Mo"/>
      <sheetName val="Balance Sheet"/>
      <sheetName val="LW PASCO Revenue"/>
      <sheetName val="LW RICH Revenue"/>
      <sheetName val="Recycling Revenue Allocation"/>
      <sheetName val="Customer"/>
      <sheetName val="Route Hours"/>
      <sheetName val="Drop Box Hours"/>
      <sheetName val="Allocated Hours"/>
      <sheetName val="Tip Fees"/>
      <sheetName val="Tip - Misc"/>
      <sheetName val="W-2 With Hours"/>
      <sheetName val="Payroll Taxes"/>
      <sheetName val="PR Adjustment"/>
      <sheetName val="Cart Rent"/>
      <sheetName val="Cart Rent Detail"/>
      <sheetName val="Drop Box Count"/>
      <sheetName val="ASL RTE HRS"/>
      <sheetName val="FEL RTE HRS"/>
      <sheetName val="FEL OCC RTE HRS"/>
      <sheetName val="Wage Percetages - Internal"/>
      <sheetName val="Impact "/>
      <sheetName val="JF WAGE"/>
      <sheetName val="Advertising, Consult &amp; Lobby"/>
      <sheetName val="PAC Calculation"/>
    </sheetNames>
    <sheetDataSet>
      <sheetData sheetId="0">
        <row r="100">
          <cell r="A100" t="str">
            <v>NOI (Loss)</v>
          </cell>
        </row>
        <row r="102">
          <cell r="G10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1">
          <cell r="H41">
            <v>14335.770000000002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OR PRO FORMA"/>
      <sheetName val="NewPositions"/>
      <sheetName val="WAGE_SUMMARY"/>
      <sheetName val="BDI_ANALYSIS"/>
      <sheetName val="WAGE_RECON"/>
      <sheetName val="OT_RECON"/>
      <sheetName val="VAC_RECON"/>
      <sheetName val="PNW_Oct15-Sep16"/>
      <sheetName val="1. BDI General Ledger Table"/>
      <sheetName val="Sheet1"/>
    </sheetNames>
    <sheetDataSet>
      <sheetData sheetId="0"/>
      <sheetData sheetId="1"/>
      <sheetData sheetId="2">
        <row r="1">
          <cell r="A1" t="str">
            <v>Employee Id</v>
          </cell>
          <cell r="D1" t="str">
            <v>POSITION EXISTED IN TEST PERIOD</v>
          </cell>
        </row>
        <row r="2">
          <cell r="A2">
            <v>644</v>
          </cell>
          <cell r="D2" t="str">
            <v>Y</v>
          </cell>
        </row>
        <row r="3">
          <cell r="A3">
            <v>8260</v>
          </cell>
          <cell r="D3" t="str">
            <v>N</v>
          </cell>
        </row>
        <row r="4">
          <cell r="A4">
            <v>1576</v>
          </cell>
          <cell r="D4" t="str">
            <v>N</v>
          </cell>
        </row>
        <row r="5">
          <cell r="A5">
            <v>9607</v>
          </cell>
          <cell r="D5" t="str">
            <v>Y</v>
          </cell>
        </row>
        <row r="6">
          <cell r="A6">
            <v>6569</v>
          </cell>
          <cell r="D6" t="str">
            <v>Y</v>
          </cell>
        </row>
        <row r="7">
          <cell r="A7">
            <v>711</v>
          </cell>
          <cell r="D7" t="str">
            <v>Y</v>
          </cell>
        </row>
        <row r="8">
          <cell r="A8">
            <v>5831</v>
          </cell>
          <cell r="D8" t="str">
            <v>Y</v>
          </cell>
        </row>
        <row r="9">
          <cell r="A9">
            <v>3079</v>
          </cell>
          <cell r="D9" t="str">
            <v>N</v>
          </cell>
        </row>
        <row r="10">
          <cell r="A10">
            <v>196</v>
          </cell>
          <cell r="D10" t="str">
            <v>Y</v>
          </cell>
        </row>
        <row r="11">
          <cell r="A11">
            <v>3602</v>
          </cell>
          <cell r="D11" t="str">
            <v>Y</v>
          </cell>
        </row>
        <row r="12">
          <cell r="A12">
            <v>8932</v>
          </cell>
          <cell r="D12" t="str">
            <v>Y</v>
          </cell>
        </row>
        <row r="13">
          <cell r="A13">
            <v>3422</v>
          </cell>
          <cell r="D13" t="str">
            <v>Y</v>
          </cell>
        </row>
        <row r="14">
          <cell r="A14">
            <v>5035</v>
          </cell>
          <cell r="D14" t="str">
            <v>Y</v>
          </cell>
        </row>
        <row r="15">
          <cell r="A15">
            <v>8151</v>
          </cell>
          <cell r="D15" t="str">
            <v>Y</v>
          </cell>
        </row>
        <row r="16">
          <cell r="A16">
            <v>1634</v>
          </cell>
          <cell r="D16" t="str">
            <v>Y</v>
          </cell>
        </row>
        <row r="17">
          <cell r="A17">
            <v>4293</v>
          </cell>
          <cell r="D17" t="str">
            <v>Y</v>
          </cell>
        </row>
        <row r="18">
          <cell r="A18">
            <v>4841</v>
          </cell>
          <cell r="D18" t="str">
            <v>Y</v>
          </cell>
        </row>
        <row r="19">
          <cell r="A19">
            <v>2588</v>
          </cell>
          <cell r="D19" t="str">
            <v>Y</v>
          </cell>
        </row>
        <row r="20">
          <cell r="A20">
            <v>9031</v>
          </cell>
          <cell r="D20" t="str">
            <v>Y</v>
          </cell>
        </row>
        <row r="21">
          <cell r="A21">
            <v>6131</v>
          </cell>
          <cell r="D21" t="str">
            <v>Y</v>
          </cell>
        </row>
        <row r="22">
          <cell r="A22">
            <v>8247</v>
          </cell>
          <cell r="D22" t="str">
            <v>Y</v>
          </cell>
        </row>
        <row r="23">
          <cell r="A23">
            <v>8147</v>
          </cell>
          <cell r="D23" t="str">
            <v>Y</v>
          </cell>
        </row>
        <row r="24">
          <cell r="A24">
            <v>9074</v>
          </cell>
          <cell r="D24" t="str">
            <v>Y</v>
          </cell>
        </row>
        <row r="25">
          <cell r="A25">
            <v>8634</v>
          </cell>
          <cell r="D25" t="str">
            <v>Y</v>
          </cell>
        </row>
        <row r="26">
          <cell r="A26">
            <v>1239</v>
          </cell>
          <cell r="D26" t="str">
            <v>Y</v>
          </cell>
        </row>
        <row r="27">
          <cell r="A27">
            <v>4289</v>
          </cell>
          <cell r="D27" t="str">
            <v>Y</v>
          </cell>
        </row>
        <row r="28">
          <cell r="A28">
            <v>4781</v>
          </cell>
          <cell r="D28" t="str">
            <v>Y</v>
          </cell>
        </row>
        <row r="29">
          <cell r="A29">
            <v>4990</v>
          </cell>
          <cell r="D29" t="str">
            <v>Y</v>
          </cell>
        </row>
        <row r="30">
          <cell r="A30">
            <v>2864</v>
          </cell>
          <cell r="D30" t="str">
            <v>Y</v>
          </cell>
        </row>
        <row r="31">
          <cell r="A31">
            <v>837</v>
          </cell>
          <cell r="D31" t="str">
            <v>Y</v>
          </cell>
        </row>
        <row r="32">
          <cell r="A32">
            <v>4221</v>
          </cell>
          <cell r="D32" t="str">
            <v>Y</v>
          </cell>
        </row>
        <row r="33">
          <cell r="A33">
            <v>4996</v>
          </cell>
          <cell r="D33" t="str">
            <v>Y</v>
          </cell>
        </row>
        <row r="34">
          <cell r="A34">
            <v>5377</v>
          </cell>
          <cell r="D34" t="str">
            <v>Y</v>
          </cell>
        </row>
        <row r="35">
          <cell r="A35">
            <v>2990</v>
          </cell>
          <cell r="D35" t="str">
            <v>Y</v>
          </cell>
        </row>
        <row r="36">
          <cell r="A36">
            <v>9635</v>
          </cell>
          <cell r="D36" t="str">
            <v>Y</v>
          </cell>
        </row>
        <row r="37">
          <cell r="A37">
            <v>85</v>
          </cell>
          <cell r="D37" t="str">
            <v>Y</v>
          </cell>
        </row>
        <row r="38">
          <cell r="A38">
            <v>4934</v>
          </cell>
          <cell r="D38" t="str">
            <v>Y</v>
          </cell>
        </row>
        <row r="39">
          <cell r="A39">
            <v>162</v>
          </cell>
          <cell r="D39" t="str">
            <v>Y</v>
          </cell>
        </row>
        <row r="40">
          <cell r="A40">
            <v>871</v>
          </cell>
          <cell r="D40" t="str">
            <v>Y</v>
          </cell>
        </row>
        <row r="41">
          <cell r="A41">
            <v>4492</v>
          </cell>
          <cell r="D41" t="str">
            <v>Y</v>
          </cell>
        </row>
        <row r="42">
          <cell r="A42">
            <v>4085</v>
          </cell>
          <cell r="D42" t="str">
            <v>Y</v>
          </cell>
        </row>
        <row r="43">
          <cell r="A43">
            <v>4446</v>
          </cell>
          <cell r="D43" t="str">
            <v>Y</v>
          </cell>
        </row>
        <row r="44">
          <cell r="A44">
            <v>5789</v>
          </cell>
          <cell r="D44" t="str">
            <v>Y</v>
          </cell>
        </row>
        <row r="45">
          <cell r="A45">
            <v>4773</v>
          </cell>
          <cell r="D45" t="str">
            <v>Y</v>
          </cell>
        </row>
        <row r="46">
          <cell r="A46">
            <v>5426</v>
          </cell>
          <cell r="D46" t="str">
            <v>Y</v>
          </cell>
        </row>
        <row r="47">
          <cell r="A47">
            <v>74</v>
          </cell>
          <cell r="D47" t="str">
            <v>Y</v>
          </cell>
        </row>
        <row r="48">
          <cell r="A48">
            <v>2457</v>
          </cell>
          <cell r="D48" t="str">
            <v>Y</v>
          </cell>
        </row>
        <row r="49">
          <cell r="A49">
            <v>5727</v>
          </cell>
          <cell r="D49" t="str">
            <v>Y</v>
          </cell>
        </row>
        <row r="50">
          <cell r="A50">
            <v>8020</v>
          </cell>
          <cell r="D50" t="str">
            <v>Y</v>
          </cell>
        </row>
        <row r="51">
          <cell r="A51">
            <v>1744</v>
          </cell>
          <cell r="D51" t="str">
            <v>Y</v>
          </cell>
        </row>
        <row r="52">
          <cell r="A52">
            <v>6729</v>
          </cell>
          <cell r="D52" t="str">
            <v>Y</v>
          </cell>
        </row>
        <row r="53">
          <cell r="A53">
            <v>8054</v>
          </cell>
          <cell r="D53" t="str">
            <v>Y</v>
          </cell>
        </row>
        <row r="54">
          <cell r="A54">
            <v>5149</v>
          </cell>
          <cell r="D54" t="str">
            <v>Y</v>
          </cell>
        </row>
        <row r="55">
          <cell r="A55">
            <v>1402</v>
          </cell>
          <cell r="D55" t="str">
            <v>Y</v>
          </cell>
        </row>
        <row r="56">
          <cell r="A56">
            <v>150</v>
          </cell>
          <cell r="D56" t="str">
            <v>Y</v>
          </cell>
        </row>
        <row r="57">
          <cell r="A57">
            <v>7233</v>
          </cell>
          <cell r="D57" t="str">
            <v>Y</v>
          </cell>
        </row>
        <row r="58">
          <cell r="A58">
            <v>3905</v>
          </cell>
          <cell r="D58" t="str">
            <v>Y</v>
          </cell>
        </row>
        <row r="59">
          <cell r="A59">
            <v>1223</v>
          </cell>
          <cell r="D59" t="str">
            <v>Y</v>
          </cell>
        </row>
        <row r="60">
          <cell r="A60">
            <v>3758</v>
          </cell>
          <cell r="D60" t="str">
            <v>Y</v>
          </cell>
        </row>
        <row r="61">
          <cell r="A61">
            <v>6406</v>
          </cell>
          <cell r="D61" t="str">
            <v>Y</v>
          </cell>
        </row>
        <row r="62">
          <cell r="A62">
            <v>9798</v>
          </cell>
          <cell r="D62" t="str">
            <v>Y</v>
          </cell>
        </row>
        <row r="63">
          <cell r="A63">
            <v>6492</v>
          </cell>
          <cell r="D63" t="str">
            <v>Y</v>
          </cell>
        </row>
        <row r="64">
          <cell r="A64">
            <v>2818</v>
          </cell>
          <cell r="D64" t="str">
            <v>Y</v>
          </cell>
        </row>
        <row r="65">
          <cell r="A65">
            <v>7482</v>
          </cell>
          <cell r="D65" t="str">
            <v>Y</v>
          </cell>
        </row>
        <row r="66">
          <cell r="A66">
            <v>1249</v>
          </cell>
          <cell r="D66" t="str">
            <v>Y</v>
          </cell>
        </row>
        <row r="67">
          <cell r="A67">
            <v>7602</v>
          </cell>
          <cell r="D67" t="str">
            <v>Y</v>
          </cell>
        </row>
        <row r="68">
          <cell r="A68">
            <v>567</v>
          </cell>
          <cell r="D68" t="str">
            <v>Y</v>
          </cell>
        </row>
        <row r="69">
          <cell r="A69">
            <v>529</v>
          </cell>
          <cell r="D69" t="str">
            <v>Y</v>
          </cell>
        </row>
        <row r="70">
          <cell r="A70">
            <v>4161</v>
          </cell>
          <cell r="D70" t="str">
            <v>Y</v>
          </cell>
        </row>
        <row r="71">
          <cell r="A71">
            <v>7229</v>
          </cell>
          <cell r="D71" t="str">
            <v>Y</v>
          </cell>
        </row>
        <row r="72">
          <cell r="A72">
            <v>9098</v>
          </cell>
          <cell r="D72" t="str">
            <v>Y</v>
          </cell>
        </row>
        <row r="73">
          <cell r="A73">
            <v>1839</v>
          </cell>
          <cell r="D73" t="str">
            <v>Y</v>
          </cell>
        </row>
        <row r="74">
          <cell r="A74">
            <v>2904</v>
          </cell>
          <cell r="D74" t="str">
            <v>Y</v>
          </cell>
        </row>
        <row r="75">
          <cell r="A75">
            <v>1554</v>
          </cell>
          <cell r="D75" t="str">
            <v>N</v>
          </cell>
        </row>
        <row r="76">
          <cell r="A76">
            <v>2232</v>
          </cell>
          <cell r="D76" t="str">
            <v>N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Weldon/AppData/Local/Microsoft/Windows/Temporary%20Internet%20Files/Content.Outlook/2IU5EPBL/Legal%20Expenses%2010-1-15%20to%209-30-1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f" refreshedDate="42794.701677430552" createdVersion="3" refreshedVersion="4" minRefreshableVersion="3" recordCount="109">
  <cacheSource type="worksheet">
    <worksheetSource name="Table_Query_from_BDI_PBS" r:id="rId2"/>
  </cacheSource>
  <cacheFields count="14">
    <cacheField name="fiscal_yr" numFmtId="0">
      <sharedItems containsSemiMixedTypes="0" containsString="0" containsNumber="1" containsInteger="1" minValue="2015" maxValue="2016"/>
    </cacheField>
    <cacheField name="chrt_acct_pc1" numFmtId="0">
      <sharedItems/>
    </cacheField>
    <cacheField name="chrt_acct_pc2" numFmtId="0">
      <sharedItems/>
    </cacheField>
    <cacheField name="chrt_acct_main" numFmtId="0">
      <sharedItems count="3">
        <s v="60000000"/>
        <s v="12000000" u="1"/>
        <s v="27000000" u="1"/>
      </sharedItems>
    </cacheField>
    <cacheField name="chrt_acct_sub" numFmtId="0">
      <sharedItems count="10">
        <s v="52000000"/>
        <s v="54000000"/>
        <s v="30000000" u="1"/>
        <s v="10000000" u="1"/>
        <s v="60000000" u="1"/>
        <s v="51000000" u="1"/>
        <s v="20000000" u="1"/>
        <s v="70000000" u="1"/>
        <s v="00000000" u="1"/>
        <s v="50000000" u="1"/>
      </sharedItems>
    </cacheField>
    <cacheField name="trx_dat" numFmtId="22">
      <sharedItems containsSemiMixedTypes="0" containsNonDate="0" containsDate="1" containsString="0" minDate="2015-10-01T00:00:00" maxDate="2016-10-01T00:00:00"/>
    </cacheField>
    <cacheField name="seq_no" numFmtId="0">
      <sharedItems containsSemiMixedTypes="0" containsString="0" containsNumber="1" containsInteger="1" minValue="0" maxValue="3"/>
    </cacheField>
    <cacheField name="trx_amt" numFmtId="43">
      <sharedItems containsSemiMixedTypes="0" containsString="0" containsNumber="1" minValue="-17344.18" maxValue="19125"/>
    </cacheField>
    <cacheField name="trx_source" numFmtId="0">
      <sharedItems containsBlank="1"/>
    </cacheField>
    <cacheField name="ref" numFmtId="0">
      <sharedItems count="14">
        <s v="DAVIS GRIMM PAYNE &amp; MARRA"/>
        <s v="PARTNERS CLAIM SERVICES"/>
        <s v="OSWALT TEEL &amp; FRANKLIN"/>
        <s v="KEANE LAW OFFICES"/>
        <s v="WILLIAMS, KASTNER &amp; GIBBS"/>
        <s v="FRANKLIN BUSINESS WORKS"/>
        <s v="Allocate Cross-Co Expense"/>
        <s v="50 Accrue Shared Expenses"/>
        <s v="21 Allocate Cross-Co Expe"/>
        <s v="99 Rclss E.Jens 8-15 Fees"/>
        <s v="50 Accrue Franklin Bus"/>
        <s v="50 Accrue FBW Mar Inv"/>
        <s v=" 65 BOA CC Allocation"/>
        <s v="50 Accrue FBW June Inv"/>
      </sharedItems>
    </cacheField>
    <cacheField name="doc_no" numFmtId="0">
      <sharedItems containsBlank="1"/>
    </cacheField>
    <cacheField name="jrnl_no" numFmtId="0">
      <sharedItems/>
    </cacheField>
    <cacheField name="date_posted" numFmtId="22">
      <sharedItems containsSemiMixedTypes="0" containsNonDate="0" containsDate="1" containsString="0" minDate="2015-10-31T00:00:00" maxDate="2016-10-01T00:00:00"/>
    </cacheField>
    <cacheField name="Month" numFmtId="0">
      <sharedItems containsMixedTypes="1" containsNumber="1" containsInteger="1" minValue="1" maxValue="12" count="24">
        <s v="10-2015"/>
        <s v="11-2015"/>
        <s v="12-2015"/>
        <s v="1-2016"/>
        <s v="2-2016"/>
        <s v="3-2016"/>
        <s v="4-2016"/>
        <s v="5-2016"/>
        <s v="6-2016"/>
        <s v="7-2016"/>
        <s v="8-2016"/>
        <s v="9-2016"/>
        <n v="5" u="1"/>
        <n v="2" u="1"/>
        <n v="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">
  <r>
    <n v="2015"/>
    <s v="10000000"/>
    <s v="00000000"/>
    <x v="0"/>
    <x v="0"/>
    <d v="2015-10-01T00:00:00"/>
    <n v="0"/>
    <n v="73"/>
    <s v="AP"/>
    <x v="0"/>
    <s v="43664"/>
    <s v="AP1001533"/>
    <d v="2015-10-31T00:00:00"/>
    <x v="0"/>
  </r>
  <r>
    <n v="2015"/>
    <s v="10000000"/>
    <s v="00000000"/>
    <x v="0"/>
    <x v="0"/>
    <d v="2015-10-01T00:00:00"/>
    <n v="1"/>
    <n v="135"/>
    <s v="AP"/>
    <x v="1"/>
    <s v="TP151219-1"/>
    <s v="AP1001534"/>
    <d v="2015-10-31T00:00:00"/>
    <x v="0"/>
  </r>
  <r>
    <n v="2015"/>
    <s v="10000000"/>
    <s v="00000000"/>
    <x v="0"/>
    <x v="0"/>
    <d v="2015-10-01T00:00:00"/>
    <n v="2"/>
    <n v="658"/>
    <s v="AP"/>
    <x v="2"/>
    <s v="3123017"/>
    <s v="AP1001570"/>
    <d v="2015-10-31T00:00:00"/>
    <x v="0"/>
  </r>
  <r>
    <n v="2015"/>
    <s v="10000000"/>
    <s v="00000000"/>
    <x v="0"/>
    <x v="0"/>
    <d v="2015-10-01T00:00:00"/>
    <n v="3"/>
    <n v="90"/>
    <s v="AP"/>
    <x v="1"/>
    <s v="TP151078-1"/>
    <s v="AP1001570"/>
    <d v="2015-10-31T00:00:00"/>
    <x v="0"/>
  </r>
  <r>
    <n v="2015"/>
    <s v="10000000"/>
    <s v="00000000"/>
    <x v="0"/>
    <x v="1"/>
    <d v="2015-10-01T00:00:00"/>
    <n v="0"/>
    <n v="1593.75"/>
    <s v="AP"/>
    <x v="3"/>
    <s v="148673"/>
    <s v="AP1001570"/>
    <d v="2015-10-31T00:00:00"/>
    <x v="0"/>
  </r>
  <r>
    <n v="2015"/>
    <s v="10000000"/>
    <s v="00000000"/>
    <x v="0"/>
    <x v="1"/>
    <d v="2015-10-01T00:00:00"/>
    <n v="1"/>
    <n v="265"/>
    <s v="AP"/>
    <x v="3"/>
    <s v="148670"/>
    <s v="AP1001570"/>
    <d v="2015-10-31T00:00:00"/>
    <x v="0"/>
  </r>
  <r>
    <n v="2015"/>
    <s v="10000000"/>
    <s v="00000000"/>
    <x v="0"/>
    <x v="1"/>
    <d v="2015-10-01T00:00:00"/>
    <n v="2"/>
    <n v="76.2"/>
    <s v="AP"/>
    <x v="3"/>
    <s v="148672"/>
    <s v="AP1001570"/>
    <d v="2015-10-31T00:00:00"/>
    <x v="0"/>
  </r>
  <r>
    <n v="2015"/>
    <s v="10000000"/>
    <s v="00000000"/>
    <x v="0"/>
    <x v="1"/>
    <d v="2015-10-01T00:00:00"/>
    <n v="3"/>
    <n v="5876.25"/>
    <s v="AP"/>
    <x v="3"/>
    <s v="148671"/>
    <s v="AP1001570"/>
    <d v="2015-10-31T00:00:00"/>
    <x v="0"/>
  </r>
  <r>
    <n v="2015"/>
    <s v="10000000"/>
    <s v="00000000"/>
    <x v="0"/>
    <x v="0"/>
    <d v="2015-10-06T00:00:00"/>
    <n v="0"/>
    <n v="32"/>
    <s v="AP"/>
    <x v="4"/>
    <s v="528699-524031"/>
    <s v="AP1001533"/>
    <d v="2015-10-31T00:00:00"/>
    <x v="0"/>
  </r>
  <r>
    <n v="2015"/>
    <s v="10000000"/>
    <s v="00000000"/>
    <x v="0"/>
    <x v="0"/>
    <d v="2015-10-31T00:00:00"/>
    <n v="0"/>
    <n v="9100"/>
    <s v="AP"/>
    <x v="5"/>
    <s v="147"/>
    <s v="AP1001617"/>
    <d v="2015-10-31T00:00:00"/>
    <x v="0"/>
  </r>
  <r>
    <n v="2015"/>
    <s v="10000000"/>
    <s v="00000000"/>
    <x v="0"/>
    <x v="0"/>
    <d v="2015-10-31T00:00:00"/>
    <n v="1"/>
    <n v="-5582.57"/>
    <s v="CO"/>
    <x v="6"/>
    <m/>
    <s v="GJ1001677"/>
    <d v="2015-10-31T00:00:00"/>
    <x v="0"/>
  </r>
  <r>
    <n v="2015"/>
    <s v="10000000"/>
    <s v="00000000"/>
    <x v="0"/>
    <x v="1"/>
    <d v="2015-11-02T00:00:00"/>
    <n v="0"/>
    <n v="337.85"/>
    <s v="AP"/>
    <x v="3"/>
    <s v="148722"/>
    <s v="AP1001709"/>
    <d v="2015-11-30T00:00:00"/>
    <x v="1"/>
  </r>
  <r>
    <n v="2015"/>
    <s v="10000000"/>
    <s v="00000000"/>
    <x v="0"/>
    <x v="1"/>
    <d v="2015-11-02T00:00:00"/>
    <n v="1"/>
    <n v="14108.75"/>
    <s v="AP"/>
    <x v="3"/>
    <s v="148700"/>
    <s v="AP1001709"/>
    <d v="2015-11-30T00:00:00"/>
    <x v="1"/>
  </r>
  <r>
    <n v="2015"/>
    <s v="10000000"/>
    <s v="00000000"/>
    <x v="0"/>
    <x v="1"/>
    <d v="2015-11-02T00:00:00"/>
    <n v="2"/>
    <n v="3990"/>
    <s v="AP"/>
    <x v="3"/>
    <s v="148701"/>
    <s v="AP1001709"/>
    <d v="2015-11-30T00:00:00"/>
    <x v="1"/>
  </r>
  <r>
    <n v="2015"/>
    <s v="10000000"/>
    <s v="00000000"/>
    <x v="0"/>
    <x v="0"/>
    <d v="2015-11-10T00:00:00"/>
    <n v="0"/>
    <n v="48"/>
    <s v="AP"/>
    <x v="4"/>
    <s v="530089-525718"/>
    <s v="AP1001697"/>
    <d v="2015-11-30T00:00:00"/>
    <x v="1"/>
  </r>
  <r>
    <n v="2015"/>
    <s v="10000000"/>
    <s v="00000000"/>
    <x v="0"/>
    <x v="0"/>
    <d v="2015-11-10T00:00:00"/>
    <n v="1"/>
    <n v="80.3"/>
    <s v="AP"/>
    <x v="4"/>
    <s v="530090-525721"/>
    <s v="AP1001697"/>
    <d v="2015-11-30T00:00:00"/>
    <x v="1"/>
  </r>
  <r>
    <n v="2015"/>
    <s v="10000000"/>
    <s v="00000000"/>
    <x v="0"/>
    <x v="0"/>
    <d v="2015-11-30T00:00:00"/>
    <n v="0"/>
    <n v="-51.64"/>
    <s v="CO"/>
    <x v="6"/>
    <m/>
    <s v="GJ1001812"/>
    <d v="2015-11-30T00:00:00"/>
    <x v="1"/>
  </r>
  <r>
    <n v="2015"/>
    <s v="10000000"/>
    <s v="00000000"/>
    <x v="0"/>
    <x v="0"/>
    <d v="2015-12-01T00:00:00"/>
    <n v="0"/>
    <n v="1504"/>
    <s v="AP"/>
    <x v="2"/>
    <s v="3123158"/>
    <s v="AP1001820"/>
    <d v="2015-12-31T00:00:00"/>
    <x v="2"/>
  </r>
  <r>
    <n v="2015"/>
    <s v="10000000"/>
    <s v="00000000"/>
    <x v="0"/>
    <x v="1"/>
    <d v="2015-12-01T00:00:00"/>
    <n v="0"/>
    <n v="335"/>
    <s v="AP"/>
    <x v="3"/>
    <s v="148733"/>
    <s v="AP1001820"/>
    <d v="2015-12-31T00:00:00"/>
    <x v="2"/>
  </r>
  <r>
    <n v="2015"/>
    <s v="10000000"/>
    <s v="00000000"/>
    <x v="0"/>
    <x v="1"/>
    <d v="2015-12-01T00:00:00"/>
    <n v="1"/>
    <n v="325.45"/>
    <s v="AP"/>
    <x v="3"/>
    <s v="148748"/>
    <s v="AP1001820"/>
    <d v="2015-12-31T00:00:00"/>
    <x v="2"/>
  </r>
  <r>
    <n v="2015"/>
    <s v="10000000"/>
    <s v="00000000"/>
    <x v="0"/>
    <x v="1"/>
    <d v="2015-12-01T00:00:00"/>
    <n v="2"/>
    <n v="14142.5"/>
    <s v="AP"/>
    <x v="3"/>
    <s v="148732"/>
    <s v="AP1001820"/>
    <d v="2015-12-31T00:00:00"/>
    <x v="2"/>
  </r>
  <r>
    <n v="2015"/>
    <s v="10000000"/>
    <s v="00000000"/>
    <x v="0"/>
    <x v="1"/>
    <d v="2015-12-01T00:00:00"/>
    <n v="3"/>
    <n v="21.49"/>
    <s v="AP"/>
    <x v="3"/>
    <s v="148734"/>
    <s v="AP1001820"/>
    <d v="2015-12-31T00:00:00"/>
    <x v="2"/>
  </r>
  <r>
    <n v="2015"/>
    <s v="10000000"/>
    <s v="00000000"/>
    <x v="0"/>
    <x v="0"/>
    <d v="2015-12-15T00:00:00"/>
    <n v="0"/>
    <n v="122.13"/>
    <s v="AP"/>
    <x v="4"/>
    <s v="531230-527499"/>
    <s v="AP1001820"/>
    <d v="2015-12-31T00:00:00"/>
    <x v="2"/>
  </r>
  <r>
    <n v="2015"/>
    <s v="10000000"/>
    <s v="00000000"/>
    <x v="0"/>
    <x v="0"/>
    <d v="2015-12-15T00:00:00"/>
    <n v="1"/>
    <n v="194.46"/>
    <s v="AP"/>
    <x v="4"/>
    <s v="531229-527497"/>
    <s v="AP1001820"/>
    <d v="2015-12-31T00:00:00"/>
    <x v="2"/>
  </r>
  <r>
    <n v="2015"/>
    <s v="10000000"/>
    <s v="00000000"/>
    <x v="0"/>
    <x v="0"/>
    <d v="2015-12-16T00:00:00"/>
    <n v="0"/>
    <n v="5070"/>
    <s v="AP"/>
    <x v="5"/>
    <s v="148"/>
    <s v="AP1001820"/>
    <d v="2015-12-31T00:00:00"/>
    <x v="2"/>
  </r>
  <r>
    <n v="2015"/>
    <s v="10000000"/>
    <s v="00000000"/>
    <x v="0"/>
    <x v="0"/>
    <d v="2015-12-31T00:00:00"/>
    <n v="0"/>
    <n v="8547"/>
    <m/>
    <x v="7"/>
    <s v="Gen Jrnl"/>
    <s v="ML0001626"/>
    <d v="2015-12-31T00:00:00"/>
    <x v="2"/>
  </r>
  <r>
    <n v="2015"/>
    <s v="10000000"/>
    <s v="00000000"/>
    <x v="0"/>
    <x v="0"/>
    <d v="2015-12-31T00:00:00"/>
    <n v="1"/>
    <n v="-8670.82"/>
    <s v="CO"/>
    <x v="8"/>
    <m/>
    <s v="GJ1001936"/>
    <d v="2015-12-31T00:00:00"/>
    <x v="2"/>
  </r>
  <r>
    <n v="2015"/>
    <s v="10000000"/>
    <s v="00000000"/>
    <x v="0"/>
    <x v="1"/>
    <d v="2015-12-31T00:00:00"/>
    <n v="0"/>
    <n v="-17344.18"/>
    <s v="DI"/>
    <x v="9"/>
    <m/>
    <s v="GJ1001984"/>
    <d v="2015-12-31T00:00:00"/>
    <x v="2"/>
  </r>
  <r>
    <n v="2016"/>
    <s v="10000000"/>
    <s v="00000000"/>
    <x v="0"/>
    <x v="0"/>
    <d v="2016-01-01T00:00:00"/>
    <n v="0"/>
    <n v="109.5"/>
    <s v="AP"/>
    <x v="0"/>
    <s v="43986"/>
    <s v="AP1001945"/>
    <d v="2016-01-31T00:00:00"/>
    <x v="3"/>
  </r>
  <r>
    <n v="2016"/>
    <s v="10000000"/>
    <s v="00000000"/>
    <x v="0"/>
    <x v="0"/>
    <d v="2016-01-01T00:00:00"/>
    <n v="1"/>
    <n v="-8547"/>
    <m/>
    <x v="7"/>
    <s v="Gen Jrnl"/>
    <s v="ML0001626"/>
    <d v="2015-12-31T00:00:00"/>
    <x v="3"/>
  </r>
  <r>
    <n v="2016"/>
    <s v="10000000"/>
    <s v="00000000"/>
    <x v="0"/>
    <x v="0"/>
    <d v="2016-01-01T00:00:00"/>
    <n v="2"/>
    <n v="8547.5"/>
    <s v="AP"/>
    <x v="5"/>
    <s v="149"/>
    <s v="AP1001945"/>
    <d v="2016-01-31T00:00:00"/>
    <x v="3"/>
  </r>
  <r>
    <n v="2016"/>
    <s v="10000000"/>
    <s v="00000000"/>
    <x v="0"/>
    <x v="1"/>
    <d v="2016-01-04T00:00:00"/>
    <n v="0"/>
    <n v="348.75"/>
    <s v="AP"/>
    <x v="3"/>
    <s v="148751"/>
    <s v="AP1001989"/>
    <d v="2016-01-31T00:00:00"/>
    <x v="3"/>
  </r>
  <r>
    <n v="2016"/>
    <s v="10000000"/>
    <s v="00000000"/>
    <x v="0"/>
    <x v="1"/>
    <d v="2016-01-04T00:00:00"/>
    <n v="1"/>
    <n v="4790"/>
    <s v="AP"/>
    <x v="3"/>
    <s v="148752"/>
    <s v="AP1001989"/>
    <d v="2016-01-31T00:00:00"/>
    <x v="3"/>
  </r>
  <r>
    <n v="2016"/>
    <s v="10000000"/>
    <s v="00000000"/>
    <x v="0"/>
    <x v="1"/>
    <d v="2016-01-04T00:00:00"/>
    <n v="2"/>
    <n v="6957.5"/>
    <s v="AP"/>
    <x v="3"/>
    <s v="148753"/>
    <s v="AP1001989"/>
    <d v="2016-01-31T00:00:00"/>
    <x v="3"/>
  </r>
  <r>
    <n v="2016"/>
    <s v="10000000"/>
    <s v="00000000"/>
    <x v="0"/>
    <x v="0"/>
    <d v="2016-01-07T00:00:00"/>
    <n v="0"/>
    <n v="935"/>
    <s v="AP"/>
    <x v="4"/>
    <s v="532345-529272"/>
    <s v="AP1001945"/>
    <d v="2016-01-31T00:00:00"/>
    <x v="3"/>
  </r>
  <r>
    <n v="2016"/>
    <s v="10000000"/>
    <s v="00000000"/>
    <x v="0"/>
    <x v="0"/>
    <d v="2016-01-07T00:00:00"/>
    <n v="1"/>
    <n v="2.25"/>
    <s v="AP"/>
    <x v="4"/>
    <s v="532345-529272-2"/>
    <s v="AP1002068"/>
    <d v="2016-01-31T00:00:00"/>
    <x v="3"/>
  </r>
  <r>
    <n v="2016"/>
    <s v="10000000"/>
    <s v="00000000"/>
    <x v="0"/>
    <x v="0"/>
    <d v="2016-01-25T00:00:00"/>
    <n v="0"/>
    <n v="9392.5"/>
    <s v="AP"/>
    <x v="5"/>
    <s v="150"/>
    <s v="AP1002065"/>
    <d v="2016-01-31T00:00:00"/>
    <x v="3"/>
  </r>
  <r>
    <n v="2016"/>
    <s v="10000000"/>
    <s v="00000000"/>
    <x v="0"/>
    <x v="0"/>
    <d v="2016-01-31T00:00:00"/>
    <n v="0"/>
    <n v="-5645.35"/>
    <s v="CO"/>
    <x v="8"/>
    <m/>
    <s v="GJ1002089"/>
    <d v="2016-01-31T00:00:00"/>
    <x v="3"/>
  </r>
  <r>
    <n v="2016"/>
    <s v="10000000"/>
    <s v="00000000"/>
    <x v="0"/>
    <x v="0"/>
    <d v="2016-02-01T00:00:00"/>
    <n v="0"/>
    <n v="1600"/>
    <s v="AP"/>
    <x v="2"/>
    <s v="3123282"/>
    <s v="AP1002082"/>
    <d v="2016-02-29T00:00:00"/>
    <x v="4"/>
  </r>
  <r>
    <n v="2016"/>
    <s v="10000000"/>
    <s v="00000000"/>
    <x v="0"/>
    <x v="1"/>
    <d v="2016-02-01T00:00:00"/>
    <n v="0"/>
    <n v="30.61"/>
    <s v="AP"/>
    <x v="3"/>
    <s v="148774"/>
    <s v="AP1002146"/>
    <d v="2016-02-29T00:00:00"/>
    <x v="4"/>
  </r>
  <r>
    <n v="2016"/>
    <s v="10000000"/>
    <s v="00000000"/>
    <x v="0"/>
    <x v="1"/>
    <d v="2016-02-01T00:00:00"/>
    <n v="1"/>
    <n v="19125"/>
    <s v="AP"/>
    <x v="3"/>
    <s v="148773"/>
    <s v="AP1002146"/>
    <d v="2016-02-29T00:00:00"/>
    <x v="4"/>
  </r>
  <r>
    <n v="2016"/>
    <s v="10000000"/>
    <s v="00000000"/>
    <x v="0"/>
    <x v="1"/>
    <d v="2016-02-01T00:00:00"/>
    <n v="2"/>
    <n v="3517.5"/>
    <s v="AP"/>
    <x v="3"/>
    <s v="148772"/>
    <s v="AP1002146"/>
    <d v="2016-02-29T00:00:00"/>
    <x v="4"/>
  </r>
  <r>
    <n v="2016"/>
    <s v="10000000"/>
    <s v="00000000"/>
    <x v="0"/>
    <x v="1"/>
    <d v="2016-02-01T00:00:00"/>
    <n v="3"/>
    <n v="83.75"/>
    <s v="AP"/>
    <x v="3"/>
    <s v="148733 BALANCE"/>
    <s v="AP1002150"/>
    <d v="2016-02-29T00:00:00"/>
    <x v="4"/>
  </r>
  <r>
    <n v="2016"/>
    <s v="10000000"/>
    <s v="00000000"/>
    <x v="0"/>
    <x v="0"/>
    <d v="2016-02-11T00:00:00"/>
    <n v="0"/>
    <n v="2618.6"/>
    <s v="AP"/>
    <x v="4"/>
    <s v="533562-530807"/>
    <s v="AP1002146"/>
    <d v="2016-02-29T00:00:00"/>
    <x v="4"/>
  </r>
  <r>
    <n v="2016"/>
    <s v="10000000"/>
    <s v="00000000"/>
    <x v="0"/>
    <x v="0"/>
    <d v="2016-02-11T00:00:00"/>
    <n v="1"/>
    <n v="2145"/>
    <s v="AP"/>
    <x v="4"/>
    <s v="533605-530804"/>
    <s v="AP1002146"/>
    <d v="2016-02-29T00:00:00"/>
    <x v="4"/>
  </r>
  <r>
    <n v="2016"/>
    <s v="10000000"/>
    <s v="00000000"/>
    <x v="0"/>
    <x v="0"/>
    <d v="2016-02-29T00:00:00"/>
    <n v="0"/>
    <n v="7865"/>
    <m/>
    <x v="10"/>
    <s v="Gen Jrnl"/>
    <s v="ML0001657"/>
    <d v="2016-02-29T00:00:00"/>
    <x v="4"/>
  </r>
  <r>
    <n v="2016"/>
    <s v="10000000"/>
    <s v="00000000"/>
    <x v="0"/>
    <x v="0"/>
    <d v="2016-02-29T00:00:00"/>
    <n v="1"/>
    <n v="-7146.33"/>
    <s v="CO"/>
    <x v="8"/>
    <m/>
    <s v="GJ1002211"/>
    <d v="2016-02-29T00:00:00"/>
    <x v="4"/>
  </r>
  <r>
    <n v="2016"/>
    <s v="10000000"/>
    <s v="00000000"/>
    <x v="0"/>
    <x v="0"/>
    <d v="2016-03-01T00:00:00"/>
    <n v="0"/>
    <n v="2611"/>
    <s v="AP"/>
    <x v="0"/>
    <s v="44207"/>
    <s v="AP1002223"/>
    <d v="2016-03-31T00:00:00"/>
    <x v="5"/>
  </r>
  <r>
    <n v="2016"/>
    <s v="10000000"/>
    <s v="00000000"/>
    <x v="0"/>
    <x v="0"/>
    <d v="2016-03-01T00:00:00"/>
    <n v="1"/>
    <n v="-7865"/>
    <m/>
    <x v="10"/>
    <s v="Gen Jrnl"/>
    <s v="ML0001657"/>
    <d v="2016-02-29T00:00:00"/>
    <x v="5"/>
  </r>
  <r>
    <n v="2016"/>
    <s v="10000000"/>
    <s v="00000000"/>
    <x v="0"/>
    <x v="0"/>
    <d v="2016-03-01T00:00:00"/>
    <n v="2"/>
    <n v="16328"/>
    <s v="AP"/>
    <x v="2"/>
    <s v="3123405"/>
    <s v="AP1002223"/>
    <d v="2016-03-31T00:00:00"/>
    <x v="5"/>
  </r>
  <r>
    <n v="2016"/>
    <s v="10000000"/>
    <s v="00000000"/>
    <x v="0"/>
    <x v="0"/>
    <d v="2016-03-01T00:00:00"/>
    <n v="3"/>
    <n v="7865"/>
    <s v="AP"/>
    <x v="5"/>
    <s v="151"/>
    <s v="AP1002223"/>
    <d v="2016-03-31T00:00:00"/>
    <x v="5"/>
  </r>
  <r>
    <n v="2016"/>
    <s v="10000000"/>
    <s v="00000000"/>
    <x v="0"/>
    <x v="1"/>
    <d v="2016-03-01T00:00:00"/>
    <n v="0"/>
    <n v="31.49"/>
    <s v="AP"/>
    <x v="3"/>
    <s v="148804"/>
    <s v="AP1002278"/>
    <d v="2016-03-31T00:00:00"/>
    <x v="5"/>
  </r>
  <r>
    <n v="2016"/>
    <s v="10000000"/>
    <s v="00000000"/>
    <x v="0"/>
    <x v="1"/>
    <d v="2016-03-01T00:00:00"/>
    <n v="1"/>
    <n v="10803.75"/>
    <s v="AP"/>
    <x v="3"/>
    <s v="148802"/>
    <s v="AP1002278"/>
    <d v="2016-03-31T00:00:00"/>
    <x v="5"/>
  </r>
  <r>
    <n v="2016"/>
    <s v="10000000"/>
    <s v="00000000"/>
    <x v="0"/>
    <x v="1"/>
    <d v="2016-03-01T00:00:00"/>
    <n v="2"/>
    <n v="10481.25"/>
    <s v="AP"/>
    <x v="3"/>
    <s v="148803"/>
    <s v="AP1002278"/>
    <d v="2016-03-31T00:00:00"/>
    <x v="5"/>
  </r>
  <r>
    <n v="2016"/>
    <s v="10000000"/>
    <s v="00000000"/>
    <x v="0"/>
    <x v="0"/>
    <d v="2016-03-14T00:00:00"/>
    <n v="0"/>
    <n v="100.5"/>
    <s v="AP"/>
    <x v="4"/>
    <s v="534636"/>
    <s v="AP1002278"/>
    <d v="2016-03-31T00:00:00"/>
    <x v="5"/>
  </r>
  <r>
    <n v="2016"/>
    <s v="10000000"/>
    <s v="00000000"/>
    <x v="0"/>
    <x v="0"/>
    <d v="2016-03-31T00:00:00"/>
    <n v="0"/>
    <n v="8352.5"/>
    <m/>
    <x v="11"/>
    <s v="Gen Jrnl"/>
    <s v="ML0001672"/>
    <d v="2016-03-31T00:00:00"/>
    <x v="5"/>
  </r>
  <r>
    <n v="2016"/>
    <s v="10000000"/>
    <s v="00000000"/>
    <x v="0"/>
    <x v="0"/>
    <d v="2016-03-31T00:00:00"/>
    <n v="1"/>
    <n v="-13003.8"/>
    <s v="CO"/>
    <x v="8"/>
    <m/>
    <s v="GJ1002382"/>
    <d v="2016-03-31T00:00:00"/>
    <x v="5"/>
  </r>
  <r>
    <n v="2016"/>
    <s v="10000000"/>
    <s v="00000000"/>
    <x v="0"/>
    <x v="0"/>
    <d v="2016-04-01T00:00:00"/>
    <n v="0"/>
    <n v="2386.5"/>
    <s v="AP"/>
    <x v="0"/>
    <s v="44308"/>
    <s v="AP1002353"/>
    <d v="2016-04-30T00:00:00"/>
    <x v="6"/>
  </r>
  <r>
    <n v="2016"/>
    <s v="10000000"/>
    <s v="00000000"/>
    <x v="0"/>
    <x v="0"/>
    <d v="2016-04-01T00:00:00"/>
    <n v="1"/>
    <n v="-8352.5"/>
    <m/>
    <x v="11"/>
    <s v="Gen Jrnl"/>
    <s v="ML0001672"/>
    <d v="2016-03-31T00:00:00"/>
    <x v="6"/>
  </r>
  <r>
    <n v="2016"/>
    <s v="10000000"/>
    <s v="00000000"/>
    <x v="0"/>
    <x v="0"/>
    <d v="2016-04-01T00:00:00"/>
    <n v="2"/>
    <n v="3360"/>
    <s v="AP"/>
    <x v="2"/>
    <s v="3123576"/>
    <s v="AP1002396"/>
    <d v="2016-04-30T00:00:00"/>
    <x v="6"/>
  </r>
  <r>
    <n v="2016"/>
    <s v="10000000"/>
    <s v="00000000"/>
    <x v="0"/>
    <x v="1"/>
    <d v="2016-04-01T00:00:00"/>
    <n v="0"/>
    <n v="11641.25"/>
    <s v="AP"/>
    <x v="3"/>
    <s v="148855"/>
    <s v="AP1002399"/>
    <d v="2016-04-30T00:00:00"/>
    <x v="6"/>
  </r>
  <r>
    <n v="2016"/>
    <s v="10000000"/>
    <s v="00000000"/>
    <x v="0"/>
    <x v="1"/>
    <d v="2016-04-01T00:00:00"/>
    <n v="1"/>
    <n v="3732.58"/>
    <s v="AP"/>
    <x v="3"/>
    <s v="148857"/>
    <s v="AP1002399"/>
    <d v="2016-04-30T00:00:00"/>
    <x v="6"/>
  </r>
  <r>
    <n v="2016"/>
    <s v="10000000"/>
    <s v="00000000"/>
    <x v="0"/>
    <x v="1"/>
    <d v="2016-04-01T00:00:00"/>
    <n v="2"/>
    <n v="10046.25"/>
    <s v="AP"/>
    <x v="3"/>
    <s v="148856"/>
    <s v="AP1002399"/>
    <d v="2016-04-30T00:00:00"/>
    <x v="6"/>
  </r>
  <r>
    <n v="2016"/>
    <s v="10000000"/>
    <s v="00000000"/>
    <x v="0"/>
    <x v="0"/>
    <d v="2016-04-04T00:00:00"/>
    <n v="0"/>
    <n v="8352.5"/>
    <s v="AP"/>
    <x v="5"/>
    <s v="153"/>
    <s v="AP1002353"/>
    <d v="2016-04-30T00:00:00"/>
    <x v="6"/>
  </r>
  <r>
    <n v="2016"/>
    <s v="10000000"/>
    <s v="00000000"/>
    <x v="0"/>
    <x v="0"/>
    <d v="2016-04-28T00:00:00"/>
    <n v="0"/>
    <n v="6175"/>
    <s v="AP"/>
    <x v="5"/>
    <s v="154"/>
    <s v="AP1002462"/>
    <d v="2016-04-30T00:00:00"/>
    <x v="6"/>
  </r>
  <r>
    <n v="2016"/>
    <s v="10000000"/>
    <s v="00000000"/>
    <x v="0"/>
    <x v="0"/>
    <d v="2016-04-30T00:00:00"/>
    <n v="0"/>
    <n v="0"/>
    <s v="65"/>
    <x v="12"/>
    <m/>
    <s v="GJ1002432"/>
    <d v="2016-04-30T00:00:00"/>
    <x v="6"/>
  </r>
  <r>
    <n v="2016"/>
    <s v="10000000"/>
    <s v="00000000"/>
    <x v="0"/>
    <x v="0"/>
    <d v="2016-04-30T00:00:00"/>
    <n v="1"/>
    <n v="-6343.35"/>
    <s v="CO"/>
    <x v="8"/>
    <m/>
    <s v="GJ1002484"/>
    <d v="2016-04-30T00:00:00"/>
    <x v="6"/>
  </r>
  <r>
    <n v="2016"/>
    <s v="10000000"/>
    <s v="00000000"/>
    <x v="0"/>
    <x v="1"/>
    <d v="2016-04-30T00:00:00"/>
    <n v="0"/>
    <n v="0"/>
    <s v="65"/>
    <x v="12"/>
    <m/>
    <s v="GJ1002432"/>
    <d v="2016-04-30T00:00:00"/>
    <x v="6"/>
  </r>
  <r>
    <n v="2016"/>
    <s v="10000000"/>
    <s v="00000000"/>
    <x v="0"/>
    <x v="0"/>
    <d v="2016-05-01T00:00:00"/>
    <n v="0"/>
    <n v="75"/>
    <s v="AP"/>
    <x v="0"/>
    <s v="44363"/>
    <s v="AP1002477"/>
    <d v="2016-05-31T00:00:00"/>
    <x v="7"/>
  </r>
  <r>
    <n v="2016"/>
    <s v="10000000"/>
    <s v="00000000"/>
    <x v="0"/>
    <x v="0"/>
    <d v="2016-05-01T00:00:00"/>
    <n v="1"/>
    <n v="3560"/>
    <s v="AP"/>
    <x v="2"/>
    <s v="3123798"/>
    <s v="AP1002506"/>
    <d v="2016-05-31T00:00:00"/>
    <x v="7"/>
  </r>
  <r>
    <n v="2016"/>
    <s v="10000000"/>
    <s v="00000000"/>
    <x v="0"/>
    <x v="1"/>
    <d v="2016-05-02T00:00:00"/>
    <n v="0"/>
    <n v="14192.5"/>
    <s v="AP"/>
    <x v="3"/>
    <s v="148878"/>
    <s v="AP1002525"/>
    <d v="2016-05-31T00:00:00"/>
    <x v="7"/>
  </r>
  <r>
    <n v="2016"/>
    <s v="10000000"/>
    <s v="00000000"/>
    <x v="0"/>
    <x v="1"/>
    <d v="2016-05-02T00:00:00"/>
    <n v="1"/>
    <n v="753.75"/>
    <s v="AP"/>
    <x v="3"/>
    <s v="148879"/>
    <s v="AP1002525"/>
    <d v="2016-05-31T00:00:00"/>
    <x v="7"/>
  </r>
  <r>
    <n v="2016"/>
    <s v="10000000"/>
    <s v="00000000"/>
    <x v="0"/>
    <x v="0"/>
    <d v="2016-05-03T00:00:00"/>
    <n v="0"/>
    <n v="54"/>
    <s v="AP"/>
    <x v="1"/>
    <s v="TP151484-2"/>
    <s v="AP1002562"/>
    <d v="2016-05-31T00:00:00"/>
    <x v="7"/>
  </r>
  <r>
    <n v="2016"/>
    <s v="10000000"/>
    <s v="00000000"/>
    <x v="0"/>
    <x v="0"/>
    <d v="2016-05-31T00:00:00"/>
    <n v="0"/>
    <n v="5362.5"/>
    <s v="AP"/>
    <x v="5"/>
    <s v="155"/>
    <s v="AP1002562"/>
    <d v="2016-05-31T00:00:00"/>
    <x v="7"/>
  </r>
  <r>
    <n v="2016"/>
    <s v="10000000"/>
    <s v="00000000"/>
    <x v="0"/>
    <x v="0"/>
    <d v="2016-05-31T00:00:00"/>
    <n v="1"/>
    <n v="-5951.02"/>
    <s v="CO"/>
    <x v="8"/>
    <m/>
    <s v="GJ1002595"/>
    <d v="2016-05-31T00:00:00"/>
    <x v="7"/>
  </r>
  <r>
    <n v="2016"/>
    <s v="10000000"/>
    <s v="00000000"/>
    <x v="0"/>
    <x v="0"/>
    <d v="2016-05-31T00:00:00"/>
    <n v="2"/>
    <n v="0"/>
    <s v="65"/>
    <x v="12"/>
    <m/>
    <s v="GJ1002596"/>
    <d v="2016-05-31T00:00:00"/>
    <x v="7"/>
  </r>
  <r>
    <n v="2016"/>
    <s v="10000000"/>
    <s v="00000000"/>
    <x v="0"/>
    <x v="1"/>
    <d v="2016-05-31T00:00:00"/>
    <n v="0"/>
    <n v="0"/>
    <s v="65"/>
    <x v="12"/>
    <m/>
    <s v="GJ1002596"/>
    <d v="2016-05-31T00:00:00"/>
    <x v="7"/>
  </r>
  <r>
    <n v="2016"/>
    <s v="10000000"/>
    <s v="00000000"/>
    <x v="0"/>
    <x v="0"/>
    <d v="2016-06-01T00:00:00"/>
    <n v="0"/>
    <n v="315"/>
    <s v="AP"/>
    <x v="1"/>
    <s v="TP160312-1"/>
    <s v="AP1002597"/>
    <d v="2016-06-30T00:00:00"/>
    <x v="8"/>
  </r>
  <r>
    <n v="2016"/>
    <s v="10000000"/>
    <s v="00000000"/>
    <x v="0"/>
    <x v="1"/>
    <d v="2016-06-01T00:00:00"/>
    <n v="0"/>
    <n v="502.5"/>
    <s v="AP"/>
    <x v="3"/>
    <s v="148911"/>
    <s v="AP1002597"/>
    <d v="2016-06-30T00:00:00"/>
    <x v="8"/>
  </r>
  <r>
    <n v="2016"/>
    <s v="10000000"/>
    <s v="00000000"/>
    <x v="0"/>
    <x v="1"/>
    <d v="2016-06-01T00:00:00"/>
    <n v="1"/>
    <n v="2410"/>
    <s v="AP"/>
    <x v="3"/>
    <s v="148910"/>
    <s v="AP1002597"/>
    <d v="2016-06-30T00:00:00"/>
    <x v="8"/>
  </r>
  <r>
    <n v="2016"/>
    <s v="10000000"/>
    <s v="00000000"/>
    <x v="0"/>
    <x v="1"/>
    <d v="2016-06-01T00:00:00"/>
    <n v="2"/>
    <n v="9966.25"/>
    <s v="AP"/>
    <x v="3"/>
    <s v="148909"/>
    <s v="AP1002597"/>
    <d v="2016-06-30T00:00:00"/>
    <x v="8"/>
  </r>
  <r>
    <n v="2016"/>
    <s v="10000000"/>
    <s v="00000000"/>
    <x v="0"/>
    <x v="0"/>
    <d v="2016-06-10T00:00:00"/>
    <n v="0"/>
    <n v="651"/>
    <s v="AP"/>
    <x v="4"/>
    <s v="537568"/>
    <s v="AP1002597"/>
    <d v="2016-06-30T00:00:00"/>
    <x v="8"/>
  </r>
  <r>
    <n v="2016"/>
    <s v="10000000"/>
    <s v="00000000"/>
    <x v="0"/>
    <x v="0"/>
    <d v="2016-06-14T00:00:00"/>
    <n v="0"/>
    <n v="324"/>
    <s v="AP"/>
    <x v="1"/>
    <s v="TP160378-1"/>
    <s v="AP1002597"/>
    <d v="2016-06-30T00:00:00"/>
    <x v="8"/>
  </r>
  <r>
    <n v="2016"/>
    <s v="10000000"/>
    <s v="00000000"/>
    <x v="0"/>
    <x v="0"/>
    <d v="2016-06-27T00:00:00"/>
    <n v="0"/>
    <n v="144"/>
    <s v="AP"/>
    <x v="1"/>
    <s v="TP160467-1"/>
    <s v="AP1002681"/>
    <d v="2016-06-30T00:00:00"/>
    <x v="8"/>
  </r>
  <r>
    <n v="2016"/>
    <s v="10000000"/>
    <s v="00000000"/>
    <x v="0"/>
    <x v="0"/>
    <d v="2016-06-30T00:00:00"/>
    <n v="0"/>
    <n v="5330"/>
    <m/>
    <x v="13"/>
    <s v="Gen Jrnl"/>
    <s v="ML0001702"/>
    <d v="2016-06-30T00:00:00"/>
    <x v="8"/>
  </r>
  <r>
    <n v="2016"/>
    <s v="10000000"/>
    <s v="00000000"/>
    <x v="0"/>
    <x v="0"/>
    <d v="2016-06-30T00:00:00"/>
    <n v="1"/>
    <n v="0"/>
    <s v="65"/>
    <x v="12"/>
    <m/>
    <s v="GJ1002773"/>
    <d v="2016-06-30T00:00:00"/>
    <x v="8"/>
  </r>
  <r>
    <n v="2016"/>
    <s v="10000000"/>
    <s v="00000000"/>
    <x v="0"/>
    <x v="0"/>
    <d v="2016-06-30T00:00:00"/>
    <n v="2"/>
    <n v="-3369.16"/>
    <s v="CO"/>
    <x v="8"/>
    <m/>
    <s v="GJ1002775"/>
    <d v="2016-06-30T00:00:00"/>
    <x v="8"/>
  </r>
  <r>
    <n v="2016"/>
    <s v="10000000"/>
    <s v="00000000"/>
    <x v="0"/>
    <x v="1"/>
    <d v="2016-06-30T00:00:00"/>
    <n v="0"/>
    <n v="0"/>
    <s v="65"/>
    <x v="12"/>
    <m/>
    <s v="GJ1002773"/>
    <d v="2016-06-30T00:00:00"/>
    <x v="8"/>
  </r>
  <r>
    <n v="2016"/>
    <s v="10000000"/>
    <s v="00000000"/>
    <x v="0"/>
    <x v="0"/>
    <d v="2016-07-01T00:00:00"/>
    <n v="0"/>
    <n v="5330"/>
    <s v="AP"/>
    <x v="5"/>
    <s v="156"/>
    <s v="AP1002818"/>
    <d v="2016-07-31T00:00:00"/>
    <x v="9"/>
  </r>
  <r>
    <n v="2016"/>
    <s v="10000000"/>
    <s v="00000000"/>
    <x v="0"/>
    <x v="0"/>
    <d v="2016-07-01T00:00:00"/>
    <n v="1"/>
    <n v="-5330"/>
    <m/>
    <x v="13"/>
    <s v="Gen Jrnl"/>
    <s v="ML0001702"/>
    <d v="2016-06-30T00:00:00"/>
    <x v="9"/>
  </r>
  <r>
    <n v="2016"/>
    <s v="10000000"/>
    <s v="00000000"/>
    <x v="0"/>
    <x v="1"/>
    <d v="2016-07-01T00:00:00"/>
    <n v="0"/>
    <n v="6705"/>
    <s v="AP"/>
    <x v="3"/>
    <s v="148936"/>
    <s v="AP1002817"/>
    <d v="2016-07-31T00:00:00"/>
    <x v="9"/>
  </r>
  <r>
    <n v="2016"/>
    <s v="10000000"/>
    <s v="00000000"/>
    <x v="0"/>
    <x v="1"/>
    <d v="2016-07-01T00:00:00"/>
    <n v="1"/>
    <n v="42.9"/>
    <s v="AP"/>
    <x v="3"/>
    <s v="148937"/>
    <s v="AP1002817"/>
    <d v="2016-07-31T00:00:00"/>
    <x v="9"/>
  </r>
  <r>
    <n v="2016"/>
    <s v="10000000"/>
    <s v="00000000"/>
    <x v="0"/>
    <x v="1"/>
    <d v="2016-07-01T00:00:00"/>
    <n v="2"/>
    <n v="18425"/>
    <s v="AP"/>
    <x v="3"/>
    <s v="148935"/>
    <s v="AP1002817"/>
    <d v="2016-07-31T00:00:00"/>
    <x v="9"/>
  </r>
  <r>
    <n v="2016"/>
    <s v="10000000"/>
    <s v="00000000"/>
    <x v="0"/>
    <x v="0"/>
    <d v="2016-07-20T00:00:00"/>
    <n v="0"/>
    <n v="119.45"/>
    <s v="AP"/>
    <x v="4"/>
    <s v="538989"/>
    <s v="AP1002826"/>
    <d v="2016-07-31T00:00:00"/>
    <x v="9"/>
  </r>
  <r>
    <n v="2016"/>
    <s v="10000000"/>
    <s v="00000000"/>
    <x v="0"/>
    <x v="0"/>
    <d v="2016-07-20T00:00:00"/>
    <n v="1"/>
    <n v="539.5"/>
    <s v="AP"/>
    <x v="4"/>
    <s v="538992"/>
    <s v="AP1002826"/>
    <d v="2016-07-31T00:00:00"/>
    <x v="9"/>
  </r>
  <r>
    <n v="2016"/>
    <s v="10000000"/>
    <s v="00000000"/>
    <x v="0"/>
    <x v="0"/>
    <d v="2016-07-29T00:00:00"/>
    <n v="0"/>
    <n v="3900"/>
    <s v="AP"/>
    <x v="5"/>
    <s v="157"/>
    <s v="AP1002832"/>
    <d v="2016-07-31T00:00:00"/>
    <x v="9"/>
  </r>
  <r>
    <n v="2016"/>
    <s v="10000000"/>
    <s v="00000000"/>
    <x v="0"/>
    <x v="0"/>
    <d v="2016-07-31T00:00:00"/>
    <n v="0"/>
    <n v="-2538.7399999999998"/>
    <s v="CO"/>
    <x v="8"/>
    <m/>
    <s v="GJ1002941"/>
    <d v="2016-07-31T00:00:00"/>
    <x v="9"/>
  </r>
  <r>
    <n v="2016"/>
    <s v="10000000"/>
    <s v="00000000"/>
    <x v="0"/>
    <x v="1"/>
    <d v="2016-08-01T00:00:00"/>
    <n v="0"/>
    <n v="7118.75"/>
    <s v="AP"/>
    <x v="3"/>
    <s v="148951"/>
    <s v="AP1002952"/>
    <d v="2016-08-31T00:00:00"/>
    <x v="10"/>
  </r>
  <r>
    <n v="2016"/>
    <s v="10000000"/>
    <s v="00000000"/>
    <x v="0"/>
    <x v="1"/>
    <d v="2016-08-01T00:00:00"/>
    <n v="1"/>
    <n v="1713.75"/>
    <s v="AP"/>
    <x v="3"/>
    <s v="148952"/>
    <s v="AP1002952"/>
    <d v="2016-08-31T00:00:00"/>
    <x v="10"/>
  </r>
  <r>
    <n v="2016"/>
    <s v="10000000"/>
    <s v="00000000"/>
    <x v="0"/>
    <x v="0"/>
    <d v="2016-08-02T00:00:00"/>
    <n v="0"/>
    <n v="85"/>
    <s v="AP"/>
    <x v="4"/>
    <s v="540090"/>
    <s v="AP1002952"/>
    <d v="2016-08-31T00:00:00"/>
    <x v="10"/>
  </r>
  <r>
    <n v="2016"/>
    <s v="10000000"/>
    <s v="00000000"/>
    <x v="0"/>
    <x v="0"/>
    <d v="2016-08-31T00:00:00"/>
    <n v="0"/>
    <n v="0"/>
    <s v="65"/>
    <x v="12"/>
    <m/>
    <s v="GJ1003000"/>
    <d v="2016-08-31T00:00:00"/>
    <x v="10"/>
  </r>
  <r>
    <n v="2016"/>
    <s v="10000000"/>
    <s v="00000000"/>
    <x v="0"/>
    <x v="0"/>
    <d v="2016-08-31T00:00:00"/>
    <n v="1"/>
    <n v="2600"/>
    <s v="AP"/>
    <x v="5"/>
    <s v="158"/>
    <s v="AP1002997"/>
    <d v="2016-08-31T00:00:00"/>
    <x v="10"/>
  </r>
  <r>
    <n v="2016"/>
    <s v="10000000"/>
    <s v="00000000"/>
    <x v="0"/>
    <x v="0"/>
    <d v="2016-08-31T00:00:00"/>
    <n v="2"/>
    <n v="-1549.88"/>
    <s v="CO"/>
    <x v="8"/>
    <m/>
    <s v="GJ1003066"/>
    <d v="2016-08-31T00:00:00"/>
    <x v="10"/>
  </r>
  <r>
    <n v="2016"/>
    <s v="10000000"/>
    <s v="00000000"/>
    <x v="0"/>
    <x v="1"/>
    <d v="2016-08-31T00:00:00"/>
    <n v="0"/>
    <n v="0"/>
    <s v="65"/>
    <x v="12"/>
    <m/>
    <s v="GJ1003000"/>
    <d v="2016-08-31T00:00:00"/>
    <x v="10"/>
  </r>
  <r>
    <n v="2016"/>
    <s v="10000000"/>
    <s v="00000000"/>
    <x v="0"/>
    <x v="1"/>
    <d v="2016-09-01T00:00:00"/>
    <n v="0"/>
    <n v="7788.75"/>
    <s v="AP"/>
    <x v="3"/>
    <s v="148971"/>
    <s v="AP1003070"/>
    <d v="2016-09-30T00:00:00"/>
    <x v="11"/>
  </r>
  <r>
    <n v="2016"/>
    <s v="10000000"/>
    <s v="00000000"/>
    <x v="0"/>
    <x v="1"/>
    <d v="2016-09-01T00:00:00"/>
    <n v="1"/>
    <n v="4373.75"/>
    <s v="AP"/>
    <x v="3"/>
    <s v="148972"/>
    <s v="AP1003070"/>
    <d v="2016-09-30T00:00:00"/>
    <x v="11"/>
  </r>
  <r>
    <n v="2016"/>
    <s v="10000000"/>
    <s v="00000000"/>
    <x v="0"/>
    <x v="1"/>
    <d v="2016-09-01T00:00:00"/>
    <n v="2"/>
    <n v="52.8"/>
    <s v="AP"/>
    <x v="3"/>
    <s v="148973"/>
    <s v="AP1003070"/>
    <d v="2016-09-30T00:00:00"/>
    <x v="11"/>
  </r>
  <r>
    <n v="2016"/>
    <s v="10000000"/>
    <s v="00000000"/>
    <x v="0"/>
    <x v="0"/>
    <d v="2016-09-14T00:00:00"/>
    <n v="0"/>
    <n v="51.75"/>
    <s v="AP"/>
    <x v="4"/>
    <s v="541421"/>
    <s v="AP1003106"/>
    <d v="2016-09-30T00:00:00"/>
    <x v="11"/>
  </r>
  <r>
    <n v="2016"/>
    <s v="10000000"/>
    <s v="00000000"/>
    <x v="0"/>
    <x v="0"/>
    <d v="2016-09-30T00:00:00"/>
    <n v="0"/>
    <n v="-20.83"/>
    <s v="21"/>
    <x v="8"/>
    <m/>
    <s v="GJ1003205"/>
    <d v="2016-09-30T00:00:0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compactData="0" gridDropZones="1" multipleFieldFilters="0">
  <location ref="B3:Q23" firstHeaderRow="1" firstDataRow="2" firstDataCol="3"/>
  <pivotFields count="14">
    <pivotField compact="0" outline="0" showAll="0"/>
    <pivotField compact="0" outline="0" showAll="0"/>
    <pivotField compact="0" outline="0" showAll="0"/>
    <pivotField axis="axisRow" compact="0" outline="0" showAll="0">
      <items count="4">
        <item m="1" x="1"/>
        <item m="1" x="2"/>
        <item x="0"/>
        <item t="default"/>
      </items>
    </pivotField>
    <pivotField axis="axisRow" compact="0" outline="0" showAll="0">
      <items count="11">
        <item m="1" x="8"/>
        <item m="1" x="3"/>
        <item m="1" x="6"/>
        <item m="1" x="2"/>
        <item m="1" x="9"/>
        <item m="1" x="4"/>
        <item m="1" x="7"/>
        <item x="0"/>
        <item m="1" x="5"/>
        <item x="1"/>
        <item t="default"/>
      </items>
    </pivotField>
    <pivotField compact="0" numFmtId="22" outline="0" showAll="0"/>
    <pivotField compact="0" outline="0" showAll="0"/>
    <pivotField dataField="1" compact="0" outline="0" showAll="0"/>
    <pivotField compact="0" outline="0" showAll="0"/>
    <pivotField axis="axisRow" compact="0" outline="0" showAll="0">
      <items count="15">
        <item x="12"/>
        <item x="8"/>
        <item x="13"/>
        <item x="11"/>
        <item x="10"/>
        <item x="7"/>
        <item x="9"/>
        <item x="6"/>
        <item x="0"/>
        <item x="5"/>
        <item x="3"/>
        <item x="2"/>
        <item x="1"/>
        <item x="4"/>
        <item t="default"/>
      </items>
    </pivotField>
    <pivotField compact="0" outline="0" showAll="0"/>
    <pivotField compact="0" outline="0" showAll="0"/>
    <pivotField compact="0" numFmtId="22" outline="0" showAll="0"/>
    <pivotField axis="axisCol" compact="0" outline="0" showAll="0" defaultSubtotal="0">
      <items count="24">
        <item m="1" x="16"/>
        <item m="1" x="13"/>
        <item m="1" x="17"/>
        <item m="1" x="22"/>
        <item m="1" x="12"/>
        <item m="1" x="14"/>
        <item m="1" x="15"/>
        <item m="1" x="18"/>
        <item m="1" x="19"/>
        <item m="1" x="20"/>
        <item m="1" x="21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Fields count="3">
    <field x="3"/>
    <field x="4"/>
    <field x="9"/>
  </rowFields>
  <rowItems count="19">
    <i>
      <x v="2"/>
      <x v="7"/>
      <x/>
    </i>
    <i r="2">
      <x v="1"/>
    </i>
    <i r="2">
      <x v="2"/>
    </i>
    <i r="2">
      <x v="3"/>
    </i>
    <i r="2">
      <x v="4"/>
    </i>
    <i r="2">
      <x v="5"/>
    </i>
    <i r="2">
      <x v="7"/>
    </i>
    <i r="2">
      <x v="8"/>
    </i>
    <i r="2">
      <x v="9"/>
    </i>
    <i r="2">
      <x v="11"/>
    </i>
    <i r="2">
      <x v="12"/>
    </i>
    <i r="2">
      <x v="13"/>
    </i>
    <i t="default" r="1">
      <x v="7"/>
    </i>
    <i r="1">
      <x v="9"/>
      <x/>
    </i>
    <i r="2">
      <x v="6"/>
    </i>
    <i r="2">
      <x v="10"/>
    </i>
    <i t="default" r="1">
      <x v="9"/>
    </i>
    <i t="default">
      <x v="2"/>
    </i>
    <i t="grand">
      <x/>
    </i>
  </rowItems>
  <colFields count="1">
    <field x="13"/>
  </colFields>
  <colItems count="13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Sum of trx_amt" fld="7" baseField="0" baseItem="0" numFmtId="39"/>
  </dataFields>
  <formats count="2">
    <format dxfId="16">
      <pivotArea type="all" dataOnly="0" outline="0" fieldPosition="0"/>
    </format>
    <format dxfId="15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Query from BDI PBS" connectionId="1" autoFormatId="16" applyNumberFormats="0" applyBorderFormats="0" applyFontFormats="0" applyPatternFormats="0" applyAlignmentFormats="0" applyWidthHeightFormats="0">
  <queryTableRefresh nextId="24">
    <queryTableFields count="13">
      <queryTableField id="1" name="fiscal_yr" tableColumnId="1"/>
      <queryTableField id="2" name="chrt_acct_pc1" tableColumnId="2"/>
      <queryTableField id="3" name="chrt_acct_pc2" tableColumnId="3"/>
      <queryTableField id="4" name="chrt_acct_main" tableColumnId="4"/>
      <queryTableField id="5" name="chrt_acct_sub" tableColumnId="5"/>
      <queryTableField id="6" name="trx_dat" tableColumnId="6"/>
      <queryTableField id="7" name="seq_no" tableColumnId="7"/>
      <queryTableField id="8" name="trx_amt" tableColumnId="8"/>
      <queryTableField id="9" name="trx_source" tableColumnId="9"/>
      <queryTableField id="10" name="ref" tableColumnId="10"/>
      <queryTableField id="11" name="doc_no" tableColumnId="11"/>
      <queryTableField id="12" name="jrnl_no" tableColumnId="12"/>
      <queryTableField id="13" name="date_posted" tableColumnId="13"/>
    </queryTableFields>
    <queryTableDeletedFields count="1">
      <deletedField name="usr_i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BDI_PBS" displayName="Table_Query_from_BDI_PBS" ref="A2:M87" tableType="queryTable" totalsRowShown="0" headerRowDxfId="14" dataDxfId="13">
  <autoFilter ref="A2:M87"/>
  <tableColumns count="13">
    <tableColumn id="1" uniqueName="1" name="fiscal_yr" queryTableFieldId="1" dataDxfId="12"/>
    <tableColumn id="2" uniqueName="2" name="chrt_acct_pc1" queryTableFieldId="2" dataDxfId="11"/>
    <tableColumn id="3" uniqueName="3" name="chrt_acct_pc2" queryTableFieldId="3" dataDxfId="10"/>
    <tableColumn id="4" uniqueName="4" name="chrt_acct_main" queryTableFieldId="4" dataDxfId="9"/>
    <tableColumn id="5" uniqueName="5" name="chrt_acct_sub" queryTableFieldId="5" dataDxfId="8"/>
    <tableColumn id="6" uniqueName="6" name="trx_dat" queryTableFieldId="6" dataDxfId="7"/>
    <tableColumn id="7" uniqueName="7" name="seq_no" queryTableFieldId="7" dataDxfId="6"/>
    <tableColumn id="8" uniqueName="8" name="trx_amt" queryTableFieldId="8" dataDxfId="5" dataCellStyle="Comma"/>
    <tableColumn id="9" uniqueName="9" name="trx_source" queryTableFieldId="9" dataDxfId="4"/>
    <tableColumn id="10" uniqueName="10" name="ref" queryTableFieldId="10" dataDxfId="3"/>
    <tableColumn id="11" uniqueName="11" name="doc_no" queryTableFieldId="11" dataDxfId="2"/>
    <tableColumn id="12" uniqueName="12" name="jrnl_no" queryTableFieldId="12" dataDxfId="1"/>
    <tableColumn id="13" uniqueName="13" name="date_posted" queryTableFieldId="13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889"/>
  <sheetViews>
    <sheetView topLeftCell="G1" workbookViewId="0">
      <pane ySplit="1" topLeftCell="A1846" activePane="bottomLeft" state="frozen"/>
      <selection pane="bottomLeft" activeCell="G2" sqref="G2:Q3889"/>
    </sheetView>
  </sheetViews>
  <sheetFormatPr defaultRowHeight="15.75" x14ac:dyDescent="0.25"/>
  <cols>
    <col min="1" max="1" width="9.109375" customWidth="1"/>
    <col min="2" max="2" width="10.109375" customWidth="1"/>
    <col min="4" max="4" width="10.44140625" customWidth="1"/>
    <col min="6" max="6" width="13.6640625" customWidth="1"/>
    <col min="7" max="7" width="23.88671875" customWidth="1"/>
    <col min="8" max="8" width="14.21875" customWidth="1"/>
    <col min="9" max="9" width="42.44140625" customWidth="1"/>
    <col min="10" max="10" width="8.5546875" customWidth="1"/>
    <col min="11" max="11" width="7.44140625" customWidth="1"/>
    <col min="12" max="12" width="16" customWidth="1"/>
    <col min="13" max="13" width="14.5546875" customWidth="1"/>
    <col min="14" max="14" width="11.33203125" bestFit="1" customWidth="1"/>
    <col min="15" max="15" width="12.77734375" bestFit="1" customWidth="1"/>
    <col min="16" max="16" width="13.33203125" customWidth="1"/>
    <col min="17" max="17" width="9.21875" customWidth="1"/>
  </cols>
  <sheetData>
    <row r="1" spans="1:17" ht="16.5" thickBot="1" x14ac:dyDescent="0.3">
      <c r="A1" s="245" t="s">
        <v>910</v>
      </c>
      <c r="B1" s="245" t="s">
        <v>911</v>
      </c>
      <c r="C1" s="245" t="s">
        <v>912</v>
      </c>
      <c r="D1" s="245" t="s">
        <v>913</v>
      </c>
      <c r="E1" s="245" t="s">
        <v>914</v>
      </c>
      <c r="F1" s="245" t="s">
        <v>915</v>
      </c>
      <c r="G1" s="245" t="s">
        <v>916</v>
      </c>
      <c r="H1" s="245" t="s">
        <v>917</v>
      </c>
      <c r="I1" s="245" t="s">
        <v>918</v>
      </c>
      <c r="J1" s="245" t="s">
        <v>919</v>
      </c>
      <c r="K1" s="245" t="s">
        <v>920</v>
      </c>
      <c r="L1" s="250" t="s">
        <v>2488</v>
      </c>
      <c r="M1" s="251" t="s">
        <v>2489</v>
      </c>
      <c r="N1" s="245" t="s">
        <v>921</v>
      </c>
      <c r="O1" s="246" t="s">
        <v>922</v>
      </c>
      <c r="P1" s="245" t="s">
        <v>923</v>
      </c>
      <c r="Q1" s="245" t="s">
        <v>924</v>
      </c>
    </row>
    <row r="2" spans="1:17" x14ac:dyDescent="0.25">
      <c r="A2" s="247" t="s">
        <v>646</v>
      </c>
      <c r="B2" s="247" t="s">
        <v>25</v>
      </c>
      <c r="C2" s="247" t="s">
        <v>925</v>
      </c>
      <c r="D2" s="247" t="s">
        <v>926</v>
      </c>
      <c r="E2" s="247" t="s">
        <v>927</v>
      </c>
      <c r="F2" s="247" t="s">
        <v>1686</v>
      </c>
      <c r="G2" s="247" t="s">
        <v>928</v>
      </c>
      <c r="H2" s="247"/>
      <c r="I2" s="247" t="s">
        <v>1687</v>
      </c>
      <c r="J2" s="247">
        <v>8</v>
      </c>
      <c r="K2" s="247">
        <v>8</v>
      </c>
      <c r="L2" s="249" t="s">
        <v>789</v>
      </c>
      <c r="M2" s="249" t="s">
        <v>929</v>
      </c>
      <c r="N2" s="248">
        <v>-717</v>
      </c>
      <c r="O2" s="248">
        <v>-717</v>
      </c>
      <c r="P2" s="247" t="s">
        <v>930</v>
      </c>
      <c r="Q2" s="247" t="s">
        <v>87</v>
      </c>
    </row>
    <row r="3" spans="1:17" x14ac:dyDescent="0.25">
      <c r="A3" s="247" t="s">
        <v>646</v>
      </c>
      <c r="B3" s="247" t="s">
        <v>265</v>
      </c>
      <c r="C3" s="247" t="s">
        <v>931</v>
      </c>
      <c r="D3" s="247" t="s">
        <v>711</v>
      </c>
      <c r="E3" s="247" t="s">
        <v>926</v>
      </c>
      <c r="F3" s="247" t="s">
        <v>1688</v>
      </c>
      <c r="G3" s="247" t="s">
        <v>932</v>
      </c>
      <c r="H3" s="247"/>
      <c r="I3" s="247" t="s">
        <v>1689</v>
      </c>
      <c r="J3" s="247">
        <v>24</v>
      </c>
      <c r="K3" s="247">
        <v>24</v>
      </c>
      <c r="L3" s="249" t="s">
        <v>646</v>
      </c>
      <c r="M3" s="249" t="s">
        <v>933</v>
      </c>
      <c r="N3" s="248">
        <v>0</v>
      </c>
      <c r="O3" s="248">
        <v>9928.2000000000007</v>
      </c>
      <c r="P3" s="247" t="s">
        <v>934</v>
      </c>
      <c r="Q3" s="247" t="s">
        <v>84</v>
      </c>
    </row>
    <row r="4" spans="1:17" x14ac:dyDescent="0.25">
      <c r="A4" s="247" t="s">
        <v>646</v>
      </c>
      <c r="B4" s="247" t="s">
        <v>265</v>
      </c>
      <c r="C4" s="247" t="s">
        <v>931</v>
      </c>
      <c r="D4" s="247" t="s">
        <v>711</v>
      </c>
      <c r="E4" s="247" t="s">
        <v>926</v>
      </c>
      <c r="F4" s="247" t="s">
        <v>1688</v>
      </c>
      <c r="G4" s="247" t="s">
        <v>932</v>
      </c>
      <c r="H4" s="247"/>
      <c r="I4" s="247" t="s">
        <v>1689</v>
      </c>
      <c r="J4" s="247">
        <v>24</v>
      </c>
      <c r="K4" s="247">
        <v>24</v>
      </c>
      <c r="L4" s="249" t="s">
        <v>650</v>
      </c>
      <c r="M4" s="249" t="s">
        <v>933</v>
      </c>
      <c r="N4" s="248">
        <v>1265.5999999999999</v>
      </c>
      <c r="O4" s="248">
        <v>11193.8</v>
      </c>
      <c r="P4" s="247" t="s">
        <v>934</v>
      </c>
      <c r="Q4" s="247" t="s">
        <v>85</v>
      </c>
    </row>
    <row r="5" spans="1:17" x14ac:dyDescent="0.25">
      <c r="A5" s="247" t="s">
        <v>646</v>
      </c>
      <c r="B5" s="247" t="s">
        <v>265</v>
      </c>
      <c r="C5" s="247" t="s">
        <v>931</v>
      </c>
      <c r="D5" s="247" t="s">
        <v>711</v>
      </c>
      <c r="E5" s="247" t="s">
        <v>926</v>
      </c>
      <c r="F5" s="247" t="s">
        <v>1688</v>
      </c>
      <c r="G5" s="247" t="s">
        <v>932</v>
      </c>
      <c r="H5" s="247"/>
      <c r="I5" s="247" t="s">
        <v>1689</v>
      </c>
      <c r="J5" s="247">
        <v>24</v>
      </c>
      <c r="K5" s="247">
        <v>24</v>
      </c>
      <c r="L5" s="249" t="s">
        <v>652</v>
      </c>
      <c r="M5" s="249" t="s">
        <v>933</v>
      </c>
      <c r="N5" s="248">
        <v>0</v>
      </c>
      <c r="O5" s="248">
        <v>11193.8</v>
      </c>
      <c r="P5" s="247" t="s">
        <v>934</v>
      </c>
      <c r="Q5" s="247" t="s">
        <v>86</v>
      </c>
    </row>
    <row r="6" spans="1:17" x14ac:dyDescent="0.25">
      <c r="A6" s="247" t="s">
        <v>646</v>
      </c>
      <c r="B6" s="247" t="s">
        <v>265</v>
      </c>
      <c r="C6" s="247" t="s">
        <v>931</v>
      </c>
      <c r="D6" s="247" t="s">
        <v>711</v>
      </c>
      <c r="E6" s="247" t="s">
        <v>926</v>
      </c>
      <c r="F6" s="247" t="s">
        <v>1688</v>
      </c>
      <c r="G6" s="247" t="s">
        <v>932</v>
      </c>
      <c r="H6" s="247"/>
      <c r="I6" s="247" t="s">
        <v>1689</v>
      </c>
      <c r="J6" s="247">
        <v>24</v>
      </c>
      <c r="K6" s="247">
        <v>24</v>
      </c>
      <c r="L6" s="249" t="s">
        <v>791</v>
      </c>
      <c r="M6" s="249" t="s">
        <v>929</v>
      </c>
      <c r="N6" s="248">
        <v>2528</v>
      </c>
      <c r="O6" s="248">
        <v>2528</v>
      </c>
      <c r="P6" s="247" t="s">
        <v>934</v>
      </c>
      <c r="Q6" s="247" t="s">
        <v>88</v>
      </c>
    </row>
    <row r="7" spans="1:17" x14ac:dyDescent="0.25">
      <c r="A7" s="247" t="s">
        <v>646</v>
      </c>
      <c r="B7" s="247" t="s">
        <v>265</v>
      </c>
      <c r="C7" s="247" t="s">
        <v>931</v>
      </c>
      <c r="D7" s="247" t="s">
        <v>711</v>
      </c>
      <c r="E7" s="247" t="s">
        <v>926</v>
      </c>
      <c r="F7" s="247" t="s">
        <v>1688</v>
      </c>
      <c r="G7" s="247" t="s">
        <v>932</v>
      </c>
      <c r="H7" s="247"/>
      <c r="I7" s="247" t="s">
        <v>1689</v>
      </c>
      <c r="J7" s="247">
        <v>24</v>
      </c>
      <c r="K7" s="247">
        <v>24</v>
      </c>
      <c r="L7" s="249" t="s">
        <v>935</v>
      </c>
      <c r="M7" s="249" t="s">
        <v>929</v>
      </c>
      <c r="N7" s="248">
        <v>0</v>
      </c>
      <c r="O7" s="248">
        <v>2528</v>
      </c>
      <c r="P7" s="247" t="s">
        <v>934</v>
      </c>
      <c r="Q7" s="247" t="s">
        <v>89</v>
      </c>
    </row>
    <row r="8" spans="1:17" x14ac:dyDescent="0.25">
      <c r="A8" s="247" t="s">
        <v>646</v>
      </c>
      <c r="B8" s="247" t="s">
        <v>265</v>
      </c>
      <c r="C8" s="247" t="s">
        <v>931</v>
      </c>
      <c r="D8" s="247" t="s">
        <v>711</v>
      </c>
      <c r="E8" s="247" t="s">
        <v>926</v>
      </c>
      <c r="F8" s="247" t="s">
        <v>1688</v>
      </c>
      <c r="G8" s="247" t="s">
        <v>932</v>
      </c>
      <c r="H8" s="247"/>
      <c r="I8" s="247" t="s">
        <v>1689</v>
      </c>
      <c r="J8" s="247">
        <v>24</v>
      </c>
      <c r="K8" s="247">
        <v>24</v>
      </c>
      <c r="L8" s="249" t="s">
        <v>936</v>
      </c>
      <c r="M8" s="249" t="s">
        <v>929</v>
      </c>
      <c r="N8" s="248">
        <v>0</v>
      </c>
      <c r="O8" s="248">
        <v>2528</v>
      </c>
      <c r="P8" s="247" t="s">
        <v>934</v>
      </c>
      <c r="Q8" s="247" t="s">
        <v>90</v>
      </c>
    </row>
    <row r="9" spans="1:17" x14ac:dyDescent="0.25">
      <c r="A9" s="247" t="s">
        <v>646</v>
      </c>
      <c r="B9" s="247" t="s">
        <v>265</v>
      </c>
      <c r="C9" s="247" t="s">
        <v>931</v>
      </c>
      <c r="D9" s="247" t="s">
        <v>711</v>
      </c>
      <c r="E9" s="247" t="s">
        <v>926</v>
      </c>
      <c r="F9" s="247" t="s">
        <v>1688</v>
      </c>
      <c r="G9" s="247" t="s">
        <v>932</v>
      </c>
      <c r="H9" s="247"/>
      <c r="I9" s="247" t="s">
        <v>1689</v>
      </c>
      <c r="J9" s="247">
        <v>24</v>
      </c>
      <c r="K9" s="247">
        <v>24</v>
      </c>
      <c r="L9" s="249" t="s">
        <v>937</v>
      </c>
      <c r="M9" s="249" t="s">
        <v>929</v>
      </c>
      <c r="N9" s="248">
        <v>0</v>
      </c>
      <c r="O9" s="248">
        <v>2528</v>
      </c>
      <c r="P9" s="247" t="s">
        <v>934</v>
      </c>
      <c r="Q9" s="247" t="s">
        <v>91</v>
      </c>
    </row>
    <row r="10" spans="1:17" x14ac:dyDescent="0.25">
      <c r="A10" s="247" t="s">
        <v>646</v>
      </c>
      <c r="B10" s="247" t="s">
        <v>265</v>
      </c>
      <c r="C10" s="247" t="s">
        <v>931</v>
      </c>
      <c r="D10" s="247" t="s">
        <v>711</v>
      </c>
      <c r="E10" s="247" t="s">
        <v>926</v>
      </c>
      <c r="F10" s="247" t="s">
        <v>1688</v>
      </c>
      <c r="G10" s="247" t="s">
        <v>932</v>
      </c>
      <c r="H10" s="247"/>
      <c r="I10" s="247" t="s">
        <v>1689</v>
      </c>
      <c r="J10" s="247">
        <v>24</v>
      </c>
      <c r="K10" s="247">
        <v>24</v>
      </c>
      <c r="L10" s="249" t="s">
        <v>938</v>
      </c>
      <c r="M10" s="249" t="s">
        <v>929</v>
      </c>
      <c r="N10" s="248">
        <v>5385.2</v>
      </c>
      <c r="O10" s="248">
        <v>7913.2</v>
      </c>
      <c r="P10" s="247" t="s">
        <v>934</v>
      </c>
      <c r="Q10" s="247" t="s">
        <v>92</v>
      </c>
    </row>
    <row r="11" spans="1:17" x14ac:dyDescent="0.25">
      <c r="A11" s="247" t="s">
        <v>646</v>
      </c>
      <c r="B11" s="247" t="s">
        <v>265</v>
      </c>
      <c r="C11" s="247" t="s">
        <v>931</v>
      </c>
      <c r="D11" s="247" t="s">
        <v>711</v>
      </c>
      <c r="E11" s="247" t="s">
        <v>926</v>
      </c>
      <c r="F11" s="247" t="s">
        <v>1688</v>
      </c>
      <c r="G11" s="247" t="s">
        <v>932</v>
      </c>
      <c r="H11" s="247"/>
      <c r="I11" s="247" t="s">
        <v>1689</v>
      </c>
      <c r="J11" s="247">
        <v>24</v>
      </c>
      <c r="K11" s="247">
        <v>24</v>
      </c>
      <c r="L11" s="249" t="s">
        <v>939</v>
      </c>
      <c r="M11" s="249" t="s">
        <v>929</v>
      </c>
      <c r="N11" s="248">
        <v>2360</v>
      </c>
      <c r="O11" s="248">
        <v>10273.200000000001</v>
      </c>
      <c r="P11" s="247" t="s">
        <v>934</v>
      </c>
      <c r="Q11" s="247" t="s">
        <v>93</v>
      </c>
    </row>
    <row r="12" spans="1:17" x14ac:dyDescent="0.25">
      <c r="A12" s="247" t="s">
        <v>646</v>
      </c>
      <c r="B12" s="247" t="s">
        <v>265</v>
      </c>
      <c r="C12" s="247" t="s">
        <v>931</v>
      </c>
      <c r="D12" s="247" t="s">
        <v>711</v>
      </c>
      <c r="E12" s="247" t="s">
        <v>926</v>
      </c>
      <c r="F12" s="247" t="s">
        <v>1688</v>
      </c>
      <c r="G12" s="247" t="s">
        <v>932</v>
      </c>
      <c r="H12" s="247"/>
      <c r="I12" s="247" t="s">
        <v>1689</v>
      </c>
      <c r="J12" s="247">
        <v>24</v>
      </c>
      <c r="K12" s="247">
        <v>24</v>
      </c>
      <c r="L12" s="249" t="s">
        <v>940</v>
      </c>
      <c r="M12" s="249" t="s">
        <v>929</v>
      </c>
      <c r="N12" s="248">
        <v>2298</v>
      </c>
      <c r="O12" s="248">
        <v>12571.2</v>
      </c>
      <c r="P12" s="247" t="s">
        <v>934</v>
      </c>
      <c r="Q12" s="247" t="s">
        <v>94</v>
      </c>
    </row>
    <row r="13" spans="1:17" x14ac:dyDescent="0.25">
      <c r="A13" s="247" t="s">
        <v>646</v>
      </c>
      <c r="B13" s="247" t="s">
        <v>265</v>
      </c>
      <c r="C13" s="247" t="s">
        <v>931</v>
      </c>
      <c r="D13" s="247" t="s">
        <v>711</v>
      </c>
      <c r="E13" s="247" t="s">
        <v>926</v>
      </c>
      <c r="F13" s="247" t="s">
        <v>1688</v>
      </c>
      <c r="G13" s="247" t="s">
        <v>932</v>
      </c>
      <c r="H13" s="247"/>
      <c r="I13" s="247" t="s">
        <v>1689</v>
      </c>
      <c r="J13" s="247">
        <v>24</v>
      </c>
      <c r="K13" s="247">
        <v>24</v>
      </c>
      <c r="L13" s="249" t="s">
        <v>642</v>
      </c>
      <c r="M13" s="249" t="s">
        <v>929</v>
      </c>
      <c r="N13" s="248">
        <v>0</v>
      </c>
      <c r="O13" s="248">
        <v>12571.2</v>
      </c>
      <c r="P13" s="247" t="s">
        <v>934</v>
      </c>
      <c r="Q13" s="247" t="s">
        <v>95</v>
      </c>
    </row>
    <row r="14" spans="1:17" x14ac:dyDescent="0.25">
      <c r="A14" s="247" t="s">
        <v>646</v>
      </c>
      <c r="B14" s="247" t="s">
        <v>265</v>
      </c>
      <c r="C14" s="247" t="s">
        <v>941</v>
      </c>
      <c r="D14" s="247" t="s">
        <v>711</v>
      </c>
      <c r="E14" s="247" t="s">
        <v>926</v>
      </c>
      <c r="F14" s="247" t="s">
        <v>1690</v>
      </c>
      <c r="G14" s="247" t="s">
        <v>942</v>
      </c>
      <c r="H14" s="247"/>
      <c r="I14" s="247" t="s">
        <v>1691</v>
      </c>
      <c r="J14" s="247">
        <v>23</v>
      </c>
      <c r="K14" s="247">
        <v>23</v>
      </c>
      <c r="L14" s="249" t="s">
        <v>646</v>
      </c>
      <c r="M14" s="249" t="s">
        <v>933</v>
      </c>
      <c r="N14" s="248">
        <v>293.51</v>
      </c>
      <c r="O14" s="248">
        <v>1625.08</v>
      </c>
      <c r="P14" s="247" t="s">
        <v>943</v>
      </c>
      <c r="Q14" s="247" t="s">
        <v>84</v>
      </c>
    </row>
    <row r="15" spans="1:17" x14ac:dyDescent="0.25">
      <c r="A15" s="247" t="s">
        <v>646</v>
      </c>
      <c r="B15" s="247" t="s">
        <v>265</v>
      </c>
      <c r="C15" s="247" t="s">
        <v>941</v>
      </c>
      <c r="D15" s="247" t="s">
        <v>711</v>
      </c>
      <c r="E15" s="247" t="s">
        <v>926</v>
      </c>
      <c r="F15" s="247" t="s">
        <v>1690</v>
      </c>
      <c r="G15" s="247" t="s">
        <v>942</v>
      </c>
      <c r="H15" s="247"/>
      <c r="I15" s="247" t="s">
        <v>1691</v>
      </c>
      <c r="J15" s="247">
        <v>23</v>
      </c>
      <c r="K15" s="247">
        <v>23</v>
      </c>
      <c r="L15" s="249" t="s">
        <v>650</v>
      </c>
      <c r="M15" s="249" t="s">
        <v>933</v>
      </c>
      <c r="N15" s="248">
        <v>0</v>
      </c>
      <c r="O15" s="248">
        <v>1625.08</v>
      </c>
      <c r="P15" s="247" t="s">
        <v>943</v>
      </c>
      <c r="Q15" s="247" t="s">
        <v>85</v>
      </c>
    </row>
    <row r="16" spans="1:17" x14ac:dyDescent="0.25">
      <c r="A16" s="247" t="s">
        <v>646</v>
      </c>
      <c r="B16" s="247" t="s">
        <v>265</v>
      </c>
      <c r="C16" s="247" t="s">
        <v>941</v>
      </c>
      <c r="D16" s="247" t="s">
        <v>711</v>
      </c>
      <c r="E16" s="247" t="s">
        <v>926</v>
      </c>
      <c r="F16" s="247" t="s">
        <v>1690</v>
      </c>
      <c r="G16" s="247" t="s">
        <v>942</v>
      </c>
      <c r="H16" s="247"/>
      <c r="I16" s="247" t="s">
        <v>1691</v>
      </c>
      <c r="J16" s="247">
        <v>23</v>
      </c>
      <c r="K16" s="247">
        <v>23</v>
      </c>
      <c r="L16" s="249" t="s">
        <v>652</v>
      </c>
      <c r="M16" s="249" t="s">
        <v>933</v>
      </c>
      <c r="N16" s="248">
        <v>-15615.6</v>
      </c>
      <c r="O16" s="248">
        <v>-13990.52</v>
      </c>
      <c r="P16" s="247" t="s">
        <v>943</v>
      </c>
      <c r="Q16" s="247" t="s">
        <v>86</v>
      </c>
    </row>
    <row r="17" spans="1:17" x14ac:dyDescent="0.25">
      <c r="A17" s="247" t="s">
        <v>646</v>
      </c>
      <c r="B17" s="247" t="s">
        <v>265</v>
      </c>
      <c r="C17" s="247" t="s">
        <v>941</v>
      </c>
      <c r="D17" s="247" t="s">
        <v>711</v>
      </c>
      <c r="E17" s="247" t="s">
        <v>926</v>
      </c>
      <c r="F17" s="247" t="s">
        <v>1690</v>
      </c>
      <c r="G17" s="247" t="s">
        <v>942</v>
      </c>
      <c r="H17" s="247"/>
      <c r="I17" s="247" t="s">
        <v>1691</v>
      </c>
      <c r="J17" s="247">
        <v>23</v>
      </c>
      <c r="K17" s="247">
        <v>23</v>
      </c>
      <c r="L17" s="249" t="s">
        <v>789</v>
      </c>
      <c r="M17" s="249" t="s">
        <v>929</v>
      </c>
      <c r="N17" s="248">
        <v>581.79</v>
      </c>
      <c r="O17" s="248">
        <v>581.79</v>
      </c>
      <c r="P17" s="247" t="s">
        <v>943</v>
      </c>
      <c r="Q17" s="247" t="s">
        <v>87</v>
      </c>
    </row>
    <row r="18" spans="1:17" x14ac:dyDescent="0.25">
      <c r="A18" s="247" t="s">
        <v>646</v>
      </c>
      <c r="B18" s="247" t="s">
        <v>265</v>
      </c>
      <c r="C18" s="247" t="s">
        <v>941</v>
      </c>
      <c r="D18" s="247" t="s">
        <v>711</v>
      </c>
      <c r="E18" s="247" t="s">
        <v>926</v>
      </c>
      <c r="F18" s="247" t="s">
        <v>1690</v>
      </c>
      <c r="G18" s="247" t="s">
        <v>942</v>
      </c>
      <c r="H18" s="247"/>
      <c r="I18" s="247" t="s">
        <v>1691</v>
      </c>
      <c r="J18" s="247">
        <v>23</v>
      </c>
      <c r="K18" s="247">
        <v>23</v>
      </c>
      <c r="L18" s="249" t="s">
        <v>791</v>
      </c>
      <c r="M18" s="249" t="s">
        <v>929</v>
      </c>
      <c r="N18" s="248">
        <v>0</v>
      </c>
      <c r="O18" s="248">
        <v>581.79</v>
      </c>
      <c r="P18" s="247" t="s">
        <v>943</v>
      </c>
      <c r="Q18" s="247" t="s">
        <v>88</v>
      </c>
    </row>
    <row r="19" spans="1:17" x14ac:dyDescent="0.25">
      <c r="A19" s="247" t="s">
        <v>646</v>
      </c>
      <c r="B19" s="247" t="s">
        <v>265</v>
      </c>
      <c r="C19" s="247" t="s">
        <v>941</v>
      </c>
      <c r="D19" s="247" t="s">
        <v>711</v>
      </c>
      <c r="E19" s="247" t="s">
        <v>926</v>
      </c>
      <c r="F19" s="247" t="s">
        <v>1690</v>
      </c>
      <c r="G19" s="247" t="s">
        <v>942</v>
      </c>
      <c r="H19" s="247"/>
      <c r="I19" s="247" t="s">
        <v>1691</v>
      </c>
      <c r="J19" s="247">
        <v>23</v>
      </c>
      <c r="K19" s="247">
        <v>23</v>
      </c>
      <c r="L19" s="249" t="s">
        <v>935</v>
      </c>
      <c r="M19" s="249" t="s">
        <v>929</v>
      </c>
      <c r="N19" s="248">
        <v>530.05999999999995</v>
      </c>
      <c r="O19" s="248">
        <v>1111.8499999999999</v>
      </c>
      <c r="P19" s="247" t="s">
        <v>943</v>
      </c>
      <c r="Q19" s="247" t="s">
        <v>89</v>
      </c>
    </row>
    <row r="20" spans="1:17" x14ac:dyDescent="0.25">
      <c r="A20" s="247" t="s">
        <v>646</v>
      </c>
      <c r="B20" s="247" t="s">
        <v>265</v>
      </c>
      <c r="C20" s="247" t="s">
        <v>941</v>
      </c>
      <c r="D20" s="247" t="s">
        <v>711</v>
      </c>
      <c r="E20" s="247" t="s">
        <v>926</v>
      </c>
      <c r="F20" s="247" t="s">
        <v>1690</v>
      </c>
      <c r="G20" s="247" t="s">
        <v>942</v>
      </c>
      <c r="H20" s="247"/>
      <c r="I20" s="247" t="s">
        <v>1691</v>
      </c>
      <c r="J20" s="247">
        <v>23</v>
      </c>
      <c r="K20" s="247">
        <v>23</v>
      </c>
      <c r="L20" s="249" t="s">
        <v>936</v>
      </c>
      <c r="M20" s="249" t="s">
        <v>929</v>
      </c>
      <c r="N20" s="248">
        <v>0</v>
      </c>
      <c r="O20" s="248">
        <v>1111.8499999999999</v>
      </c>
      <c r="P20" s="247" t="s">
        <v>943</v>
      </c>
      <c r="Q20" s="247" t="s">
        <v>90</v>
      </c>
    </row>
    <row r="21" spans="1:17" x14ac:dyDescent="0.25">
      <c r="A21" s="247" t="s">
        <v>646</v>
      </c>
      <c r="B21" s="247" t="s">
        <v>265</v>
      </c>
      <c r="C21" s="247" t="s">
        <v>941</v>
      </c>
      <c r="D21" s="247" t="s">
        <v>711</v>
      </c>
      <c r="E21" s="247" t="s">
        <v>926</v>
      </c>
      <c r="F21" s="247" t="s">
        <v>1690</v>
      </c>
      <c r="G21" s="247" t="s">
        <v>942</v>
      </c>
      <c r="H21" s="247"/>
      <c r="I21" s="247" t="s">
        <v>1691</v>
      </c>
      <c r="J21" s="247">
        <v>23</v>
      </c>
      <c r="K21" s="247">
        <v>23</v>
      </c>
      <c r="L21" s="249" t="s">
        <v>937</v>
      </c>
      <c r="M21" s="249" t="s">
        <v>929</v>
      </c>
      <c r="N21" s="248">
        <v>0</v>
      </c>
      <c r="O21" s="248">
        <v>1111.8499999999999</v>
      </c>
      <c r="P21" s="247" t="s">
        <v>943</v>
      </c>
      <c r="Q21" s="247" t="s">
        <v>91</v>
      </c>
    </row>
    <row r="22" spans="1:17" x14ac:dyDescent="0.25">
      <c r="A22" s="247" t="s">
        <v>646</v>
      </c>
      <c r="B22" s="247" t="s">
        <v>265</v>
      </c>
      <c r="C22" s="247" t="s">
        <v>941</v>
      </c>
      <c r="D22" s="247" t="s">
        <v>711</v>
      </c>
      <c r="E22" s="247" t="s">
        <v>926</v>
      </c>
      <c r="F22" s="247" t="s">
        <v>1690</v>
      </c>
      <c r="G22" s="247" t="s">
        <v>942</v>
      </c>
      <c r="H22" s="247"/>
      <c r="I22" s="247" t="s">
        <v>1691</v>
      </c>
      <c r="J22" s="247">
        <v>23</v>
      </c>
      <c r="K22" s="247">
        <v>23</v>
      </c>
      <c r="L22" s="249" t="s">
        <v>938</v>
      </c>
      <c r="M22" s="249" t="s">
        <v>929</v>
      </c>
      <c r="N22" s="248">
        <v>-17.41</v>
      </c>
      <c r="O22" s="248">
        <v>1094.44</v>
      </c>
      <c r="P22" s="247" t="s">
        <v>943</v>
      </c>
      <c r="Q22" s="247" t="s">
        <v>92</v>
      </c>
    </row>
    <row r="23" spans="1:17" x14ac:dyDescent="0.25">
      <c r="A23" s="247" t="s">
        <v>646</v>
      </c>
      <c r="B23" s="247" t="s">
        <v>265</v>
      </c>
      <c r="C23" s="247" t="s">
        <v>941</v>
      </c>
      <c r="D23" s="247" t="s">
        <v>711</v>
      </c>
      <c r="E23" s="247" t="s">
        <v>926</v>
      </c>
      <c r="F23" s="247" t="s">
        <v>1690</v>
      </c>
      <c r="G23" s="247" t="s">
        <v>942</v>
      </c>
      <c r="H23" s="247"/>
      <c r="I23" s="247" t="s">
        <v>1691</v>
      </c>
      <c r="J23" s="247">
        <v>23</v>
      </c>
      <c r="K23" s="247">
        <v>23</v>
      </c>
      <c r="L23" s="249" t="s">
        <v>939</v>
      </c>
      <c r="M23" s="249" t="s">
        <v>929</v>
      </c>
      <c r="N23" s="248">
        <v>0</v>
      </c>
      <c r="O23" s="248">
        <v>1094.44</v>
      </c>
      <c r="P23" s="247" t="s">
        <v>943</v>
      </c>
      <c r="Q23" s="247" t="s">
        <v>93</v>
      </c>
    </row>
    <row r="24" spans="1:17" x14ac:dyDescent="0.25">
      <c r="A24" s="247" t="s">
        <v>646</v>
      </c>
      <c r="B24" s="247" t="s">
        <v>265</v>
      </c>
      <c r="C24" s="247" t="s">
        <v>941</v>
      </c>
      <c r="D24" s="247" t="s">
        <v>711</v>
      </c>
      <c r="E24" s="247" t="s">
        <v>926</v>
      </c>
      <c r="F24" s="247" t="s">
        <v>1690</v>
      </c>
      <c r="G24" s="247" t="s">
        <v>942</v>
      </c>
      <c r="H24" s="247"/>
      <c r="I24" s="247" t="s">
        <v>1691</v>
      </c>
      <c r="J24" s="247">
        <v>23</v>
      </c>
      <c r="K24" s="247">
        <v>23</v>
      </c>
      <c r="L24" s="249" t="s">
        <v>940</v>
      </c>
      <c r="M24" s="249" t="s">
        <v>929</v>
      </c>
      <c r="N24" s="248">
        <v>0</v>
      </c>
      <c r="O24" s="248">
        <v>1094.44</v>
      </c>
      <c r="P24" s="247" t="s">
        <v>943</v>
      </c>
      <c r="Q24" s="247" t="s">
        <v>94</v>
      </c>
    </row>
    <row r="25" spans="1:17" x14ac:dyDescent="0.25">
      <c r="A25" s="247" t="s">
        <v>646</v>
      </c>
      <c r="B25" s="247" t="s">
        <v>265</v>
      </c>
      <c r="C25" s="247" t="s">
        <v>941</v>
      </c>
      <c r="D25" s="247" t="s">
        <v>711</v>
      </c>
      <c r="E25" s="247" t="s">
        <v>926</v>
      </c>
      <c r="F25" s="247" t="s">
        <v>1690</v>
      </c>
      <c r="G25" s="247" t="s">
        <v>942</v>
      </c>
      <c r="H25" s="247"/>
      <c r="I25" s="247" t="s">
        <v>1691</v>
      </c>
      <c r="J25" s="247">
        <v>23</v>
      </c>
      <c r="K25" s="247">
        <v>23</v>
      </c>
      <c r="L25" s="249" t="s">
        <v>642</v>
      </c>
      <c r="M25" s="249" t="s">
        <v>929</v>
      </c>
      <c r="N25" s="248">
        <v>10287.89</v>
      </c>
      <c r="O25" s="248">
        <v>11382.33</v>
      </c>
      <c r="P25" s="247" t="s">
        <v>943</v>
      </c>
      <c r="Q25" s="247" t="s">
        <v>95</v>
      </c>
    </row>
    <row r="26" spans="1:17" x14ac:dyDescent="0.25">
      <c r="A26" s="247" t="s">
        <v>646</v>
      </c>
      <c r="B26" s="247" t="s">
        <v>265</v>
      </c>
      <c r="C26" s="247" t="s">
        <v>941</v>
      </c>
      <c r="D26" s="247" t="s">
        <v>569</v>
      </c>
      <c r="E26" s="247" t="s">
        <v>926</v>
      </c>
      <c r="F26" s="247" t="s">
        <v>1692</v>
      </c>
      <c r="G26" s="247" t="s">
        <v>944</v>
      </c>
      <c r="H26" s="247"/>
      <c r="I26" s="247" t="s">
        <v>1693</v>
      </c>
      <c r="J26" s="247">
        <v>23</v>
      </c>
      <c r="K26" s="247">
        <v>23</v>
      </c>
      <c r="L26" s="249" t="s">
        <v>646</v>
      </c>
      <c r="M26" s="249" t="s">
        <v>933</v>
      </c>
      <c r="N26" s="248">
        <v>400</v>
      </c>
      <c r="O26" s="248">
        <v>1000</v>
      </c>
      <c r="P26" s="247" t="s">
        <v>945</v>
      </c>
      <c r="Q26" s="247" t="s">
        <v>84</v>
      </c>
    </row>
    <row r="27" spans="1:17" x14ac:dyDescent="0.25">
      <c r="A27" s="247" t="s">
        <v>646</v>
      </c>
      <c r="B27" s="247" t="s">
        <v>265</v>
      </c>
      <c r="C27" s="247" t="s">
        <v>941</v>
      </c>
      <c r="D27" s="247" t="s">
        <v>569</v>
      </c>
      <c r="E27" s="247" t="s">
        <v>926</v>
      </c>
      <c r="F27" s="247" t="s">
        <v>1692</v>
      </c>
      <c r="G27" s="247" t="s">
        <v>944</v>
      </c>
      <c r="H27" s="247"/>
      <c r="I27" s="247" t="s">
        <v>1693</v>
      </c>
      <c r="J27" s="247">
        <v>23</v>
      </c>
      <c r="K27" s="247">
        <v>23</v>
      </c>
      <c r="L27" s="249" t="s">
        <v>650</v>
      </c>
      <c r="M27" s="249" t="s">
        <v>933</v>
      </c>
      <c r="N27" s="248">
        <v>0</v>
      </c>
      <c r="O27" s="248">
        <v>1000</v>
      </c>
      <c r="P27" s="247" t="s">
        <v>945</v>
      </c>
      <c r="Q27" s="247" t="s">
        <v>85</v>
      </c>
    </row>
    <row r="28" spans="1:17" x14ac:dyDescent="0.25">
      <c r="A28" s="247" t="s">
        <v>646</v>
      </c>
      <c r="B28" s="247" t="s">
        <v>265</v>
      </c>
      <c r="C28" s="247" t="s">
        <v>941</v>
      </c>
      <c r="D28" s="247" t="s">
        <v>569</v>
      </c>
      <c r="E28" s="247" t="s">
        <v>926</v>
      </c>
      <c r="F28" s="247" t="s">
        <v>1692</v>
      </c>
      <c r="G28" s="247" t="s">
        <v>944</v>
      </c>
      <c r="H28" s="247"/>
      <c r="I28" s="247" t="s">
        <v>1693</v>
      </c>
      <c r="J28" s="247">
        <v>23</v>
      </c>
      <c r="K28" s="247">
        <v>23</v>
      </c>
      <c r="L28" s="249" t="s">
        <v>652</v>
      </c>
      <c r="M28" s="249" t="s">
        <v>933</v>
      </c>
      <c r="N28" s="248">
        <v>200</v>
      </c>
      <c r="O28" s="248">
        <v>1200</v>
      </c>
      <c r="P28" s="247" t="s">
        <v>945</v>
      </c>
      <c r="Q28" s="247" t="s">
        <v>86</v>
      </c>
    </row>
    <row r="29" spans="1:17" x14ac:dyDescent="0.25">
      <c r="A29" s="247" t="s">
        <v>646</v>
      </c>
      <c r="B29" s="247" t="s">
        <v>265</v>
      </c>
      <c r="C29" s="247" t="s">
        <v>941</v>
      </c>
      <c r="D29" s="247" t="s">
        <v>569</v>
      </c>
      <c r="E29" s="247" t="s">
        <v>926</v>
      </c>
      <c r="F29" s="247" t="s">
        <v>1692</v>
      </c>
      <c r="G29" s="247" t="s">
        <v>944</v>
      </c>
      <c r="H29" s="247"/>
      <c r="I29" s="247" t="s">
        <v>1693</v>
      </c>
      <c r="J29" s="247">
        <v>23</v>
      </c>
      <c r="K29" s="247">
        <v>23</v>
      </c>
      <c r="L29" s="249" t="s">
        <v>938</v>
      </c>
      <c r="M29" s="249" t="s">
        <v>929</v>
      </c>
      <c r="N29" s="248">
        <v>600</v>
      </c>
      <c r="O29" s="248">
        <v>600</v>
      </c>
      <c r="P29" s="247" t="s">
        <v>945</v>
      </c>
      <c r="Q29" s="247" t="s">
        <v>92</v>
      </c>
    </row>
    <row r="30" spans="1:17" x14ac:dyDescent="0.25">
      <c r="A30" s="247" t="s">
        <v>646</v>
      </c>
      <c r="B30" s="247" t="s">
        <v>265</v>
      </c>
      <c r="C30" s="247" t="s">
        <v>941</v>
      </c>
      <c r="D30" s="247" t="s">
        <v>569</v>
      </c>
      <c r="E30" s="247" t="s">
        <v>926</v>
      </c>
      <c r="F30" s="247" t="s">
        <v>1692</v>
      </c>
      <c r="G30" s="247" t="s">
        <v>944</v>
      </c>
      <c r="H30" s="247"/>
      <c r="I30" s="247" t="s">
        <v>1693</v>
      </c>
      <c r="J30" s="247">
        <v>23</v>
      </c>
      <c r="K30" s="247">
        <v>23</v>
      </c>
      <c r="L30" s="249" t="s">
        <v>939</v>
      </c>
      <c r="M30" s="249" t="s">
        <v>929</v>
      </c>
      <c r="N30" s="248">
        <v>400</v>
      </c>
      <c r="O30" s="248">
        <v>1000</v>
      </c>
      <c r="P30" s="247" t="s">
        <v>945</v>
      </c>
      <c r="Q30" s="247" t="s">
        <v>93</v>
      </c>
    </row>
    <row r="31" spans="1:17" x14ac:dyDescent="0.25">
      <c r="A31" s="247" t="s">
        <v>646</v>
      </c>
      <c r="B31" s="247" t="s">
        <v>265</v>
      </c>
      <c r="C31" s="247" t="s">
        <v>941</v>
      </c>
      <c r="D31" s="247" t="s">
        <v>569</v>
      </c>
      <c r="E31" s="247" t="s">
        <v>926</v>
      </c>
      <c r="F31" s="247" t="s">
        <v>1692</v>
      </c>
      <c r="G31" s="247" t="s">
        <v>944</v>
      </c>
      <c r="H31" s="247"/>
      <c r="I31" s="247" t="s">
        <v>1693</v>
      </c>
      <c r="J31" s="247">
        <v>23</v>
      </c>
      <c r="K31" s="247">
        <v>23</v>
      </c>
      <c r="L31" s="249" t="s">
        <v>940</v>
      </c>
      <c r="M31" s="249" t="s">
        <v>929</v>
      </c>
      <c r="N31" s="248">
        <v>0</v>
      </c>
      <c r="O31" s="248">
        <v>1000</v>
      </c>
      <c r="P31" s="247" t="s">
        <v>945</v>
      </c>
      <c r="Q31" s="247" t="s">
        <v>94</v>
      </c>
    </row>
    <row r="32" spans="1:17" x14ac:dyDescent="0.25">
      <c r="A32" s="247" t="s">
        <v>646</v>
      </c>
      <c r="B32" s="247" t="s">
        <v>265</v>
      </c>
      <c r="C32" s="247" t="s">
        <v>941</v>
      </c>
      <c r="D32" s="247" t="s">
        <v>569</v>
      </c>
      <c r="E32" s="247" t="s">
        <v>926</v>
      </c>
      <c r="F32" s="247" t="s">
        <v>1692</v>
      </c>
      <c r="G32" s="247" t="s">
        <v>944</v>
      </c>
      <c r="H32" s="247"/>
      <c r="I32" s="247" t="s">
        <v>1693</v>
      </c>
      <c r="J32" s="247">
        <v>23</v>
      </c>
      <c r="K32" s="247">
        <v>23</v>
      </c>
      <c r="L32" s="249" t="s">
        <v>642</v>
      </c>
      <c r="M32" s="249" t="s">
        <v>929</v>
      </c>
      <c r="N32" s="248">
        <v>0</v>
      </c>
      <c r="O32" s="248">
        <v>1000</v>
      </c>
      <c r="P32" s="247" t="s">
        <v>945</v>
      </c>
      <c r="Q32" s="247" t="s">
        <v>95</v>
      </c>
    </row>
    <row r="33" spans="1:17" x14ac:dyDescent="0.25">
      <c r="A33" s="247" t="s">
        <v>646</v>
      </c>
      <c r="B33" s="247" t="s">
        <v>265</v>
      </c>
      <c r="C33" s="247" t="s">
        <v>941</v>
      </c>
      <c r="D33" s="247" t="s">
        <v>946</v>
      </c>
      <c r="E33" s="247" t="s">
        <v>926</v>
      </c>
      <c r="F33" s="247" t="s">
        <v>1694</v>
      </c>
      <c r="G33" s="247" t="s">
        <v>947</v>
      </c>
      <c r="H33" s="247"/>
      <c r="I33" s="247" t="s">
        <v>1695</v>
      </c>
      <c r="J33" s="247">
        <v>22</v>
      </c>
      <c r="K33" s="247">
        <v>22</v>
      </c>
      <c r="L33" s="249" t="s">
        <v>646</v>
      </c>
      <c r="M33" s="249" t="s">
        <v>933</v>
      </c>
      <c r="N33" s="248">
        <v>399919.44</v>
      </c>
      <c r="O33" s="248">
        <v>3775175.11</v>
      </c>
      <c r="P33" s="247" t="s">
        <v>948</v>
      </c>
      <c r="Q33" s="247" t="s">
        <v>84</v>
      </c>
    </row>
    <row r="34" spans="1:17" x14ac:dyDescent="0.25">
      <c r="A34" s="247" t="s">
        <v>646</v>
      </c>
      <c r="B34" s="247" t="s">
        <v>265</v>
      </c>
      <c r="C34" s="247" t="s">
        <v>941</v>
      </c>
      <c r="D34" s="247" t="s">
        <v>946</v>
      </c>
      <c r="E34" s="247" t="s">
        <v>926</v>
      </c>
      <c r="F34" s="247" t="s">
        <v>1694</v>
      </c>
      <c r="G34" s="247" t="s">
        <v>947</v>
      </c>
      <c r="H34" s="247"/>
      <c r="I34" s="247" t="s">
        <v>1695</v>
      </c>
      <c r="J34" s="247">
        <v>22</v>
      </c>
      <c r="K34" s="247">
        <v>22</v>
      </c>
      <c r="L34" s="249" t="s">
        <v>650</v>
      </c>
      <c r="M34" s="249" t="s">
        <v>933</v>
      </c>
      <c r="N34" s="248">
        <v>353722.89</v>
      </c>
      <c r="O34" s="248">
        <v>4128898</v>
      </c>
      <c r="P34" s="247" t="s">
        <v>948</v>
      </c>
      <c r="Q34" s="247" t="s">
        <v>85</v>
      </c>
    </row>
    <row r="35" spans="1:17" x14ac:dyDescent="0.25">
      <c r="A35" s="247" t="s">
        <v>646</v>
      </c>
      <c r="B35" s="247" t="s">
        <v>265</v>
      </c>
      <c r="C35" s="247" t="s">
        <v>941</v>
      </c>
      <c r="D35" s="247" t="s">
        <v>946</v>
      </c>
      <c r="E35" s="247" t="s">
        <v>926</v>
      </c>
      <c r="F35" s="247" t="s">
        <v>1694</v>
      </c>
      <c r="G35" s="247" t="s">
        <v>947</v>
      </c>
      <c r="H35" s="247"/>
      <c r="I35" s="247" t="s">
        <v>1695</v>
      </c>
      <c r="J35" s="247">
        <v>22</v>
      </c>
      <c r="K35" s="247">
        <v>22</v>
      </c>
      <c r="L35" s="249" t="s">
        <v>652</v>
      </c>
      <c r="M35" s="249" t="s">
        <v>933</v>
      </c>
      <c r="N35" s="248">
        <v>363700.25</v>
      </c>
      <c r="O35" s="248">
        <v>4492598.25</v>
      </c>
      <c r="P35" s="247" t="s">
        <v>948</v>
      </c>
      <c r="Q35" s="247" t="s">
        <v>86</v>
      </c>
    </row>
    <row r="36" spans="1:17" x14ac:dyDescent="0.25">
      <c r="A36" s="247" t="s">
        <v>646</v>
      </c>
      <c r="B36" s="247" t="s">
        <v>265</v>
      </c>
      <c r="C36" s="247" t="s">
        <v>941</v>
      </c>
      <c r="D36" s="247" t="s">
        <v>946</v>
      </c>
      <c r="E36" s="247" t="s">
        <v>926</v>
      </c>
      <c r="F36" s="247" t="s">
        <v>1694</v>
      </c>
      <c r="G36" s="247" t="s">
        <v>947</v>
      </c>
      <c r="H36" s="247"/>
      <c r="I36" s="247" t="s">
        <v>1695</v>
      </c>
      <c r="J36" s="247">
        <v>22</v>
      </c>
      <c r="K36" s="247">
        <v>22</v>
      </c>
      <c r="L36" s="249" t="s">
        <v>789</v>
      </c>
      <c r="M36" s="249" t="s">
        <v>929</v>
      </c>
      <c r="N36" s="248">
        <v>294655.78999999998</v>
      </c>
      <c r="O36" s="248">
        <v>294655.78999999998</v>
      </c>
      <c r="P36" s="247" t="s">
        <v>948</v>
      </c>
      <c r="Q36" s="247" t="s">
        <v>87</v>
      </c>
    </row>
    <row r="37" spans="1:17" x14ac:dyDescent="0.25">
      <c r="A37" s="247" t="s">
        <v>646</v>
      </c>
      <c r="B37" s="247" t="s">
        <v>265</v>
      </c>
      <c r="C37" s="247" t="s">
        <v>941</v>
      </c>
      <c r="D37" s="247" t="s">
        <v>946</v>
      </c>
      <c r="E37" s="247" t="s">
        <v>926</v>
      </c>
      <c r="F37" s="247" t="s">
        <v>1694</v>
      </c>
      <c r="G37" s="247" t="s">
        <v>947</v>
      </c>
      <c r="H37" s="247"/>
      <c r="I37" s="247" t="s">
        <v>1695</v>
      </c>
      <c r="J37" s="247">
        <v>22</v>
      </c>
      <c r="K37" s="247">
        <v>22</v>
      </c>
      <c r="L37" s="249" t="s">
        <v>791</v>
      </c>
      <c r="M37" s="249" t="s">
        <v>929</v>
      </c>
      <c r="N37" s="248">
        <v>320602.81</v>
      </c>
      <c r="O37" s="248">
        <v>615258.6</v>
      </c>
      <c r="P37" s="247" t="s">
        <v>948</v>
      </c>
      <c r="Q37" s="247" t="s">
        <v>88</v>
      </c>
    </row>
    <row r="38" spans="1:17" x14ac:dyDescent="0.25">
      <c r="A38" s="247" t="s">
        <v>646</v>
      </c>
      <c r="B38" s="247" t="s">
        <v>265</v>
      </c>
      <c r="C38" s="247" t="s">
        <v>941</v>
      </c>
      <c r="D38" s="247" t="s">
        <v>946</v>
      </c>
      <c r="E38" s="247" t="s">
        <v>926</v>
      </c>
      <c r="F38" s="247" t="s">
        <v>1694</v>
      </c>
      <c r="G38" s="247" t="s">
        <v>947</v>
      </c>
      <c r="H38" s="247"/>
      <c r="I38" s="247" t="s">
        <v>1695</v>
      </c>
      <c r="J38" s="247">
        <v>22</v>
      </c>
      <c r="K38" s="247">
        <v>22</v>
      </c>
      <c r="L38" s="249" t="s">
        <v>935</v>
      </c>
      <c r="M38" s="249" t="s">
        <v>929</v>
      </c>
      <c r="N38" s="248">
        <v>372800.34</v>
      </c>
      <c r="O38" s="248">
        <v>988058.94</v>
      </c>
      <c r="P38" s="247" t="s">
        <v>948</v>
      </c>
      <c r="Q38" s="247" t="s">
        <v>89</v>
      </c>
    </row>
    <row r="39" spans="1:17" x14ac:dyDescent="0.25">
      <c r="A39" s="247" t="s">
        <v>646</v>
      </c>
      <c r="B39" s="247" t="s">
        <v>265</v>
      </c>
      <c r="C39" s="247" t="s">
        <v>941</v>
      </c>
      <c r="D39" s="247" t="s">
        <v>946</v>
      </c>
      <c r="E39" s="247" t="s">
        <v>926</v>
      </c>
      <c r="F39" s="247" t="s">
        <v>1694</v>
      </c>
      <c r="G39" s="247" t="s">
        <v>947</v>
      </c>
      <c r="H39" s="247"/>
      <c r="I39" s="247" t="s">
        <v>1695</v>
      </c>
      <c r="J39" s="247">
        <v>22</v>
      </c>
      <c r="K39" s="247">
        <v>22</v>
      </c>
      <c r="L39" s="249" t="s">
        <v>936</v>
      </c>
      <c r="M39" s="249" t="s">
        <v>929</v>
      </c>
      <c r="N39" s="248">
        <v>361525.29</v>
      </c>
      <c r="O39" s="248">
        <v>1349584.23</v>
      </c>
      <c r="P39" s="247" t="s">
        <v>948</v>
      </c>
      <c r="Q39" s="247" t="s">
        <v>90</v>
      </c>
    </row>
    <row r="40" spans="1:17" x14ac:dyDescent="0.25">
      <c r="A40" s="247" t="s">
        <v>646</v>
      </c>
      <c r="B40" s="247" t="s">
        <v>265</v>
      </c>
      <c r="C40" s="247" t="s">
        <v>941</v>
      </c>
      <c r="D40" s="247" t="s">
        <v>946</v>
      </c>
      <c r="E40" s="247" t="s">
        <v>926</v>
      </c>
      <c r="F40" s="247" t="s">
        <v>1694</v>
      </c>
      <c r="G40" s="247" t="s">
        <v>947</v>
      </c>
      <c r="H40" s="247"/>
      <c r="I40" s="247" t="s">
        <v>1695</v>
      </c>
      <c r="J40" s="247">
        <v>22</v>
      </c>
      <c r="K40" s="247">
        <v>22</v>
      </c>
      <c r="L40" s="249" t="s">
        <v>937</v>
      </c>
      <c r="M40" s="249" t="s">
        <v>929</v>
      </c>
      <c r="N40" s="248">
        <v>398364.13</v>
      </c>
      <c r="O40" s="248">
        <v>1747948.36</v>
      </c>
      <c r="P40" s="247" t="s">
        <v>948</v>
      </c>
      <c r="Q40" s="247" t="s">
        <v>91</v>
      </c>
    </row>
    <row r="41" spans="1:17" x14ac:dyDescent="0.25">
      <c r="A41" s="247" t="s">
        <v>646</v>
      </c>
      <c r="B41" s="247" t="s">
        <v>265</v>
      </c>
      <c r="C41" s="247" t="s">
        <v>941</v>
      </c>
      <c r="D41" s="247" t="s">
        <v>946</v>
      </c>
      <c r="E41" s="247" t="s">
        <v>926</v>
      </c>
      <c r="F41" s="247" t="s">
        <v>1694</v>
      </c>
      <c r="G41" s="247" t="s">
        <v>947</v>
      </c>
      <c r="H41" s="247"/>
      <c r="I41" s="247" t="s">
        <v>1695</v>
      </c>
      <c r="J41" s="247">
        <v>22</v>
      </c>
      <c r="K41" s="247">
        <v>22</v>
      </c>
      <c r="L41" s="249" t="s">
        <v>938</v>
      </c>
      <c r="M41" s="249" t="s">
        <v>929</v>
      </c>
      <c r="N41" s="248">
        <v>397280.28</v>
      </c>
      <c r="O41" s="248">
        <v>2145228.64</v>
      </c>
      <c r="P41" s="247" t="s">
        <v>948</v>
      </c>
      <c r="Q41" s="247" t="s">
        <v>92</v>
      </c>
    </row>
    <row r="42" spans="1:17" x14ac:dyDescent="0.25">
      <c r="A42" s="247" t="s">
        <v>646</v>
      </c>
      <c r="B42" s="247" t="s">
        <v>265</v>
      </c>
      <c r="C42" s="247" t="s">
        <v>941</v>
      </c>
      <c r="D42" s="247" t="s">
        <v>946</v>
      </c>
      <c r="E42" s="247" t="s">
        <v>926</v>
      </c>
      <c r="F42" s="247" t="s">
        <v>1694</v>
      </c>
      <c r="G42" s="247" t="s">
        <v>947</v>
      </c>
      <c r="H42" s="247"/>
      <c r="I42" s="247" t="s">
        <v>1695</v>
      </c>
      <c r="J42" s="247">
        <v>22</v>
      </c>
      <c r="K42" s="247">
        <v>22</v>
      </c>
      <c r="L42" s="249" t="s">
        <v>939</v>
      </c>
      <c r="M42" s="249" t="s">
        <v>929</v>
      </c>
      <c r="N42" s="248">
        <v>362653.4</v>
      </c>
      <c r="O42" s="248">
        <v>2507882.04</v>
      </c>
      <c r="P42" s="247" t="s">
        <v>948</v>
      </c>
      <c r="Q42" s="247" t="s">
        <v>93</v>
      </c>
    </row>
    <row r="43" spans="1:17" x14ac:dyDescent="0.25">
      <c r="A43" s="247" t="s">
        <v>646</v>
      </c>
      <c r="B43" s="247" t="s">
        <v>265</v>
      </c>
      <c r="C43" s="247" t="s">
        <v>941</v>
      </c>
      <c r="D43" s="247" t="s">
        <v>946</v>
      </c>
      <c r="E43" s="247" t="s">
        <v>926</v>
      </c>
      <c r="F43" s="247" t="s">
        <v>1694</v>
      </c>
      <c r="G43" s="247" t="s">
        <v>947</v>
      </c>
      <c r="H43" s="247"/>
      <c r="I43" s="247" t="s">
        <v>1695</v>
      </c>
      <c r="J43" s="247">
        <v>22</v>
      </c>
      <c r="K43" s="247">
        <v>22</v>
      </c>
      <c r="L43" s="249" t="s">
        <v>940</v>
      </c>
      <c r="M43" s="249" t="s">
        <v>929</v>
      </c>
      <c r="N43" s="248">
        <v>423951.21</v>
      </c>
      <c r="O43" s="248">
        <v>2931833.25</v>
      </c>
      <c r="P43" s="247" t="s">
        <v>948</v>
      </c>
      <c r="Q43" s="247" t="s">
        <v>94</v>
      </c>
    </row>
    <row r="44" spans="1:17" x14ac:dyDescent="0.25">
      <c r="A44" s="247" t="s">
        <v>646</v>
      </c>
      <c r="B44" s="247" t="s">
        <v>265</v>
      </c>
      <c r="C44" s="247" t="s">
        <v>941</v>
      </c>
      <c r="D44" s="247" t="s">
        <v>946</v>
      </c>
      <c r="E44" s="247" t="s">
        <v>926</v>
      </c>
      <c r="F44" s="247" t="s">
        <v>1694</v>
      </c>
      <c r="G44" s="247" t="s">
        <v>947</v>
      </c>
      <c r="H44" s="247"/>
      <c r="I44" s="247" t="s">
        <v>1695</v>
      </c>
      <c r="J44" s="247">
        <v>22</v>
      </c>
      <c r="K44" s="247">
        <v>22</v>
      </c>
      <c r="L44" s="249" t="s">
        <v>642</v>
      </c>
      <c r="M44" s="249" t="s">
        <v>929</v>
      </c>
      <c r="N44" s="248">
        <v>383654.67</v>
      </c>
      <c r="O44" s="248">
        <v>3315487.92</v>
      </c>
      <c r="P44" s="247" t="s">
        <v>948</v>
      </c>
      <c r="Q44" s="247" t="s">
        <v>95</v>
      </c>
    </row>
    <row r="45" spans="1:17" x14ac:dyDescent="0.25">
      <c r="A45" s="247" t="s">
        <v>646</v>
      </c>
      <c r="B45" s="247" t="s">
        <v>25</v>
      </c>
      <c r="C45" s="247" t="s">
        <v>949</v>
      </c>
      <c r="D45" s="247" t="s">
        <v>926</v>
      </c>
      <c r="E45" s="247" t="s">
        <v>926</v>
      </c>
      <c r="F45" s="247" t="s">
        <v>1696</v>
      </c>
      <c r="G45" s="247" t="s">
        <v>950</v>
      </c>
      <c r="H45" s="247"/>
      <c r="I45" s="247" t="s">
        <v>1697</v>
      </c>
      <c r="J45" s="247">
        <v>21</v>
      </c>
      <c r="K45" s="247">
        <v>21</v>
      </c>
      <c r="L45" s="249" t="s">
        <v>646</v>
      </c>
      <c r="M45" s="249" t="s">
        <v>933</v>
      </c>
      <c r="N45" s="248">
        <v>0</v>
      </c>
      <c r="O45" s="248">
        <v>-94235.26</v>
      </c>
      <c r="P45" s="247" t="s">
        <v>951</v>
      </c>
      <c r="Q45" s="247" t="s">
        <v>84</v>
      </c>
    </row>
    <row r="46" spans="1:17" x14ac:dyDescent="0.25">
      <c r="A46" s="247" t="s">
        <v>646</v>
      </c>
      <c r="B46" s="247" t="s">
        <v>25</v>
      </c>
      <c r="C46" s="247" t="s">
        <v>949</v>
      </c>
      <c r="D46" s="247" t="s">
        <v>926</v>
      </c>
      <c r="E46" s="247" t="s">
        <v>926</v>
      </c>
      <c r="F46" s="247" t="s">
        <v>1696</v>
      </c>
      <c r="G46" s="247" t="s">
        <v>950</v>
      </c>
      <c r="H46" s="247"/>
      <c r="I46" s="247" t="s">
        <v>1697</v>
      </c>
      <c r="J46" s="247">
        <v>21</v>
      </c>
      <c r="K46" s="247">
        <v>21</v>
      </c>
      <c r="L46" s="249" t="s">
        <v>650</v>
      </c>
      <c r="M46" s="249" t="s">
        <v>933</v>
      </c>
      <c r="N46" s="248">
        <v>0</v>
      </c>
      <c r="O46" s="248">
        <v>-94235.26</v>
      </c>
      <c r="P46" s="247" t="s">
        <v>951</v>
      </c>
      <c r="Q46" s="247" t="s">
        <v>85</v>
      </c>
    </row>
    <row r="47" spans="1:17" x14ac:dyDescent="0.25">
      <c r="A47" s="247" t="s">
        <v>646</v>
      </c>
      <c r="B47" s="247" t="s">
        <v>25</v>
      </c>
      <c r="C47" s="247" t="s">
        <v>949</v>
      </c>
      <c r="D47" s="247" t="s">
        <v>926</v>
      </c>
      <c r="E47" s="247" t="s">
        <v>926</v>
      </c>
      <c r="F47" s="247" t="s">
        <v>1696</v>
      </c>
      <c r="G47" s="247" t="s">
        <v>950</v>
      </c>
      <c r="H47" s="247"/>
      <c r="I47" s="247" t="s">
        <v>1697</v>
      </c>
      <c r="J47" s="247">
        <v>21</v>
      </c>
      <c r="K47" s="247">
        <v>21</v>
      </c>
      <c r="L47" s="249" t="s">
        <v>652</v>
      </c>
      <c r="M47" s="249" t="s">
        <v>933</v>
      </c>
      <c r="N47" s="248">
        <v>0</v>
      </c>
      <c r="O47" s="248">
        <v>-94235.26</v>
      </c>
      <c r="P47" s="247" t="s">
        <v>951</v>
      </c>
      <c r="Q47" s="247" t="s">
        <v>86</v>
      </c>
    </row>
    <row r="48" spans="1:17" x14ac:dyDescent="0.25">
      <c r="A48" s="247" t="s">
        <v>646</v>
      </c>
      <c r="B48" s="247" t="s">
        <v>25</v>
      </c>
      <c r="C48" s="247" t="s">
        <v>949</v>
      </c>
      <c r="D48" s="247" t="s">
        <v>926</v>
      </c>
      <c r="E48" s="247" t="s">
        <v>952</v>
      </c>
      <c r="F48" s="247" t="s">
        <v>1698</v>
      </c>
      <c r="G48" s="247" t="s">
        <v>953</v>
      </c>
      <c r="H48" s="247"/>
      <c r="I48" s="247" t="s">
        <v>1699</v>
      </c>
      <c r="J48" s="247">
        <v>6</v>
      </c>
      <c r="K48" s="247">
        <v>6</v>
      </c>
      <c r="L48" s="249" t="s">
        <v>646</v>
      </c>
      <c r="M48" s="249" t="s">
        <v>933</v>
      </c>
      <c r="N48" s="248">
        <v>-5702.28</v>
      </c>
      <c r="O48" s="248">
        <v>-11194.63</v>
      </c>
      <c r="P48" s="247" t="s">
        <v>954</v>
      </c>
      <c r="Q48" s="247" t="s">
        <v>84</v>
      </c>
    </row>
    <row r="49" spans="1:17" x14ac:dyDescent="0.25">
      <c r="A49" s="247" t="s">
        <v>646</v>
      </c>
      <c r="B49" s="247" t="s">
        <v>25</v>
      </c>
      <c r="C49" s="247" t="s">
        <v>949</v>
      </c>
      <c r="D49" s="247" t="s">
        <v>926</v>
      </c>
      <c r="E49" s="247" t="s">
        <v>952</v>
      </c>
      <c r="F49" s="247" t="s">
        <v>1698</v>
      </c>
      <c r="G49" s="247" t="s">
        <v>953</v>
      </c>
      <c r="H49" s="247"/>
      <c r="I49" s="247" t="s">
        <v>1699</v>
      </c>
      <c r="J49" s="247">
        <v>6</v>
      </c>
      <c r="K49" s="247">
        <v>6</v>
      </c>
      <c r="L49" s="249" t="s">
        <v>650</v>
      </c>
      <c r="M49" s="249" t="s">
        <v>933</v>
      </c>
      <c r="N49" s="248">
        <v>-5779.97</v>
      </c>
      <c r="O49" s="248">
        <v>-16974.599999999999</v>
      </c>
      <c r="P49" s="247" t="s">
        <v>954</v>
      </c>
      <c r="Q49" s="247" t="s">
        <v>85</v>
      </c>
    </row>
    <row r="50" spans="1:17" x14ac:dyDescent="0.25">
      <c r="A50" s="247" t="s">
        <v>646</v>
      </c>
      <c r="B50" s="247" t="s">
        <v>25</v>
      </c>
      <c r="C50" s="247" t="s">
        <v>949</v>
      </c>
      <c r="D50" s="247" t="s">
        <v>926</v>
      </c>
      <c r="E50" s="247" t="s">
        <v>952</v>
      </c>
      <c r="F50" s="247" t="s">
        <v>1698</v>
      </c>
      <c r="G50" s="247" t="s">
        <v>953</v>
      </c>
      <c r="H50" s="247"/>
      <c r="I50" s="247" t="s">
        <v>1699</v>
      </c>
      <c r="J50" s="247">
        <v>6</v>
      </c>
      <c r="K50" s="247">
        <v>6</v>
      </c>
      <c r="L50" s="249" t="s">
        <v>652</v>
      </c>
      <c r="M50" s="249" t="s">
        <v>933</v>
      </c>
      <c r="N50" s="248">
        <v>-5668.8</v>
      </c>
      <c r="O50" s="248">
        <v>-22643.4</v>
      </c>
      <c r="P50" s="247" t="s">
        <v>954</v>
      </c>
      <c r="Q50" s="247" t="s">
        <v>86</v>
      </c>
    </row>
    <row r="51" spans="1:17" x14ac:dyDescent="0.25">
      <c r="A51" s="247" t="s">
        <v>646</v>
      </c>
      <c r="B51" s="247" t="s">
        <v>25</v>
      </c>
      <c r="C51" s="247" t="s">
        <v>949</v>
      </c>
      <c r="D51" s="247" t="s">
        <v>926</v>
      </c>
      <c r="E51" s="247" t="s">
        <v>952</v>
      </c>
      <c r="F51" s="247" t="s">
        <v>1698</v>
      </c>
      <c r="G51" s="247" t="s">
        <v>953</v>
      </c>
      <c r="H51" s="247"/>
      <c r="I51" s="247" t="s">
        <v>1699</v>
      </c>
      <c r="J51" s="247">
        <v>6</v>
      </c>
      <c r="K51" s="247">
        <v>6</v>
      </c>
      <c r="L51" s="249" t="s">
        <v>789</v>
      </c>
      <c r="M51" s="249" t="s">
        <v>929</v>
      </c>
      <c r="N51" s="248">
        <v>-5789.81</v>
      </c>
      <c r="O51" s="248">
        <v>-5789.81</v>
      </c>
      <c r="P51" s="247" t="s">
        <v>954</v>
      </c>
      <c r="Q51" s="247" t="s">
        <v>87</v>
      </c>
    </row>
    <row r="52" spans="1:17" x14ac:dyDescent="0.25">
      <c r="A52" s="247" t="s">
        <v>646</v>
      </c>
      <c r="B52" s="247" t="s">
        <v>25</v>
      </c>
      <c r="C52" s="247" t="s">
        <v>949</v>
      </c>
      <c r="D52" s="247" t="s">
        <v>926</v>
      </c>
      <c r="E52" s="247" t="s">
        <v>952</v>
      </c>
      <c r="F52" s="247" t="s">
        <v>1698</v>
      </c>
      <c r="G52" s="247" t="s">
        <v>953</v>
      </c>
      <c r="H52" s="247"/>
      <c r="I52" s="247" t="s">
        <v>1699</v>
      </c>
      <c r="J52" s="247">
        <v>6</v>
      </c>
      <c r="K52" s="247">
        <v>6</v>
      </c>
      <c r="L52" s="249" t="s">
        <v>791</v>
      </c>
      <c r="M52" s="249" t="s">
        <v>929</v>
      </c>
      <c r="N52" s="248">
        <v>-6000.84</v>
      </c>
      <c r="O52" s="248">
        <v>-11790.65</v>
      </c>
      <c r="P52" s="247" t="s">
        <v>954</v>
      </c>
      <c r="Q52" s="247" t="s">
        <v>88</v>
      </c>
    </row>
    <row r="53" spans="1:17" x14ac:dyDescent="0.25">
      <c r="A53" s="247" t="s">
        <v>646</v>
      </c>
      <c r="B53" s="247" t="s">
        <v>25</v>
      </c>
      <c r="C53" s="247" t="s">
        <v>949</v>
      </c>
      <c r="D53" s="247" t="s">
        <v>926</v>
      </c>
      <c r="E53" s="247" t="s">
        <v>952</v>
      </c>
      <c r="F53" s="247" t="s">
        <v>1698</v>
      </c>
      <c r="G53" s="247" t="s">
        <v>953</v>
      </c>
      <c r="H53" s="247"/>
      <c r="I53" s="247" t="s">
        <v>1699</v>
      </c>
      <c r="J53" s="247">
        <v>6</v>
      </c>
      <c r="K53" s="247">
        <v>6</v>
      </c>
      <c r="L53" s="249" t="s">
        <v>935</v>
      </c>
      <c r="M53" s="249" t="s">
        <v>929</v>
      </c>
      <c r="N53" s="248">
        <v>-5995.59</v>
      </c>
      <c r="O53" s="248">
        <v>-17786.240000000002</v>
      </c>
      <c r="P53" s="247" t="s">
        <v>954</v>
      </c>
      <c r="Q53" s="247" t="s">
        <v>89</v>
      </c>
    </row>
    <row r="54" spans="1:17" x14ac:dyDescent="0.25">
      <c r="A54" s="247" t="s">
        <v>646</v>
      </c>
      <c r="B54" s="247" t="s">
        <v>25</v>
      </c>
      <c r="C54" s="247" t="s">
        <v>949</v>
      </c>
      <c r="D54" s="247" t="s">
        <v>926</v>
      </c>
      <c r="E54" s="247" t="s">
        <v>952</v>
      </c>
      <c r="F54" s="247" t="s">
        <v>1698</v>
      </c>
      <c r="G54" s="247" t="s">
        <v>953</v>
      </c>
      <c r="H54" s="247"/>
      <c r="I54" s="247" t="s">
        <v>1699</v>
      </c>
      <c r="J54" s="247">
        <v>6</v>
      </c>
      <c r="K54" s="247">
        <v>6</v>
      </c>
      <c r="L54" s="249" t="s">
        <v>936</v>
      </c>
      <c r="M54" s="249" t="s">
        <v>929</v>
      </c>
      <c r="N54" s="248">
        <v>-6074.48</v>
      </c>
      <c r="O54" s="248">
        <v>-23860.720000000001</v>
      </c>
      <c r="P54" s="247" t="s">
        <v>954</v>
      </c>
      <c r="Q54" s="247" t="s">
        <v>90</v>
      </c>
    </row>
    <row r="55" spans="1:17" x14ac:dyDescent="0.25">
      <c r="A55" s="247" t="s">
        <v>646</v>
      </c>
      <c r="B55" s="247" t="s">
        <v>25</v>
      </c>
      <c r="C55" s="247" t="s">
        <v>949</v>
      </c>
      <c r="D55" s="247" t="s">
        <v>926</v>
      </c>
      <c r="E55" s="247" t="s">
        <v>952</v>
      </c>
      <c r="F55" s="247" t="s">
        <v>1698</v>
      </c>
      <c r="G55" s="247" t="s">
        <v>953</v>
      </c>
      <c r="H55" s="247"/>
      <c r="I55" s="247" t="s">
        <v>1699</v>
      </c>
      <c r="J55" s="247">
        <v>6</v>
      </c>
      <c r="K55" s="247">
        <v>6</v>
      </c>
      <c r="L55" s="249" t="s">
        <v>937</v>
      </c>
      <c r="M55" s="249" t="s">
        <v>929</v>
      </c>
      <c r="N55" s="248">
        <v>-6047.59</v>
      </c>
      <c r="O55" s="248">
        <v>-29908.31</v>
      </c>
      <c r="P55" s="247" t="s">
        <v>954</v>
      </c>
      <c r="Q55" s="247" t="s">
        <v>91</v>
      </c>
    </row>
    <row r="56" spans="1:17" x14ac:dyDescent="0.25">
      <c r="A56" s="247" t="s">
        <v>646</v>
      </c>
      <c r="B56" s="247" t="s">
        <v>25</v>
      </c>
      <c r="C56" s="247" t="s">
        <v>949</v>
      </c>
      <c r="D56" s="247" t="s">
        <v>926</v>
      </c>
      <c r="E56" s="247" t="s">
        <v>952</v>
      </c>
      <c r="F56" s="247" t="s">
        <v>1698</v>
      </c>
      <c r="G56" s="247" t="s">
        <v>953</v>
      </c>
      <c r="H56" s="247"/>
      <c r="I56" s="247" t="s">
        <v>1699</v>
      </c>
      <c r="J56" s="247">
        <v>6</v>
      </c>
      <c r="K56" s="247">
        <v>6</v>
      </c>
      <c r="L56" s="249" t="s">
        <v>938</v>
      </c>
      <c r="M56" s="249" t="s">
        <v>929</v>
      </c>
      <c r="N56" s="248">
        <v>-6112.84</v>
      </c>
      <c r="O56" s="248">
        <v>-36021.15</v>
      </c>
      <c r="P56" s="247" t="s">
        <v>954</v>
      </c>
      <c r="Q56" s="247" t="s">
        <v>92</v>
      </c>
    </row>
    <row r="57" spans="1:17" x14ac:dyDescent="0.25">
      <c r="A57" s="247" t="s">
        <v>646</v>
      </c>
      <c r="B57" s="247" t="s">
        <v>25</v>
      </c>
      <c r="C57" s="247" t="s">
        <v>949</v>
      </c>
      <c r="D57" s="247" t="s">
        <v>926</v>
      </c>
      <c r="E57" s="247" t="s">
        <v>952</v>
      </c>
      <c r="F57" s="247" t="s">
        <v>1698</v>
      </c>
      <c r="G57" s="247" t="s">
        <v>953</v>
      </c>
      <c r="H57" s="247"/>
      <c r="I57" s="247" t="s">
        <v>1699</v>
      </c>
      <c r="J57" s="247">
        <v>6</v>
      </c>
      <c r="K57" s="247">
        <v>6</v>
      </c>
      <c r="L57" s="249" t="s">
        <v>939</v>
      </c>
      <c r="M57" s="249" t="s">
        <v>929</v>
      </c>
      <c r="N57" s="248">
        <v>-5931.05</v>
      </c>
      <c r="O57" s="248">
        <v>-41952.2</v>
      </c>
      <c r="P57" s="247" t="s">
        <v>954</v>
      </c>
      <c r="Q57" s="247" t="s">
        <v>93</v>
      </c>
    </row>
    <row r="58" spans="1:17" x14ac:dyDescent="0.25">
      <c r="A58" s="247" t="s">
        <v>646</v>
      </c>
      <c r="B58" s="247" t="s">
        <v>25</v>
      </c>
      <c r="C58" s="247" t="s">
        <v>949</v>
      </c>
      <c r="D58" s="247" t="s">
        <v>926</v>
      </c>
      <c r="E58" s="247" t="s">
        <v>952</v>
      </c>
      <c r="F58" s="247" t="s">
        <v>1698</v>
      </c>
      <c r="G58" s="247" t="s">
        <v>953</v>
      </c>
      <c r="H58" s="247"/>
      <c r="I58" s="247" t="s">
        <v>1699</v>
      </c>
      <c r="J58" s="247">
        <v>6</v>
      </c>
      <c r="K58" s="247">
        <v>6</v>
      </c>
      <c r="L58" s="249" t="s">
        <v>940</v>
      </c>
      <c r="M58" s="249" t="s">
        <v>929</v>
      </c>
      <c r="N58" s="248">
        <v>-5870.96</v>
      </c>
      <c r="O58" s="248">
        <v>-47823.16</v>
      </c>
      <c r="P58" s="247" t="s">
        <v>954</v>
      </c>
      <c r="Q58" s="247" t="s">
        <v>94</v>
      </c>
    </row>
    <row r="59" spans="1:17" x14ac:dyDescent="0.25">
      <c r="A59" s="247" t="s">
        <v>646</v>
      </c>
      <c r="B59" s="247" t="s">
        <v>25</v>
      </c>
      <c r="C59" s="247" t="s">
        <v>949</v>
      </c>
      <c r="D59" s="247" t="s">
        <v>926</v>
      </c>
      <c r="E59" s="247" t="s">
        <v>952</v>
      </c>
      <c r="F59" s="247" t="s">
        <v>1698</v>
      </c>
      <c r="G59" s="247" t="s">
        <v>953</v>
      </c>
      <c r="H59" s="247"/>
      <c r="I59" s="247" t="s">
        <v>1699</v>
      </c>
      <c r="J59" s="247">
        <v>6</v>
      </c>
      <c r="K59" s="247">
        <v>6</v>
      </c>
      <c r="L59" s="249" t="s">
        <v>642</v>
      </c>
      <c r="M59" s="249" t="s">
        <v>929</v>
      </c>
      <c r="N59" s="248">
        <v>-5821.72</v>
      </c>
      <c r="O59" s="248">
        <v>-53644.88</v>
      </c>
      <c r="P59" s="247" t="s">
        <v>954</v>
      </c>
      <c r="Q59" s="247" t="s">
        <v>95</v>
      </c>
    </row>
    <row r="60" spans="1:17" x14ac:dyDescent="0.25">
      <c r="A60" s="247" t="s">
        <v>646</v>
      </c>
      <c r="B60" s="247" t="s">
        <v>25</v>
      </c>
      <c r="C60" s="247" t="s">
        <v>949</v>
      </c>
      <c r="D60" s="247" t="s">
        <v>926</v>
      </c>
      <c r="E60" s="247" t="s">
        <v>955</v>
      </c>
      <c r="F60" s="247" t="s">
        <v>1700</v>
      </c>
      <c r="G60" s="247" t="s">
        <v>956</v>
      </c>
      <c r="H60" s="247"/>
      <c r="I60" s="247" t="s">
        <v>1701</v>
      </c>
      <c r="J60" s="247">
        <v>18</v>
      </c>
      <c r="K60" s="247">
        <v>18</v>
      </c>
      <c r="L60" s="249" t="s">
        <v>646</v>
      </c>
      <c r="M60" s="249" t="s">
        <v>933</v>
      </c>
      <c r="N60" s="248">
        <v>-85</v>
      </c>
      <c r="O60" s="248">
        <v>-205</v>
      </c>
      <c r="P60" s="247" t="s">
        <v>957</v>
      </c>
      <c r="Q60" s="247" t="s">
        <v>84</v>
      </c>
    </row>
    <row r="61" spans="1:17" x14ac:dyDescent="0.25">
      <c r="A61" s="247" t="s">
        <v>646</v>
      </c>
      <c r="B61" s="247" t="s">
        <v>25</v>
      </c>
      <c r="C61" s="247" t="s">
        <v>949</v>
      </c>
      <c r="D61" s="247" t="s">
        <v>926</v>
      </c>
      <c r="E61" s="247" t="s">
        <v>955</v>
      </c>
      <c r="F61" s="247" t="s">
        <v>1700</v>
      </c>
      <c r="G61" s="247" t="s">
        <v>956</v>
      </c>
      <c r="H61" s="247"/>
      <c r="I61" s="247" t="s">
        <v>1701</v>
      </c>
      <c r="J61" s="247">
        <v>18</v>
      </c>
      <c r="K61" s="247">
        <v>18</v>
      </c>
      <c r="L61" s="249" t="s">
        <v>650</v>
      </c>
      <c r="M61" s="249" t="s">
        <v>933</v>
      </c>
      <c r="N61" s="248">
        <v>-85</v>
      </c>
      <c r="O61" s="248">
        <v>-290</v>
      </c>
      <c r="P61" s="247" t="s">
        <v>957</v>
      </c>
      <c r="Q61" s="247" t="s">
        <v>85</v>
      </c>
    </row>
    <row r="62" spans="1:17" x14ac:dyDescent="0.25">
      <c r="A62" s="247" t="s">
        <v>646</v>
      </c>
      <c r="B62" s="247" t="s">
        <v>25</v>
      </c>
      <c r="C62" s="247" t="s">
        <v>949</v>
      </c>
      <c r="D62" s="247" t="s">
        <v>926</v>
      </c>
      <c r="E62" s="247" t="s">
        <v>955</v>
      </c>
      <c r="F62" s="247" t="s">
        <v>1700</v>
      </c>
      <c r="G62" s="247" t="s">
        <v>956</v>
      </c>
      <c r="H62" s="247"/>
      <c r="I62" s="247" t="s">
        <v>1701</v>
      </c>
      <c r="J62" s="247">
        <v>18</v>
      </c>
      <c r="K62" s="247">
        <v>18</v>
      </c>
      <c r="L62" s="249" t="s">
        <v>652</v>
      </c>
      <c r="M62" s="249" t="s">
        <v>933</v>
      </c>
      <c r="N62" s="248">
        <v>-100</v>
      </c>
      <c r="O62" s="248">
        <v>-390</v>
      </c>
      <c r="P62" s="247" t="s">
        <v>957</v>
      </c>
      <c r="Q62" s="247" t="s">
        <v>86</v>
      </c>
    </row>
    <row r="63" spans="1:17" x14ac:dyDescent="0.25">
      <c r="A63" s="247" t="s">
        <v>646</v>
      </c>
      <c r="B63" s="247" t="s">
        <v>25</v>
      </c>
      <c r="C63" s="247" t="s">
        <v>949</v>
      </c>
      <c r="D63" s="247" t="s">
        <v>926</v>
      </c>
      <c r="E63" s="247" t="s">
        <v>955</v>
      </c>
      <c r="F63" s="247" t="s">
        <v>1700</v>
      </c>
      <c r="G63" s="247" t="s">
        <v>956</v>
      </c>
      <c r="H63" s="247"/>
      <c r="I63" s="247" t="s">
        <v>1701</v>
      </c>
      <c r="J63" s="247">
        <v>18</v>
      </c>
      <c r="K63" s="247">
        <v>18</v>
      </c>
      <c r="L63" s="249" t="s">
        <v>789</v>
      </c>
      <c r="M63" s="249" t="s">
        <v>929</v>
      </c>
      <c r="N63" s="248">
        <v>-55</v>
      </c>
      <c r="O63" s="248">
        <v>-55</v>
      </c>
      <c r="P63" s="247" t="s">
        <v>957</v>
      </c>
      <c r="Q63" s="247" t="s">
        <v>87</v>
      </c>
    </row>
    <row r="64" spans="1:17" x14ac:dyDescent="0.25">
      <c r="A64" s="247" t="s">
        <v>646</v>
      </c>
      <c r="B64" s="247" t="s">
        <v>25</v>
      </c>
      <c r="C64" s="247" t="s">
        <v>949</v>
      </c>
      <c r="D64" s="247" t="s">
        <v>926</v>
      </c>
      <c r="E64" s="247" t="s">
        <v>955</v>
      </c>
      <c r="F64" s="247" t="s">
        <v>1700</v>
      </c>
      <c r="G64" s="247" t="s">
        <v>956</v>
      </c>
      <c r="H64" s="247"/>
      <c r="I64" s="247" t="s">
        <v>1701</v>
      </c>
      <c r="J64" s="247">
        <v>18</v>
      </c>
      <c r="K64" s="247">
        <v>18</v>
      </c>
      <c r="L64" s="249" t="s">
        <v>791</v>
      </c>
      <c r="M64" s="249" t="s">
        <v>929</v>
      </c>
      <c r="N64" s="248">
        <v>-77.5</v>
      </c>
      <c r="O64" s="248">
        <v>-132.5</v>
      </c>
      <c r="P64" s="247" t="s">
        <v>957</v>
      </c>
      <c r="Q64" s="247" t="s">
        <v>88</v>
      </c>
    </row>
    <row r="65" spans="1:17" x14ac:dyDescent="0.25">
      <c r="A65" s="247" t="s">
        <v>646</v>
      </c>
      <c r="B65" s="247" t="s">
        <v>25</v>
      </c>
      <c r="C65" s="247" t="s">
        <v>949</v>
      </c>
      <c r="D65" s="247" t="s">
        <v>926</v>
      </c>
      <c r="E65" s="247" t="s">
        <v>955</v>
      </c>
      <c r="F65" s="247" t="s">
        <v>1700</v>
      </c>
      <c r="G65" s="247" t="s">
        <v>956</v>
      </c>
      <c r="H65" s="247"/>
      <c r="I65" s="247" t="s">
        <v>1701</v>
      </c>
      <c r="J65" s="247">
        <v>18</v>
      </c>
      <c r="K65" s="247">
        <v>18</v>
      </c>
      <c r="L65" s="249" t="s">
        <v>935</v>
      </c>
      <c r="M65" s="249" t="s">
        <v>929</v>
      </c>
      <c r="N65" s="248">
        <v>-85</v>
      </c>
      <c r="O65" s="248">
        <v>-217.5</v>
      </c>
      <c r="P65" s="247" t="s">
        <v>957</v>
      </c>
      <c r="Q65" s="247" t="s">
        <v>89</v>
      </c>
    </row>
    <row r="66" spans="1:17" x14ac:dyDescent="0.25">
      <c r="A66" s="247" t="s">
        <v>646</v>
      </c>
      <c r="B66" s="247" t="s">
        <v>25</v>
      </c>
      <c r="C66" s="247" t="s">
        <v>949</v>
      </c>
      <c r="D66" s="247" t="s">
        <v>926</v>
      </c>
      <c r="E66" s="247" t="s">
        <v>955</v>
      </c>
      <c r="F66" s="247" t="s">
        <v>1700</v>
      </c>
      <c r="G66" s="247" t="s">
        <v>956</v>
      </c>
      <c r="H66" s="247"/>
      <c r="I66" s="247" t="s">
        <v>1701</v>
      </c>
      <c r="J66" s="247">
        <v>18</v>
      </c>
      <c r="K66" s="247">
        <v>18</v>
      </c>
      <c r="L66" s="249" t="s">
        <v>936</v>
      </c>
      <c r="M66" s="249" t="s">
        <v>929</v>
      </c>
      <c r="N66" s="248">
        <v>-85</v>
      </c>
      <c r="O66" s="248">
        <v>-302.5</v>
      </c>
      <c r="P66" s="247" t="s">
        <v>957</v>
      </c>
      <c r="Q66" s="247" t="s">
        <v>90</v>
      </c>
    </row>
    <row r="67" spans="1:17" x14ac:dyDescent="0.25">
      <c r="A67" s="247" t="s">
        <v>646</v>
      </c>
      <c r="B67" s="247" t="s">
        <v>25</v>
      </c>
      <c r="C67" s="247" t="s">
        <v>949</v>
      </c>
      <c r="D67" s="247" t="s">
        <v>926</v>
      </c>
      <c r="E67" s="247" t="s">
        <v>955</v>
      </c>
      <c r="F67" s="247" t="s">
        <v>1700</v>
      </c>
      <c r="G67" s="247" t="s">
        <v>956</v>
      </c>
      <c r="H67" s="247"/>
      <c r="I67" s="247" t="s">
        <v>1701</v>
      </c>
      <c r="J67" s="247">
        <v>18</v>
      </c>
      <c r="K67" s="247">
        <v>18</v>
      </c>
      <c r="L67" s="249" t="s">
        <v>937</v>
      </c>
      <c r="M67" s="249" t="s">
        <v>929</v>
      </c>
      <c r="N67" s="248">
        <v>-85</v>
      </c>
      <c r="O67" s="248">
        <v>-387.5</v>
      </c>
      <c r="P67" s="247" t="s">
        <v>957</v>
      </c>
      <c r="Q67" s="247" t="s">
        <v>91</v>
      </c>
    </row>
    <row r="68" spans="1:17" x14ac:dyDescent="0.25">
      <c r="A68" s="247" t="s">
        <v>646</v>
      </c>
      <c r="B68" s="247" t="s">
        <v>25</v>
      </c>
      <c r="C68" s="247" t="s">
        <v>949</v>
      </c>
      <c r="D68" s="247" t="s">
        <v>926</v>
      </c>
      <c r="E68" s="247" t="s">
        <v>955</v>
      </c>
      <c r="F68" s="247" t="s">
        <v>1700</v>
      </c>
      <c r="G68" s="247" t="s">
        <v>956</v>
      </c>
      <c r="H68" s="247"/>
      <c r="I68" s="247" t="s">
        <v>1701</v>
      </c>
      <c r="J68" s="247">
        <v>18</v>
      </c>
      <c r="K68" s="247">
        <v>18</v>
      </c>
      <c r="L68" s="249" t="s">
        <v>938</v>
      </c>
      <c r="M68" s="249" t="s">
        <v>929</v>
      </c>
      <c r="N68" s="248">
        <v>-85</v>
      </c>
      <c r="O68" s="248">
        <v>-472.5</v>
      </c>
      <c r="P68" s="247" t="s">
        <v>957</v>
      </c>
      <c r="Q68" s="247" t="s">
        <v>92</v>
      </c>
    </row>
    <row r="69" spans="1:17" x14ac:dyDescent="0.25">
      <c r="A69" s="247" t="s">
        <v>646</v>
      </c>
      <c r="B69" s="247" t="s">
        <v>25</v>
      </c>
      <c r="C69" s="247" t="s">
        <v>949</v>
      </c>
      <c r="D69" s="247" t="s">
        <v>926</v>
      </c>
      <c r="E69" s="247" t="s">
        <v>955</v>
      </c>
      <c r="F69" s="247" t="s">
        <v>1700</v>
      </c>
      <c r="G69" s="247" t="s">
        <v>956</v>
      </c>
      <c r="H69" s="247"/>
      <c r="I69" s="247" t="s">
        <v>1701</v>
      </c>
      <c r="J69" s="247">
        <v>18</v>
      </c>
      <c r="K69" s="247">
        <v>18</v>
      </c>
      <c r="L69" s="249" t="s">
        <v>939</v>
      </c>
      <c r="M69" s="249" t="s">
        <v>929</v>
      </c>
      <c r="N69" s="248">
        <v>-85</v>
      </c>
      <c r="O69" s="248">
        <v>-557.5</v>
      </c>
      <c r="P69" s="247" t="s">
        <v>957</v>
      </c>
      <c r="Q69" s="247" t="s">
        <v>93</v>
      </c>
    </row>
    <row r="70" spans="1:17" x14ac:dyDescent="0.25">
      <c r="A70" s="247" t="s">
        <v>646</v>
      </c>
      <c r="B70" s="247" t="s">
        <v>25</v>
      </c>
      <c r="C70" s="247" t="s">
        <v>949</v>
      </c>
      <c r="D70" s="247" t="s">
        <v>926</v>
      </c>
      <c r="E70" s="247" t="s">
        <v>955</v>
      </c>
      <c r="F70" s="247" t="s">
        <v>1700</v>
      </c>
      <c r="G70" s="247" t="s">
        <v>956</v>
      </c>
      <c r="H70" s="247"/>
      <c r="I70" s="247" t="s">
        <v>1701</v>
      </c>
      <c r="J70" s="247">
        <v>18</v>
      </c>
      <c r="K70" s="247">
        <v>18</v>
      </c>
      <c r="L70" s="249" t="s">
        <v>940</v>
      </c>
      <c r="M70" s="249" t="s">
        <v>929</v>
      </c>
      <c r="N70" s="248">
        <v>-85</v>
      </c>
      <c r="O70" s="248">
        <v>-642.5</v>
      </c>
      <c r="P70" s="247" t="s">
        <v>957</v>
      </c>
      <c r="Q70" s="247" t="s">
        <v>94</v>
      </c>
    </row>
    <row r="71" spans="1:17" x14ac:dyDescent="0.25">
      <c r="A71" s="247" t="s">
        <v>646</v>
      </c>
      <c r="B71" s="247" t="s">
        <v>25</v>
      </c>
      <c r="C71" s="247" t="s">
        <v>949</v>
      </c>
      <c r="D71" s="247" t="s">
        <v>926</v>
      </c>
      <c r="E71" s="247" t="s">
        <v>955</v>
      </c>
      <c r="F71" s="247" t="s">
        <v>1700</v>
      </c>
      <c r="G71" s="247" t="s">
        <v>956</v>
      </c>
      <c r="H71" s="247"/>
      <c r="I71" s="247" t="s">
        <v>1701</v>
      </c>
      <c r="J71" s="247">
        <v>18</v>
      </c>
      <c r="K71" s="247">
        <v>18</v>
      </c>
      <c r="L71" s="249" t="s">
        <v>642</v>
      </c>
      <c r="M71" s="249" t="s">
        <v>929</v>
      </c>
      <c r="N71" s="248">
        <v>-85</v>
      </c>
      <c r="O71" s="248">
        <v>-727.5</v>
      </c>
      <c r="P71" s="247" t="s">
        <v>957</v>
      </c>
      <c r="Q71" s="247" t="s">
        <v>95</v>
      </c>
    </row>
    <row r="72" spans="1:17" x14ac:dyDescent="0.25">
      <c r="A72" s="247" t="s">
        <v>646</v>
      </c>
      <c r="B72" s="247" t="s">
        <v>25</v>
      </c>
      <c r="C72" s="247" t="s">
        <v>949</v>
      </c>
      <c r="D72" s="247" t="s">
        <v>926</v>
      </c>
      <c r="E72" s="247" t="s">
        <v>958</v>
      </c>
      <c r="F72" s="247" t="s">
        <v>1702</v>
      </c>
      <c r="G72" s="247" t="s">
        <v>959</v>
      </c>
      <c r="H72" s="247"/>
      <c r="I72" s="247" t="s">
        <v>1703</v>
      </c>
      <c r="J72" s="247">
        <v>18</v>
      </c>
      <c r="K72" s="247">
        <v>18</v>
      </c>
      <c r="L72" s="249" t="s">
        <v>646</v>
      </c>
      <c r="M72" s="249" t="s">
        <v>933</v>
      </c>
      <c r="N72" s="248">
        <v>0</v>
      </c>
      <c r="O72" s="248">
        <v>-60</v>
      </c>
      <c r="P72" s="247" t="s">
        <v>960</v>
      </c>
      <c r="Q72" s="247" t="s">
        <v>84</v>
      </c>
    </row>
    <row r="73" spans="1:17" x14ac:dyDescent="0.25">
      <c r="A73" s="247" t="s">
        <v>646</v>
      </c>
      <c r="B73" s="247" t="s">
        <v>25</v>
      </c>
      <c r="C73" s="247" t="s">
        <v>949</v>
      </c>
      <c r="D73" s="247" t="s">
        <v>926</v>
      </c>
      <c r="E73" s="247" t="s">
        <v>958</v>
      </c>
      <c r="F73" s="247" t="s">
        <v>1702</v>
      </c>
      <c r="G73" s="247" t="s">
        <v>959</v>
      </c>
      <c r="H73" s="247"/>
      <c r="I73" s="247" t="s">
        <v>1703</v>
      </c>
      <c r="J73" s="247">
        <v>18</v>
      </c>
      <c r="K73" s="247">
        <v>18</v>
      </c>
      <c r="L73" s="249" t="s">
        <v>650</v>
      </c>
      <c r="M73" s="249" t="s">
        <v>933</v>
      </c>
      <c r="N73" s="248">
        <v>0</v>
      </c>
      <c r="O73" s="248">
        <v>-60</v>
      </c>
      <c r="P73" s="247" t="s">
        <v>960</v>
      </c>
      <c r="Q73" s="247" t="s">
        <v>85</v>
      </c>
    </row>
    <row r="74" spans="1:17" x14ac:dyDescent="0.25">
      <c r="A74" s="247" t="s">
        <v>646</v>
      </c>
      <c r="B74" s="247" t="s">
        <v>25</v>
      </c>
      <c r="C74" s="247" t="s">
        <v>949</v>
      </c>
      <c r="D74" s="247" t="s">
        <v>926</v>
      </c>
      <c r="E74" s="247" t="s">
        <v>958</v>
      </c>
      <c r="F74" s="247" t="s">
        <v>1702</v>
      </c>
      <c r="G74" s="247" t="s">
        <v>959</v>
      </c>
      <c r="H74" s="247"/>
      <c r="I74" s="247" t="s">
        <v>1703</v>
      </c>
      <c r="J74" s="247">
        <v>18</v>
      </c>
      <c r="K74" s="247">
        <v>18</v>
      </c>
      <c r="L74" s="249" t="s">
        <v>652</v>
      </c>
      <c r="M74" s="249" t="s">
        <v>933</v>
      </c>
      <c r="N74" s="248">
        <v>0</v>
      </c>
      <c r="O74" s="248">
        <v>-60</v>
      </c>
      <c r="P74" s="247" t="s">
        <v>960</v>
      </c>
      <c r="Q74" s="247" t="s">
        <v>86</v>
      </c>
    </row>
    <row r="75" spans="1:17" x14ac:dyDescent="0.25">
      <c r="A75" s="247" t="s">
        <v>646</v>
      </c>
      <c r="B75" s="247" t="s">
        <v>25</v>
      </c>
      <c r="C75" s="247" t="s">
        <v>949</v>
      </c>
      <c r="D75" s="247" t="s">
        <v>926</v>
      </c>
      <c r="E75" s="247" t="s">
        <v>961</v>
      </c>
      <c r="F75" s="247" t="s">
        <v>1704</v>
      </c>
      <c r="G75" s="247" t="s">
        <v>962</v>
      </c>
      <c r="H75" s="247"/>
      <c r="I75" s="247" t="s">
        <v>1705</v>
      </c>
      <c r="J75" s="247">
        <v>12</v>
      </c>
      <c r="K75" s="247">
        <v>12</v>
      </c>
      <c r="L75" s="249" t="s">
        <v>646</v>
      </c>
      <c r="M75" s="249" t="s">
        <v>933</v>
      </c>
      <c r="N75" s="248">
        <v>0</v>
      </c>
      <c r="O75" s="248">
        <v>-520.38</v>
      </c>
      <c r="P75" s="247" t="s">
        <v>963</v>
      </c>
      <c r="Q75" s="247" t="s">
        <v>84</v>
      </c>
    </row>
    <row r="76" spans="1:17" x14ac:dyDescent="0.25">
      <c r="A76" s="247" t="s">
        <v>646</v>
      </c>
      <c r="B76" s="247" t="s">
        <v>25</v>
      </c>
      <c r="C76" s="247" t="s">
        <v>949</v>
      </c>
      <c r="D76" s="247" t="s">
        <v>926</v>
      </c>
      <c r="E76" s="247" t="s">
        <v>961</v>
      </c>
      <c r="F76" s="247" t="s">
        <v>1704</v>
      </c>
      <c r="G76" s="247" t="s">
        <v>962</v>
      </c>
      <c r="H76" s="247"/>
      <c r="I76" s="247" t="s">
        <v>1705</v>
      </c>
      <c r="J76" s="247">
        <v>12</v>
      </c>
      <c r="K76" s="247">
        <v>12</v>
      </c>
      <c r="L76" s="249" t="s">
        <v>650</v>
      </c>
      <c r="M76" s="249" t="s">
        <v>933</v>
      </c>
      <c r="N76" s="248">
        <v>0</v>
      </c>
      <c r="O76" s="248">
        <v>-520.38</v>
      </c>
      <c r="P76" s="247" t="s">
        <v>963</v>
      </c>
      <c r="Q76" s="247" t="s">
        <v>85</v>
      </c>
    </row>
    <row r="77" spans="1:17" x14ac:dyDescent="0.25">
      <c r="A77" s="247" t="s">
        <v>646</v>
      </c>
      <c r="B77" s="247" t="s">
        <v>25</v>
      </c>
      <c r="C77" s="247" t="s">
        <v>949</v>
      </c>
      <c r="D77" s="247" t="s">
        <v>926</v>
      </c>
      <c r="E77" s="247" t="s">
        <v>961</v>
      </c>
      <c r="F77" s="247" t="s">
        <v>1704</v>
      </c>
      <c r="G77" s="247" t="s">
        <v>962</v>
      </c>
      <c r="H77" s="247"/>
      <c r="I77" s="247" t="s">
        <v>1705</v>
      </c>
      <c r="J77" s="247">
        <v>12</v>
      </c>
      <c r="K77" s="247">
        <v>12</v>
      </c>
      <c r="L77" s="249" t="s">
        <v>652</v>
      </c>
      <c r="M77" s="249" t="s">
        <v>933</v>
      </c>
      <c r="N77" s="248">
        <v>0</v>
      </c>
      <c r="O77" s="248">
        <v>-520.38</v>
      </c>
      <c r="P77" s="247" t="s">
        <v>963</v>
      </c>
      <c r="Q77" s="247" t="s">
        <v>86</v>
      </c>
    </row>
    <row r="78" spans="1:17" x14ac:dyDescent="0.25">
      <c r="A78" s="247" t="s">
        <v>646</v>
      </c>
      <c r="B78" s="247" t="s">
        <v>25</v>
      </c>
      <c r="C78" s="247" t="s">
        <v>949</v>
      </c>
      <c r="D78" s="247" t="s">
        <v>926</v>
      </c>
      <c r="E78" s="247" t="s">
        <v>964</v>
      </c>
      <c r="F78" s="247" t="s">
        <v>1706</v>
      </c>
      <c r="G78" s="247" t="s">
        <v>965</v>
      </c>
      <c r="H78" s="247"/>
      <c r="I78" s="247" t="s">
        <v>1707</v>
      </c>
      <c r="J78" s="247">
        <v>16</v>
      </c>
      <c r="K78" s="247">
        <v>16</v>
      </c>
      <c r="L78" s="249" t="s">
        <v>646</v>
      </c>
      <c r="M78" s="249" t="s">
        <v>933</v>
      </c>
      <c r="N78" s="248">
        <v>-35</v>
      </c>
      <c r="O78" s="248">
        <v>-1892.38</v>
      </c>
      <c r="P78" s="247" t="s">
        <v>966</v>
      </c>
      <c r="Q78" s="247" t="s">
        <v>84</v>
      </c>
    </row>
    <row r="79" spans="1:17" x14ac:dyDescent="0.25">
      <c r="A79" s="247" t="s">
        <v>646</v>
      </c>
      <c r="B79" s="247" t="s">
        <v>25</v>
      </c>
      <c r="C79" s="247" t="s">
        <v>949</v>
      </c>
      <c r="D79" s="247" t="s">
        <v>926</v>
      </c>
      <c r="E79" s="247" t="s">
        <v>964</v>
      </c>
      <c r="F79" s="247" t="s">
        <v>1706</v>
      </c>
      <c r="G79" s="247" t="s">
        <v>965</v>
      </c>
      <c r="H79" s="247"/>
      <c r="I79" s="247" t="s">
        <v>1707</v>
      </c>
      <c r="J79" s="247">
        <v>16</v>
      </c>
      <c r="K79" s="247">
        <v>16</v>
      </c>
      <c r="L79" s="249" t="s">
        <v>650</v>
      </c>
      <c r="M79" s="249" t="s">
        <v>933</v>
      </c>
      <c r="N79" s="248">
        <v>-20</v>
      </c>
      <c r="O79" s="248">
        <v>-1912.38</v>
      </c>
      <c r="P79" s="247" t="s">
        <v>966</v>
      </c>
      <c r="Q79" s="247" t="s">
        <v>85</v>
      </c>
    </row>
    <row r="80" spans="1:17" x14ac:dyDescent="0.25">
      <c r="A80" s="247" t="s">
        <v>646</v>
      </c>
      <c r="B80" s="247" t="s">
        <v>25</v>
      </c>
      <c r="C80" s="247" t="s">
        <v>949</v>
      </c>
      <c r="D80" s="247" t="s">
        <v>926</v>
      </c>
      <c r="E80" s="247" t="s">
        <v>964</v>
      </c>
      <c r="F80" s="247" t="s">
        <v>1706</v>
      </c>
      <c r="G80" s="247" t="s">
        <v>965</v>
      </c>
      <c r="H80" s="247"/>
      <c r="I80" s="247" t="s">
        <v>1707</v>
      </c>
      <c r="J80" s="247">
        <v>16</v>
      </c>
      <c r="K80" s="247">
        <v>16</v>
      </c>
      <c r="L80" s="249" t="s">
        <v>652</v>
      </c>
      <c r="M80" s="249" t="s">
        <v>933</v>
      </c>
      <c r="N80" s="248">
        <v>-20</v>
      </c>
      <c r="O80" s="248">
        <v>-1932.38</v>
      </c>
      <c r="P80" s="247" t="s">
        <v>966</v>
      </c>
      <c r="Q80" s="247" t="s">
        <v>86</v>
      </c>
    </row>
    <row r="81" spans="1:17" x14ac:dyDescent="0.25">
      <c r="A81" s="247" t="s">
        <v>646</v>
      </c>
      <c r="B81" s="247" t="s">
        <v>25</v>
      </c>
      <c r="C81" s="247" t="s">
        <v>949</v>
      </c>
      <c r="D81" s="247" t="s">
        <v>926</v>
      </c>
      <c r="E81" s="247" t="s">
        <v>964</v>
      </c>
      <c r="F81" s="247" t="s">
        <v>1706</v>
      </c>
      <c r="G81" s="247" t="s">
        <v>965</v>
      </c>
      <c r="H81" s="247"/>
      <c r="I81" s="247" t="s">
        <v>1707</v>
      </c>
      <c r="J81" s="247">
        <v>16</v>
      </c>
      <c r="K81" s="247">
        <v>16</v>
      </c>
      <c r="L81" s="249" t="s">
        <v>789</v>
      </c>
      <c r="M81" s="249" t="s">
        <v>929</v>
      </c>
      <c r="N81" s="248">
        <v>10</v>
      </c>
      <c r="O81" s="248">
        <v>10</v>
      </c>
      <c r="P81" s="247" t="s">
        <v>966</v>
      </c>
      <c r="Q81" s="247" t="s">
        <v>87</v>
      </c>
    </row>
    <row r="82" spans="1:17" x14ac:dyDescent="0.25">
      <c r="A82" s="247" t="s">
        <v>646</v>
      </c>
      <c r="B82" s="247" t="s">
        <v>25</v>
      </c>
      <c r="C82" s="247" t="s">
        <v>949</v>
      </c>
      <c r="D82" s="247" t="s">
        <v>926</v>
      </c>
      <c r="E82" s="247" t="s">
        <v>964</v>
      </c>
      <c r="F82" s="247" t="s">
        <v>1706</v>
      </c>
      <c r="G82" s="247" t="s">
        <v>965</v>
      </c>
      <c r="H82" s="247"/>
      <c r="I82" s="247" t="s">
        <v>1707</v>
      </c>
      <c r="J82" s="247">
        <v>16</v>
      </c>
      <c r="K82" s="247">
        <v>16</v>
      </c>
      <c r="L82" s="249" t="s">
        <v>791</v>
      </c>
      <c r="M82" s="249" t="s">
        <v>929</v>
      </c>
      <c r="N82" s="248">
        <v>-20</v>
      </c>
      <c r="O82" s="248">
        <v>-10</v>
      </c>
      <c r="P82" s="247" t="s">
        <v>966</v>
      </c>
      <c r="Q82" s="247" t="s">
        <v>88</v>
      </c>
    </row>
    <row r="83" spans="1:17" x14ac:dyDescent="0.25">
      <c r="A83" s="247" t="s">
        <v>646</v>
      </c>
      <c r="B83" s="247" t="s">
        <v>25</v>
      </c>
      <c r="C83" s="247" t="s">
        <v>949</v>
      </c>
      <c r="D83" s="247" t="s">
        <v>926</v>
      </c>
      <c r="E83" s="247" t="s">
        <v>964</v>
      </c>
      <c r="F83" s="247" t="s">
        <v>1706</v>
      </c>
      <c r="G83" s="247" t="s">
        <v>965</v>
      </c>
      <c r="H83" s="247"/>
      <c r="I83" s="247" t="s">
        <v>1707</v>
      </c>
      <c r="J83" s="247">
        <v>16</v>
      </c>
      <c r="K83" s="247">
        <v>16</v>
      </c>
      <c r="L83" s="249" t="s">
        <v>935</v>
      </c>
      <c r="M83" s="249" t="s">
        <v>929</v>
      </c>
      <c r="N83" s="248">
        <v>-5</v>
      </c>
      <c r="O83" s="248">
        <v>-15</v>
      </c>
      <c r="P83" s="247" t="s">
        <v>966</v>
      </c>
      <c r="Q83" s="247" t="s">
        <v>89</v>
      </c>
    </row>
    <row r="84" spans="1:17" x14ac:dyDescent="0.25">
      <c r="A84" s="247" t="s">
        <v>646</v>
      </c>
      <c r="B84" s="247" t="s">
        <v>25</v>
      </c>
      <c r="C84" s="247" t="s">
        <v>949</v>
      </c>
      <c r="D84" s="247" t="s">
        <v>926</v>
      </c>
      <c r="E84" s="247" t="s">
        <v>964</v>
      </c>
      <c r="F84" s="247" t="s">
        <v>1706</v>
      </c>
      <c r="G84" s="247" t="s">
        <v>965</v>
      </c>
      <c r="H84" s="247"/>
      <c r="I84" s="247" t="s">
        <v>1707</v>
      </c>
      <c r="J84" s="247">
        <v>16</v>
      </c>
      <c r="K84" s="247">
        <v>16</v>
      </c>
      <c r="L84" s="249" t="s">
        <v>936</v>
      </c>
      <c r="M84" s="249" t="s">
        <v>929</v>
      </c>
      <c r="N84" s="248">
        <v>-20</v>
      </c>
      <c r="O84" s="248">
        <v>-35</v>
      </c>
      <c r="P84" s="247" t="s">
        <v>966</v>
      </c>
      <c r="Q84" s="247" t="s">
        <v>90</v>
      </c>
    </row>
    <row r="85" spans="1:17" x14ac:dyDescent="0.25">
      <c r="A85" s="247" t="s">
        <v>646</v>
      </c>
      <c r="B85" s="247" t="s">
        <v>25</v>
      </c>
      <c r="C85" s="247" t="s">
        <v>949</v>
      </c>
      <c r="D85" s="247" t="s">
        <v>926</v>
      </c>
      <c r="E85" s="247" t="s">
        <v>964</v>
      </c>
      <c r="F85" s="247" t="s">
        <v>1706</v>
      </c>
      <c r="G85" s="247" t="s">
        <v>965</v>
      </c>
      <c r="H85" s="247"/>
      <c r="I85" s="247" t="s">
        <v>1707</v>
      </c>
      <c r="J85" s="247">
        <v>16</v>
      </c>
      <c r="K85" s="247">
        <v>16</v>
      </c>
      <c r="L85" s="249" t="s">
        <v>937</v>
      </c>
      <c r="M85" s="249" t="s">
        <v>929</v>
      </c>
      <c r="N85" s="248">
        <v>-20</v>
      </c>
      <c r="O85" s="248">
        <v>-55</v>
      </c>
      <c r="P85" s="247" t="s">
        <v>966</v>
      </c>
      <c r="Q85" s="247" t="s">
        <v>91</v>
      </c>
    </row>
    <row r="86" spans="1:17" x14ac:dyDescent="0.25">
      <c r="A86" s="247" t="s">
        <v>646</v>
      </c>
      <c r="B86" s="247" t="s">
        <v>25</v>
      </c>
      <c r="C86" s="247" t="s">
        <v>949</v>
      </c>
      <c r="D86" s="247" t="s">
        <v>926</v>
      </c>
      <c r="E86" s="247" t="s">
        <v>964</v>
      </c>
      <c r="F86" s="247" t="s">
        <v>1706</v>
      </c>
      <c r="G86" s="247" t="s">
        <v>965</v>
      </c>
      <c r="H86" s="247"/>
      <c r="I86" s="247" t="s">
        <v>1707</v>
      </c>
      <c r="J86" s="247">
        <v>16</v>
      </c>
      <c r="K86" s="247">
        <v>16</v>
      </c>
      <c r="L86" s="249" t="s">
        <v>938</v>
      </c>
      <c r="M86" s="249" t="s">
        <v>929</v>
      </c>
      <c r="N86" s="248">
        <v>-20</v>
      </c>
      <c r="O86" s="248">
        <v>-75</v>
      </c>
      <c r="P86" s="247" t="s">
        <v>966</v>
      </c>
      <c r="Q86" s="247" t="s">
        <v>92</v>
      </c>
    </row>
    <row r="87" spans="1:17" x14ac:dyDescent="0.25">
      <c r="A87" s="247" t="s">
        <v>646</v>
      </c>
      <c r="B87" s="247" t="s">
        <v>25</v>
      </c>
      <c r="C87" s="247" t="s">
        <v>949</v>
      </c>
      <c r="D87" s="247" t="s">
        <v>926</v>
      </c>
      <c r="E87" s="247" t="s">
        <v>964</v>
      </c>
      <c r="F87" s="247" t="s">
        <v>1706</v>
      </c>
      <c r="G87" s="247" t="s">
        <v>965</v>
      </c>
      <c r="H87" s="247"/>
      <c r="I87" s="247" t="s">
        <v>1707</v>
      </c>
      <c r="J87" s="247">
        <v>16</v>
      </c>
      <c r="K87" s="247">
        <v>16</v>
      </c>
      <c r="L87" s="249" t="s">
        <v>939</v>
      </c>
      <c r="M87" s="249" t="s">
        <v>929</v>
      </c>
      <c r="N87" s="248">
        <v>-20</v>
      </c>
      <c r="O87" s="248">
        <v>-95</v>
      </c>
      <c r="P87" s="247" t="s">
        <v>966</v>
      </c>
      <c r="Q87" s="247" t="s">
        <v>93</v>
      </c>
    </row>
    <row r="88" spans="1:17" x14ac:dyDescent="0.25">
      <c r="A88" s="247" t="s">
        <v>646</v>
      </c>
      <c r="B88" s="247" t="s">
        <v>25</v>
      </c>
      <c r="C88" s="247" t="s">
        <v>949</v>
      </c>
      <c r="D88" s="247" t="s">
        <v>926</v>
      </c>
      <c r="E88" s="247" t="s">
        <v>964</v>
      </c>
      <c r="F88" s="247" t="s">
        <v>1706</v>
      </c>
      <c r="G88" s="247" t="s">
        <v>965</v>
      </c>
      <c r="H88" s="247"/>
      <c r="I88" s="247" t="s">
        <v>1707</v>
      </c>
      <c r="J88" s="247">
        <v>16</v>
      </c>
      <c r="K88" s="247">
        <v>16</v>
      </c>
      <c r="L88" s="249" t="s">
        <v>940</v>
      </c>
      <c r="M88" s="249" t="s">
        <v>929</v>
      </c>
      <c r="N88" s="248">
        <v>-20</v>
      </c>
      <c r="O88" s="248">
        <v>-115</v>
      </c>
      <c r="P88" s="247" t="s">
        <v>966</v>
      </c>
      <c r="Q88" s="247" t="s">
        <v>94</v>
      </c>
    </row>
    <row r="89" spans="1:17" x14ac:dyDescent="0.25">
      <c r="A89" s="247" t="s">
        <v>646</v>
      </c>
      <c r="B89" s="247" t="s">
        <v>25</v>
      </c>
      <c r="C89" s="247" t="s">
        <v>949</v>
      </c>
      <c r="D89" s="247" t="s">
        <v>926</v>
      </c>
      <c r="E89" s="247" t="s">
        <v>964</v>
      </c>
      <c r="F89" s="247" t="s">
        <v>1706</v>
      </c>
      <c r="G89" s="247" t="s">
        <v>965</v>
      </c>
      <c r="H89" s="247"/>
      <c r="I89" s="247" t="s">
        <v>1707</v>
      </c>
      <c r="J89" s="247">
        <v>16</v>
      </c>
      <c r="K89" s="247">
        <v>16</v>
      </c>
      <c r="L89" s="249" t="s">
        <v>642</v>
      </c>
      <c r="M89" s="249" t="s">
        <v>929</v>
      </c>
      <c r="N89" s="248">
        <v>-20</v>
      </c>
      <c r="O89" s="248">
        <v>-135</v>
      </c>
      <c r="P89" s="247" t="s">
        <v>966</v>
      </c>
      <c r="Q89" s="247" t="s">
        <v>95</v>
      </c>
    </row>
    <row r="90" spans="1:17" x14ac:dyDescent="0.25">
      <c r="A90" s="247" t="s">
        <v>646</v>
      </c>
      <c r="B90" s="247" t="s">
        <v>25</v>
      </c>
      <c r="C90" s="247" t="s">
        <v>949</v>
      </c>
      <c r="D90" s="247" t="s">
        <v>926</v>
      </c>
      <c r="E90" s="247" t="s">
        <v>967</v>
      </c>
      <c r="F90" s="247" t="s">
        <v>1708</v>
      </c>
      <c r="G90" s="247" t="s">
        <v>968</v>
      </c>
      <c r="H90" s="247"/>
      <c r="I90" s="247" t="s">
        <v>1709</v>
      </c>
      <c r="J90" s="247">
        <v>16</v>
      </c>
      <c r="K90" s="247">
        <v>16</v>
      </c>
      <c r="L90" s="249" t="s">
        <v>646</v>
      </c>
      <c r="M90" s="249" t="s">
        <v>933</v>
      </c>
      <c r="N90" s="248">
        <v>-285</v>
      </c>
      <c r="O90" s="248">
        <v>-570</v>
      </c>
      <c r="P90" s="247" t="s">
        <v>969</v>
      </c>
      <c r="Q90" s="247" t="s">
        <v>84</v>
      </c>
    </row>
    <row r="91" spans="1:17" x14ac:dyDescent="0.25">
      <c r="A91" s="247" t="s">
        <v>646</v>
      </c>
      <c r="B91" s="247" t="s">
        <v>25</v>
      </c>
      <c r="C91" s="247" t="s">
        <v>949</v>
      </c>
      <c r="D91" s="247" t="s">
        <v>926</v>
      </c>
      <c r="E91" s="247" t="s">
        <v>967</v>
      </c>
      <c r="F91" s="247" t="s">
        <v>1708</v>
      </c>
      <c r="G91" s="247" t="s">
        <v>968</v>
      </c>
      <c r="H91" s="247"/>
      <c r="I91" s="247" t="s">
        <v>1709</v>
      </c>
      <c r="J91" s="247">
        <v>16</v>
      </c>
      <c r="K91" s="247">
        <v>16</v>
      </c>
      <c r="L91" s="249" t="s">
        <v>650</v>
      </c>
      <c r="M91" s="249" t="s">
        <v>933</v>
      </c>
      <c r="N91" s="248">
        <v>-269</v>
      </c>
      <c r="O91" s="248">
        <v>-839</v>
      </c>
      <c r="P91" s="247" t="s">
        <v>969</v>
      </c>
      <c r="Q91" s="247" t="s">
        <v>85</v>
      </c>
    </row>
    <row r="92" spans="1:17" x14ac:dyDescent="0.25">
      <c r="A92" s="247" t="s">
        <v>646</v>
      </c>
      <c r="B92" s="247" t="s">
        <v>25</v>
      </c>
      <c r="C92" s="247" t="s">
        <v>949</v>
      </c>
      <c r="D92" s="247" t="s">
        <v>926</v>
      </c>
      <c r="E92" s="247" t="s">
        <v>967</v>
      </c>
      <c r="F92" s="247" t="s">
        <v>1708</v>
      </c>
      <c r="G92" s="247" t="s">
        <v>968</v>
      </c>
      <c r="H92" s="247"/>
      <c r="I92" s="247" t="s">
        <v>1709</v>
      </c>
      <c r="J92" s="247">
        <v>16</v>
      </c>
      <c r="K92" s="247">
        <v>16</v>
      </c>
      <c r="L92" s="249" t="s">
        <v>652</v>
      </c>
      <c r="M92" s="249" t="s">
        <v>933</v>
      </c>
      <c r="N92" s="248">
        <v>-285</v>
      </c>
      <c r="O92" s="248">
        <v>-1124</v>
      </c>
      <c r="P92" s="247" t="s">
        <v>969</v>
      </c>
      <c r="Q92" s="247" t="s">
        <v>86</v>
      </c>
    </row>
    <row r="93" spans="1:17" x14ac:dyDescent="0.25">
      <c r="A93" s="247" t="s">
        <v>646</v>
      </c>
      <c r="B93" s="247" t="s">
        <v>25</v>
      </c>
      <c r="C93" s="247" t="s">
        <v>949</v>
      </c>
      <c r="D93" s="247" t="s">
        <v>926</v>
      </c>
      <c r="E93" s="247" t="s">
        <v>967</v>
      </c>
      <c r="F93" s="247" t="s">
        <v>1708</v>
      </c>
      <c r="G93" s="247" t="s">
        <v>968</v>
      </c>
      <c r="H93" s="247"/>
      <c r="I93" s="247" t="s">
        <v>1709</v>
      </c>
      <c r="J93" s="247">
        <v>16</v>
      </c>
      <c r="K93" s="247">
        <v>16</v>
      </c>
      <c r="L93" s="249" t="s">
        <v>789</v>
      </c>
      <c r="M93" s="249" t="s">
        <v>929</v>
      </c>
      <c r="N93" s="248">
        <v>-270</v>
      </c>
      <c r="O93" s="248">
        <v>-270</v>
      </c>
      <c r="P93" s="247" t="s">
        <v>969</v>
      </c>
      <c r="Q93" s="247" t="s">
        <v>87</v>
      </c>
    </row>
    <row r="94" spans="1:17" x14ac:dyDescent="0.25">
      <c r="A94" s="247" t="s">
        <v>646</v>
      </c>
      <c r="B94" s="247" t="s">
        <v>25</v>
      </c>
      <c r="C94" s="247" t="s">
        <v>949</v>
      </c>
      <c r="D94" s="247" t="s">
        <v>926</v>
      </c>
      <c r="E94" s="247" t="s">
        <v>967</v>
      </c>
      <c r="F94" s="247" t="s">
        <v>1708</v>
      </c>
      <c r="G94" s="247" t="s">
        <v>968</v>
      </c>
      <c r="H94" s="247"/>
      <c r="I94" s="247" t="s">
        <v>1709</v>
      </c>
      <c r="J94" s="247">
        <v>16</v>
      </c>
      <c r="K94" s="247">
        <v>16</v>
      </c>
      <c r="L94" s="249" t="s">
        <v>791</v>
      </c>
      <c r="M94" s="249" t="s">
        <v>929</v>
      </c>
      <c r="N94" s="248">
        <v>-267</v>
      </c>
      <c r="O94" s="248">
        <v>-537</v>
      </c>
      <c r="P94" s="247" t="s">
        <v>969</v>
      </c>
      <c r="Q94" s="247" t="s">
        <v>88</v>
      </c>
    </row>
    <row r="95" spans="1:17" x14ac:dyDescent="0.25">
      <c r="A95" s="247" t="s">
        <v>646</v>
      </c>
      <c r="B95" s="247" t="s">
        <v>25</v>
      </c>
      <c r="C95" s="247" t="s">
        <v>949</v>
      </c>
      <c r="D95" s="247" t="s">
        <v>926</v>
      </c>
      <c r="E95" s="247" t="s">
        <v>967</v>
      </c>
      <c r="F95" s="247" t="s">
        <v>1708</v>
      </c>
      <c r="G95" s="247" t="s">
        <v>968</v>
      </c>
      <c r="H95" s="247"/>
      <c r="I95" s="247" t="s">
        <v>1709</v>
      </c>
      <c r="J95" s="247">
        <v>16</v>
      </c>
      <c r="K95" s="247">
        <v>16</v>
      </c>
      <c r="L95" s="249" t="s">
        <v>935</v>
      </c>
      <c r="M95" s="249" t="s">
        <v>929</v>
      </c>
      <c r="N95" s="248">
        <v>-255</v>
      </c>
      <c r="O95" s="248">
        <v>-792</v>
      </c>
      <c r="P95" s="247" t="s">
        <v>969</v>
      </c>
      <c r="Q95" s="247" t="s">
        <v>89</v>
      </c>
    </row>
    <row r="96" spans="1:17" x14ac:dyDescent="0.25">
      <c r="A96" s="247" t="s">
        <v>646</v>
      </c>
      <c r="B96" s="247" t="s">
        <v>25</v>
      </c>
      <c r="C96" s="247" t="s">
        <v>949</v>
      </c>
      <c r="D96" s="247" t="s">
        <v>926</v>
      </c>
      <c r="E96" s="247" t="s">
        <v>967</v>
      </c>
      <c r="F96" s="247" t="s">
        <v>1708</v>
      </c>
      <c r="G96" s="247" t="s">
        <v>968</v>
      </c>
      <c r="H96" s="247"/>
      <c r="I96" s="247" t="s">
        <v>1709</v>
      </c>
      <c r="J96" s="247">
        <v>16</v>
      </c>
      <c r="K96" s="247">
        <v>16</v>
      </c>
      <c r="L96" s="249" t="s">
        <v>936</v>
      </c>
      <c r="M96" s="249" t="s">
        <v>929</v>
      </c>
      <c r="N96" s="248">
        <v>-255</v>
      </c>
      <c r="O96" s="248">
        <v>-1047</v>
      </c>
      <c r="P96" s="247" t="s">
        <v>969</v>
      </c>
      <c r="Q96" s="247" t="s">
        <v>90</v>
      </c>
    </row>
    <row r="97" spans="1:17" x14ac:dyDescent="0.25">
      <c r="A97" s="247" t="s">
        <v>646</v>
      </c>
      <c r="B97" s="247" t="s">
        <v>25</v>
      </c>
      <c r="C97" s="247" t="s">
        <v>949</v>
      </c>
      <c r="D97" s="247" t="s">
        <v>926</v>
      </c>
      <c r="E97" s="247" t="s">
        <v>967</v>
      </c>
      <c r="F97" s="247" t="s">
        <v>1708</v>
      </c>
      <c r="G97" s="247" t="s">
        <v>968</v>
      </c>
      <c r="H97" s="247"/>
      <c r="I97" s="247" t="s">
        <v>1709</v>
      </c>
      <c r="J97" s="247">
        <v>16</v>
      </c>
      <c r="K97" s="247">
        <v>16</v>
      </c>
      <c r="L97" s="249" t="s">
        <v>937</v>
      </c>
      <c r="M97" s="249" t="s">
        <v>929</v>
      </c>
      <c r="N97" s="248">
        <v>-252</v>
      </c>
      <c r="O97" s="248">
        <v>-1299</v>
      </c>
      <c r="P97" s="247" t="s">
        <v>969</v>
      </c>
      <c r="Q97" s="247" t="s">
        <v>91</v>
      </c>
    </row>
    <row r="98" spans="1:17" x14ac:dyDescent="0.25">
      <c r="A98" s="247" t="s">
        <v>646</v>
      </c>
      <c r="B98" s="247" t="s">
        <v>25</v>
      </c>
      <c r="C98" s="247" t="s">
        <v>949</v>
      </c>
      <c r="D98" s="247" t="s">
        <v>926</v>
      </c>
      <c r="E98" s="247" t="s">
        <v>967</v>
      </c>
      <c r="F98" s="247" t="s">
        <v>1708</v>
      </c>
      <c r="G98" s="247" t="s">
        <v>968</v>
      </c>
      <c r="H98" s="247"/>
      <c r="I98" s="247" t="s">
        <v>1709</v>
      </c>
      <c r="J98" s="247">
        <v>16</v>
      </c>
      <c r="K98" s="247">
        <v>16</v>
      </c>
      <c r="L98" s="249" t="s">
        <v>938</v>
      </c>
      <c r="M98" s="249" t="s">
        <v>929</v>
      </c>
      <c r="N98" s="248">
        <v>-255</v>
      </c>
      <c r="O98" s="248">
        <v>-1554</v>
      </c>
      <c r="P98" s="247" t="s">
        <v>969</v>
      </c>
      <c r="Q98" s="247" t="s">
        <v>92</v>
      </c>
    </row>
    <row r="99" spans="1:17" x14ac:dyDescent="0.25">
      <c r="A99" s="247" t="s">
        <v>646</v>
      </c>
      <c r="B99" s="247" t="s">
        <v>25</v>
      </c>
      <c r="C99" s="247" t="s">
        <v>949</v>
      </c>
      <c r="D99" s="247" t="s">
        <v>926</v>
      </c>
      <c r="E99" s="247" t="s">
        <v>967</v>
      </c>
      <c r="F99" s="247" t="s">
        <v>1708</v>
      </c>
      <c r="G99" s="247" t="s">
        <v>968</v>
      </c>
      <c r="H99" s="247"/>
      <c r="I99" s="247" t="s">
        <v>1709</v>
      </c>
      <c r="J99" s="247">
        <v>16</v>
      </c>
      <c r="K99" s="247">
        <v>16</v>
      </c>
      <c r="L99" s="249" t="s">
        <v>939</v>
      </c>
      <c r="M99" s="249" t="s">
        <v>929</v>
      </c>
      <c r="N99" s="248">
        <v>-258</v>
      </c>
      <c r="O99" s="248">
        <v>-1812</v>
      </c>
      <c r="P99" s="247" t="s">
        <v>969</v>
      </c>
      <c r="Q99" s="247" t="s">
        <v>93</v>
      </c>
    </row>
    <row r="100" spans="1:17" x14ac:dyDescent="0.25">
      <c r="A100" s="247" t="s">
        <v>646</v>
      </c>
      <c r="B100" s="247" t="s">
        <v>25</v>
      </c>
      <c r="C100" s="247" t="s">
        <v>949</v>
      </c>
      <c r="D100" s="247" t="s">
        <v>926</v>
      </c>
      <c r="E100" s="247" t="s">
        <v>967</v>
      </c>
      <c r="F100" s="247" t="s">
        <v>1708</v>
      </c>
      <c r="G100" s="247" t="s">
        <v>968</v>
      </c>
      <c r="H100" s="247"/>
      <c r="I100" s="247" t="s">
        <v>1709</v>
      </c>
      <c r="J100" s="247">
        <v>16</v>
      </c>
      <c r="K100" s="247">
        <v>16</v>
      </c>
      <c r="L100" s="249" t="s">
        <v>940</v>
      </c>
      <c r="M100" s="249" t="s">
        <v>929</v>
      </c>
      <c r="N100" s="248">
        <v>-270</v>
      </c>
      <c r="O100" s="248">
        <v>-2082</v>
      </c>
      <c r="P100" s="247" t="s">
        <v>969</v>
      </c>
      <c r="Q100" s="247" t="s">
        <v>94</v>
      </c>
    </row>
    <row r="101" spans="1:17" x14ac:dyDescent="0.25">
      <c r="A101" s="247" t="s">
        <v>646</v>
      </c>
      <c r="B101" s="247" t="s">
        <v>25</v>
      </c>
      <c r="C101" s="247" t="s">
        <v>949</v>
      </c>
      <c r="D101" s="247" t="s">
        <v>926</v>
      </c>
      <c r="E101" s="247" t="s">
        <v>967</v>
      </c>
      <c r="F101" s="247" t="s">
        <v>1708</v>
      </c>
      <c r="G101" s="247" t="s">
        <v>968</v>
      </c>
      <c r="H101" s="247"/>
      <c r="I101" s="247" t="s">
        <v>1709</v>
      </c>
      <c r="J101" s="247">
        <v>16</v>
      </c>
      <c r="K101" s="247">
        <v>16</v>
      </c>
      <c r="L101" s="249" t="s">
        <v>642</v>
      </c>
      <c r="M101" s="249" t="s">
        <v>929</v>
      </c>
      <c r="N101" s="248">
        <v>-255</v>
      </c>
      <c r="O101" s="248">
        <v>-2337</v>
      </c>
      <c r="P101" s="247" t="s">
        <v>969</v>
      </c>
      <c r="Q101" s="247" t="s">
        <v>95</v>
      </c>
    </row>
    <row r="102" spans="1:17" x14ac:dyDescent="0.25">
      <c r="A102" s="247" t="s">
        <v>646</v>
      </c>
      <c r="B102" s="247" t="s">
        <v>25</v>
      </c>
      <c r="C102" s="247" t="s">
        <v>949</v>
      </c>
      <c r="D102" s="247" t="s">
        <v>926</v>
      </c>
      <c r="E102" s="247" t="s">
        <v>970</v>
      </c>
      <c r="F102" s="247" t="s">
        <v>1710</v>
      </c>
      <c r="G102" s="247" t="s">
        <v>971</v>
      </c>
      <c r="H102" s="247"/>
      <c r="I102" s="247" t="s">
        <v>1711</v>
      </c>
      <c r="J102" s="247">
        <v>18</v>
      </c>
      <c r="K102" s="247">
        <v>18</v>
      </c>
      <c r="L102" s="249" t="s">
        <v>646</v>
      </c>
      <c r="M102" s="249" t="s">
        <v>933</v>
      </c>
      <c r="N102" s="248">
        <v>-109</v>
      </c>
      <c r="O102" s="248">
        <v>-209</v>
      </c>
      <c r="P102" s="247" t="s">
        <v>972</v>
      </c>
      <c r="Q102" s="247" t="s">
        <v>84</v>
      </c>
    </row>
    <row r="103" spans="1:17" x14ac:dyDescent="0.25">
      <c r="A103" s="247" t="s">
        <v>646</v>
      </c>
      <c r="B103" s="247" t="s">
        <v>25</v>
      </c>
      <c r="C103" s="247" t="s">
        <v>949</v>
      </c>
      <c r="D103" s="247" t="s">
        <v>926</v>
      </c>
      <c r="E103" s="247" t="s">
        <v>970</v>
      </c>
      <c r="F103" s="247" t="s">
        <v>1710</v>
      </c>
      <c r="G103" s="247" t="s">
        <v>971</v>
      </c>
      <c r="H103" s="247"/>
      <c r="I103" s="247" t="s">
        <v>1711</v>
      </c>
      <c r="J103" s="247">
        <v>18</v>
      </c>
      <c r="K103" s="247">
        <v>18</v>
      </c>
      <c r="L103" s="249" t="s">
        <v>650</v>
      </c>
      <c r="M103" s="249" t="s">
        <v>933</v>
      </c>
      <c r="N103" s="248">
        <v>-115</v>
      </c>
      <c r="O103" s="248">
        <v>-324</v>
      </c>
      <c r="P103" s="247" t="s">
        <v>972</v>
      </c>
      <c r="Q103" s="247" t="s">
        <v>85</v>
      </c>
    </row>
    <row r="104" spans="1:17" x14ac:dyDescent="0.25">
      <c r="A104" s="247" t="s">
        <v>646</v>
      </c>
      <c r="B104" s="247" t="s">
        <v>25</v>
      </c>
      <c r="C104" s="247" t="s">
        <v>949</v>
      </c>
      <c r="D104" s="247" t="s">
        <v>926</v>
      </c>
      <c r="E104" s="247" t="s">
        <v>970</v>
      </c>
      <c r="F104" s="247" t="s">
        <v>1710</v>
      </c>
      <c r="G104" s="247" t="s">
        <v>971</v>
      </c>
      <c r="H104" s="247"/>
      <c r="I104" s="247" t="s">
        <v>1711</v>
      </c>
      <c r="J104" s="247">
        <v>18</v>
      </c>
      <c r="K104" s="247">
        <v>18</v>
      </c>
      <c r="L104" s="249" t="s">
        <v>652</v>
      </c>
      <c r="M104" s="249" t="s">
        <v>933</v>
      </c>
      <c r="N104" s="248">
        <v>-115</v>
      </c>
      <c r="O104" s="248">
        <v>-439</v>
      </c>
      <c r="P104" s="247" t="s">
        <v>972</v>
      </c>
      <c r="Q104" s="247" t="s">
        <v>86</v>
      </c>
    </row>
    <row r="105" spans="1:17" x14ac:dyDescent="0.25">
      <c r="A105" s="247" t="s">
        <v>646</v>
      </c>
      <c r="B105" s="247" t="s">
        <v>25</v>
      </c>
      <c r="C105" s="247" t="s">
        <v>949</v>
      </c>
      <c r="D105" s="247" t="s">
        <v>926</v>
      </c>
      <c r="E105" s="247" t="s">
        <v>970</v>
      </c>
      <c r="F105" s="247" t="s">
        <v>1710</v>
      </c>
      <c r="G105" s="247" t="s">
        <v>971</v>
      </c>
      <c r="H105" s="247"/>
      <c r="I105" s="247" t="s">
        <v>1711</v>
      </c>
      <c r="J105" s="247">
        <v>18</v>
      </c>
      <c r="K105" s="247">
        <v>18</v>
      </c>
      <c r="L105" s="249" t="s">
        <v>789</v>
      </c>
      <c r="M105" s="249" t="s">
        <v>929</v>
      </c>
      <c r="N105" s="248">
        <v>-115</v>
      </c>
      <c r="O105" s="248">
        <v>-115</v>
      </c>
      <c r="P105" s="247" t="s">
        <v>972</v>
      </c>
      <c r="Q105" s="247" t="s">
        <v>87</v>
      </c>
    </row>
    <row r="106" spans="1:17" x14ac:dyDescent="0.25">
      <c r="A106" s="247" t="s">
        <v>646</v>
      </c>
      <c r="B106" s="247" t="s">
        <v>25</v>
      </c>
      <c r="C106" s="247" t="s">
        <v>949</v>
      </c>
      <c r="D106" s="247" t="s">
        <v>926</v>
      </c>
      <c r="E106" s="247" t="s">
        <v>970</v>
      </c>
      <c r="F106" s="247" t="s">
        <v>1710</v>
      </c>
      <c r="G106" s="247" t="s">
        <v>971</v>
      </c>
      <c r="H106" s="247"/>
      <c r="I106" s="247" t="s">
        <v>1711</v>
      </c>
      <c r="J106" s="247">
        <v>18</v>
      </c>
      <c r="K106" s="247">
        <v>18</v>
      </c>
      <c r="L106" s="249" t="s">
        <v>791</v>
      </c>
      <c r="M106" s="249" t="s">
        <v>929</v>
      </c>
      <c r="N106" s="248">
        <v>-115</v>
      </c>
      <c r="O106" s="248">
        <v>-230</v>
      </c>
      <c r="P106" s="247" t="s">
        <v>972</v>
      </c>
      <c r="Q106" s="247" t="s">
        <v>88</v>
      </c>
    </row>
    <row r="107" spans="1:17" x14ac:dyDescent="0.25">
      <c r="A107" s="247" t="s">
        <v>646</v>
      </c>
      <c r="B107" s="247" t="s">
        <v>25</v>
      </c>
      <c r="C107" s="247" t="s">
        <v>949</v>
      </c>
      <c r="D107" s="247" t="s">
        <v>926</v>
      </c>
      <c r="E107" s="247" t="s">
        <v>970</v>
      </c>
      <c r="F107" s="247" t="s">
        <v>1710</v>
      </c>
      <c r="G107" s="247" t="s">
        <v>971</v>
      </c>
      <c r="H107" s="247"/>
      <c r="I107" s="247" t="s">
        <v>1711</v>
      </c>
      <c r="J107" s="247">
        <v>18</v>
      </c>
      <c r="K107" s="247">
        <v>18</v>
      </c>
      <c r="L107" s="249" t="s">
        <v>935</v>
      </c>
      <c r="M107" s="249" t="s">
        <v>929</v>
      </c>
      <c r="N107" s="248">
        <v>-103</v>
      </c>
      <c r="O107" s="248">
        <v>-333</v>
      </c>
      <c r="P107" s="247" t="s">
        <v>972</v>
      </c>
      <c r="Q107" s="247" t="s">
        <v>89</v>
      </c>
    </row>
    <row r="108" spans="1:17" x14ac:dyDescent="0.25">
      <c r="A108" s="247" t="s">
        <v>646</v>
      </c>
      <c r="B108" s="247" t="s">
        <v>25</v>
      </c>
      <c r="C108" s="247" t="s">
        <v>949</v>
      </c>
      <c r="D108" s="247" t="s">
        <v>926</v>
      </c>
      <c r="E108" s="247" t="s">
        <v>970</v>
      </c>
      <c r="F108" s="247" t="s">
        <v>1710</v>
      </c>
      <c r="G108" s="247" t="s">
        <v>971</v>
      </c>
      <c r="H108" s="247"/>
      <c r="I108" s="247" t="s">
        <v>1711</v>
      </c>
      <c r="J108" s="247">
        <v>18</v>
      </c>
      <c r="K108" s="247">
        <v>18</v>
      </c>
      <c r="L108" s="249" t="s">
        <v>936</v>
      </c>
      <c r="M108" s="249" t="s">
        <v>929</v>
      </c>
      <c r="N108" s="248">
        <v>-115</v>
      </c>
      <c r="O108" s="248">
        <v>-448</v>
      </c>
      <c r="P108" s="247" t="s">
        <v>972</v>
      </c>
      <c r="Q108" s="247" t="s">
        <v>90</v>
      </c>
    </row>
    <row r="109" spans="1:17" x14ac:dyDescent="0.25">
      <c r="A109" s="247" t="s">
        <v>646</v>
      </c>
      <c r="B109" s="247" t="s">
        <v>25</v>
      </c>
      <c r="C109" s="247" t="s">
        <v>949</v>
      </c>
      <c r="D109" s="247" t="s">
        <v>926</v>
      </c>
      <c r="E109" s="247" t="s">
        <v>970</v>
      </c>
      <c r="F109" s="247" t="s">
        <v>1710</v>
      </c>
      <c r="G109" s="247" t="s">
        <v>971</v>
      </c>
      <c r="H109" s="247"/>
      <c r="I109" s="247" t="s">
        <v>1711</v>
      </c>
      <c r="J109" s="247">
        <v>18</v>
      </c>
      <c r="K109" s="247">
        <v>18</v>
      </c>
      <c r="L109" s="249" t="s">
        <v>937</v>
      </c>
      <c r="M109" s="249" t="s">
        <v>929</v>
      </c>
      <c r="N109" s="248">
        <v>-115</v>
      </c>
      <c r="O109" s="248">
        <v>-563</v>
      </c>
      <c r="P109" s="247" t="s">
        <v>972</v>
      </c>
      <c r="Q109" s="247" t="s">
        <v>91</v>
      </c>
    </row>
    <row r="110" spans="1:17" x14ac:dyDescent="0.25">
      <c r="A110" s="247" t="s">
        <v>646</v>
      </c>
      <c r="B110" s="247" t="s">
        <v>25</v>
      </c>
      <c r="C110" s="247" t="s">
        <v>949</v>
      </c>
      <c r="D110" s="247" t="s">
        <v>926</v>
      </c>
      <c r="E110" s="247" t="s">
        <v>970</v>
      </c>
      <c r="F110" s="247" t="s">
        <v>1710</v>
      </c>
      <c r="G110" s="247" t="s">
        <v>971</v>
      </c>
      <c r="H110" s="247"/>
      <c r="I110" s="247" t="s">
        <v>1711</v>
      </c>
      <c r="J110" s="247">
        <v>18</v>
      </c>
      <c r="K110" s="247">
        <v>18</v>
      </c>
      <c r="L110" s="249" t="s">
        <v>938</v>
      </c>
      <c r="M110" s="249" t="s">
        <v>929</v>
      </c>
      <c r="N110" s="248">
        <v>-112</v>
      </c>
      <c r="O110" s="248">
        <v>-675</v>
      </c>
      <c r="P110" s="247" t="s">
        <v>972</v>
      </c>
      <c r="Q110" s="247" t="s">
        <v>92</v>
      </c>
    </row>
    <row r="111" spans="1:17" x14ac:dyDescent="0.25">
      <c r="A111" s="247" t="s">
        <v>646</v>
      </c>
      <c r="B111" s="247" t="s">
        <v>25</v>
      </c>
      <c r="C111" s="247" t="s">
        <v>949</v>
      </c>
      <c r="D111" s="247" t="s">
        <v>926</v>
      </c>
      <c r="E111" s="247" t="s">
        <v>970</v>
      </c>
      <c r="F111" s="247" t="s">
        <v>1710</v>
      </c>
      <c r="G111" s="247" t="s">
        <v>971</v>
      </c>
      <c r="H111" s="247"/>
      <c r="I111" s="247" t="s">
        <v>1711</v>
      </c>
      <c r="J111" s="247">
        <v>18</v>
      </c>
      <c r="K111" s="247">
        <v>18</v>
      </c>
      <c r="L111" s="249" t="s">
        <v>939</v>
      </c>
      <c r="M111" s="249" t="s">
        <v>929</v>
      </c>
      <c r="N111" s="248">
        <v>-100</v>
      </c>
      <c r="O111" s="248">
        <v>-775</v>
      </c>
      <c r="P111" s="247" t="s">
        <v>972</v>
      </c>
      <c r="Q111" s="247" t="s">
        <v>93</v>
      </c>
    </row>
    <row r="112" spans="1:17" x14ac:dyDescent="0.25">
      <c r="A112" s="247" t="s">
        <v>646</v>
      </c>
      <c r="B112" s="247" t="s">
        <v>25</v>
      </c>
      <c r="C112" s="247" t="s">
        <v>949</v>
      </c>
      <c r="D112" s="247" t="s">
        <v>926</v>
      </c>
      <c r="E112" s="247" t="s">
        <v>970</v>
      </c>
      <c r="F112" s="247" t="s">
        <v>1710</v>
      </c>
      <c r="G112" s="247" t="s">
        <v>971</v>
      </c>
      <c r="H112" s="247"/>
      <c r="I112" s="247" t="s">
        <v>1711</v>
      </c>
      <c r="J112" s="247">
        <v>18</v>
      </c>
      <c r="K112" s="247">
        <v>18</v>
      </c>
      <c r="L112" s="249" t="s">
        <v>940</v>
      </c>
      <c r="M112" s="249" t="s">
        <v>929</v>
      </c>
      <c r="N112" s="248">
        <v>-88.75</v>
      </c>
      <c r="O112" s="248">
        <v>-863.75</v>
      </c>
      <c r="P112" s="247" t="s">
        <v>972</v>
      </c>
      <c r="Q112" s="247" t="s">
        <v>94</v>
      </c>
    </row>
    <row r="113" spans="1:17" x14ac:dyDescent="0.25">
      <c r="A113" s="247" t="s">
        <v>646</v>
      </c>
      <c r="B113" s="247" t="s">
        <v>25</v>
      </c>
      <c r="C113" s="247" t="s">
        <v>949</v>
      </c>
      <c r="D113" s="247" t="s">
        <v>926</v>
      </c>
      <c r="E113" s="247" t="s">
        <v>970</v>
      </c>
      <c r="F113" s="247" t="s">
        <v>1710</v>
      </c>
      <c r="G113" s="247" t="s">
        <v>971</v>
      </c>
      <c r="H113" s="247"/>
      <c r="I113" s="247" t="s">
        <v>1711</v>
      </c>
      <c r="J113" s="247">
        <v>18</v>
      </c>
      <c r="K113" s="247">
        <v>18</v>
      </c>
      <c r="L113" s="249" t="s">
        <v>642</v>
      </c>
      <c r="M113" s="249" t="s">
        <v>929</v>
      </c>
      <c r="N113" s="248">
        <v>-115</v>
      </c>
      <c r="O113" s="248">
        <v>-978.75</v>
      </c>
      <c r="P113" s="247" t="s">
        <v>972</v>
      </c>
      <c r="Q113" s="247" t="s">
        <v>95</v>
      </c>
    </row>
    <row r="114" spans="1:17" x14ac:dyDescent="0.25">
      <c r="A114" s="247" t="s">
        <v>646</v>
      </c>
      <c r="B114" s="247" t="s">
        <v>25</v>
      </c>
      <c r="C114" s="247" t="s">
        <v>949</v>
      </c>
      <c r="D114" s="247" t="s">
        <v>926</v>
      </c>
      <c r="E114" s="247" t="s">
        <v>927</v>
      </c>
      <c r="F114" s="247" t="s">
        <v>1712</v>
      </c>
      <c r="G114" s="247" t="s">
        <v>973</v>
      </c>
      <c r="H114" s="247"/>
      <c r="I114" s="247" t="s">
        <v>1713</v>
      </c>
      <c r="J114" s="247">
        <v>7</v>
      </c>
      <c r="K114" s="247">
        <v>7</v>
      </c>
      <c r="L114" s="249" t="s">
        <v>939</v>
      </c>
      <c r="M114" s="249" t="s">
        <v>929</v>
      </c>
      <c r="N114" s="248">
        <v>-18431.919999999998</v>
      </c>
      <c r="O114" s="248">
        <v>-18431.919999999998</v>
      </c>
      <c r="P114" s="247" t="s">
        <v>974</v>
      </c>
      <c r="Q114" s="247" t="s">
        <v>93</v>
      </c>
    </row>
    <row r="115" spans="1:17" x14ac:dyDescent="0.25">
      <c r="A115" s="247" t="s">
        <v>646</v>
      </c>
      <c r="B115" s="247" t="s">
        <v>25</v>
      </c>
      <c r="C115" s="247" t="s">
        <v>949</v>
      </c>
      <c r="D115" s="247" t="s">
        <v>926</v>
      </c>
      <c r="E115" s="247" t="s">
        <v>927</v>
      </c>
      <c r="F115" s="247" t="s">
        <v>1712</v>
      </c>
      <c r="G115" s="247" t="s">
        <v>973</v>
      </c>
      <c r="H115" s="247"/>
      <c r="I115" s="247" t="s">
        <v>1713</v>
      </c>
      <c r="J115" s="247">
        <v>7</v>
      </c>
      <c r="K115" s="247">
        <v>7</v>
      </c>
      <c r="L115" s="249" t="s">
        <v>940</v>
      </c>
      <c r="M115" s="249" t="s">
        <v>929</v>
      </c>
      <c r="N115" s="248">
        <v>0</v>
      </c>
      <c r="O115" s="248">
        <v>-18431.919999999998</v>
      </c>
      <c r="P115" s="247" t="s">
        <v>974</v>
      </c>
      <c r="Q115" s="247" t="s">
        <v>94</v>
      </c>
    </row>
    <row r="116" spans="1:17" x14ac:dyDescent="0.25">
      <c r="A116" s="247" t="s">
        <v>646</v>
      </c>
      <c r="B116" s="247" t="s">
        <v>25</v>
      </c>
      <c r="C116" s="247" t="s">
        <v>949</v>
      </c>
      <c r="D116" s="247" t="s">
        <v>926</v>
      </c>
      <c r="E116" s="247" t="s">
        <v>927</v>
      </c>
      <c r="F116" s="247" t="s">
        <v>1712</v>
      </c>
      <c r="G116" s="247" t="s">
        <v>973</v>
      </c>
      <c r="H116" s="247"/>
      <c r="I116" s="247" t="s">
        <v>1713</v>
      </c>
      <c r="J116" s="247">
        <v>7</v>
      </c>
      <c r="K116" s="247">
        <v>7</v>
      </c>
      <c r="L116" s="249" t="s">
        <v>642</v>
      </c>
      <c r="M116" s="249" t="s">
        <v>929</v>
      </c>
      <c r="N116" s="248">
        <v>0</v>
      </c>
      <c r="O116" s="248">
        <v>-18431.919999999998</v>
      </c>
      <c r="P116" s="247" t="s">
        <v>974</v>
      </c>
      <c r="Q116" s="247" t="s">
        <v>95</v>
      </c>
    </row>
    <row r="117" spans="1:17" x14ac:dyDescent="0.25">
      <c r="A117" s="247" t="s">
        <v>646</v>
      </c>
      <c r="B117" s="247" t="s">
        <v>25</v>
      </c>
      <c r="C117" s="247" t="s">
        <v>949</v>
      </c>
      <c r="D117" s="247" t="s">
        <v>926</v>
      </c>
      <c r="E117" s="247" t="s">
        <v>975</v>
      </c>
      <c r="F117" s="247" t="s">
        <v>1714</v>
      </c>
      <c r="G117" s="247" t="s">
        <v>976</v>
      </c>
      <c r="H117" s="247"/>
      <c r="I117" s="247" t="s">
        <v>1715</v>
      </c>
      <c r="J117" s="247">
        <v>5</v>
      </c>
      <c r="K117" s="247">
        <v>5</v>
      </c>
      <c r="L117" s="249" t="s">
        <v>646</v>
      </c>
      <c r="M117" s="249" t="s">
        <v>933</v>
      </c>
      <c r="N117" s="248">
        <v>-75</v>
      </c>
      <c r="O117" s="248">
        <v>-150</v>
      </c>
      <c r="P117" s="247" t="s">
        <v>977</v>
      </c>
      <c r="Q117" s="247" t="s">
        <v>84</v>
      </c>
    </row>
    <row r="118" spans="1:17" x14ac:dyDescent="0.25">
      <c r="A118" s="247" t="s">
        <v>646</v>
      </c>
      <c r="B118" s="247" t="s">
        <v>25</v>
      </c>
      <c r="C118" s="247" t="s">
        <v>949</v>
      </c>
      <c r="D118" s="247" t="s">
        <v>926</v>
      </c>
      <c r="E118" s="247" t="s">
        <v>975</v>
      </c>
      <c r="F118" s="247" t="s">
        <v>1714</v>
      </c>
      <c r="G118" s="247" t="s">
        <v>976</v>
      </c>
      <c r="H118" s="247"/>
      <c r="I118" s="247" t="s">
        <v>1715</v>
      </c>
      <c r="J118" s="247">
        <v>5</v>
      </c>
      <c r="K118" s="247">
        <v>5</v>
      </c>
      <c r="L118" s="249" t="s">
        <v>650</v>
      </c>
      <c r="M118" s="249" t="s">
        <v>933</v>
      </c>
      <c r="N118" s="248">
        <v>-75</v>
      </c>
      <c r="O118" s="248">
        <v>-225</v>
      </c>
      <c r="P118" s="247" t="s">
        <v>977</v>
      </c>
      <c r="Q118" s="247" t="s">
        <v>85</v>
      </c>
    </row>
    <row r="119" spans="1:17" x14ac:dyDescent="0.25">
      <c r="A119" s="247" t="s">
        <v>646</v>
      </c>
      <c r="B119" s="247" t="s">
        <v>25</v>
      </c>
      <c r="C119" s="247" t="s">
        <v>949</v>
      </c>
      <c r="D119" s="247" t="s">
        <v>926</v>
      </c>
      <c r="E119" s="247" t="s">
        <v>975</v>
      </c>
      <c r="F119" s="247" t="s">
        <v>1714</v>
      </c>
      <c r="G119" s="247" t="s">
        <v>976</v>
      </c>
      <c r="H119" s="247"/>
      <c r="I119" s="247" t="s">
        <v>1715</v>
      </c>
      <c r="J119" s="247">
        <v>5</v>
      </c>
      <c r="K119" s="247">
        <v>5</v>
      </c>
      <c r="L119" s="249" t="s">
        <v>652</v>
      </c>
      <c r="M119" s="249" t="s">
        <v>933</v>
      </c>
      <c r="N119" s="248">
        <v>-144.88</v>
      </c>
      <c r="O119" s="248">
        <v>-369.88</v>
      </c>
      <c r="P119" s="247" t="s">
        <v>977</v>
      </c>
      <c r="Q119" s="247" t="s">
        <v>86</v>
      </c>
    </row>
    <row r="120" spans="1:17" x14ac:dyDescent="0.25">
      <c r="A120" s="247" t="s">
        <v>646</v>
      </c>
      <c r="B120" s="247" t="s">
        <v>25</v>
      </c>
      <c r="C120" s="247" t="s">
        <v>949</v>
      </c>
      <c r="D120" s="247" t="s">
        <v>926</v>
      </c>
      <c r="E120" s="247" t="s">
        <v>975</v>
      </c>
      <c r="F120" s="247" t="s">
        <v>1714</v>
      </c>
      <c r="G120" s="247" t="s">
        <v>976</v>
      </c>
      <c r="H120" s="247"/>
      <c r="I120" s="247" t="s">
        <v>1715</v>
      </c>
      <c r="J120" s="247">
        <v>5</v>
      </c>
      <c r="K120" s="247">
        <v>5</v>
      </c>
      <c r="L120" s="249" t="s">
        <v>789</v>
      </c>
      <c r="M120" s="249" t="s">
        <v>929</v>
      </c>
      <c r="N120" s="248">
        <v>-76</v>
      </c>
      <c r="O120" s="248">
        <v>-76</v>
      </c>
      <c r="P120" s="247" t="s">
        <v>977</v>
      </c>
      <c r="Q120" s="247" t="s">
        <v>87</v>
      </c>
    </row>
    <row r="121" spans="1:17" x14ac:dyDescent="0.25">
      <c r="A121" s="247" t="s">
        <v>646</v>
      </c>
      <c r="B121" s="247" t="s">
        <v>25</v>
      </c>
      <c r="C121" s="247" t="s">
        <v>949</v>
      </c>
      <c r="D121" s="247" t="s">
        <v>926</v>
      </c>
      <c r="E121" s="247" t="s">
        <v>975</v>
      </c>
      <c r="F121" s="247" t="s">
        <v>1714</v>
      </c>
      <c r="G121" s="247" t="s">
        <v>976</v>
      </c>
      <c r="H121" s="247"/>
      <c r="I121" s="247" t="s">
        <v>1715</v>
      </c>
      <c r="J121" s="247">
        <v>5</v>
      </c>
      <c r="K121" s="247">
        <v>5</v>
      </c>
      <c r="L121" s="249" t="s">
        <v>791</v>
      </c>
      <c r="M121" s="249" t="s">
        <v>929</v>
      </c>
      <c r="N121" s="248">
        <v>-4.12</v>
      </c>
      <c r="O121" s="248">
        <v>-80.12</v>
      </c>
      <c r="P121" s="247" t="s">
        <v>977</v>
      </c>
      <c r="Q121" s="247" t="s">
        <v>88</v>
      </c>
    </row>
    <row r="122" spans="1:17" x14ac:dyDescent="0.25">
      <c r="A122" s="247" t="s">
        <v>646</v>
      </c>
      <c r="B122" s="247" t="s">
        <v>25</v>
      </c>
      <c r="C122" s="247" t="s">
        <v>949</v>
      </c>
      <c r="D122" s="247" t="s">
        <v>926</v>
      </c>
      <c r="E122" s="247" t="s">
        <v>975</v>
      </c>
      <c r="F122" s="247" t="s">
        <v>1714</v>
      </c>
      <c r="G122" s="247" t="s">
        <v>976</v>
      </c>
      <c r="H122" s="247"/>
      <c r="I122" s="247" t="s">
        <v>1715</v>
      </c>
      <c r="J122" s="247">
        <v>5</v>
      </c>
      <c r="K122" s="247">
        <v>5</v>
      </c>
      <c r="L122" s="249" t="s">
        <v>935</v>
      </c>
      <c r="M122" s="249" t="s">
        <v>929</v>
      </c>
      <c r="N122" s="248">
        <v>-75</v>
      </c>
      <c r="O122" s="248">
        <v>-155.12</v>
      </c>
      <c r="P122" s="247" t="s">
        <v>977</v>
      </c>
      <c r="Q122" s="247" t="s">
        <v>89</v>
      </c>
    </row>
    <row r="123" spans="1:17" x14ac:dyDescent="0.25">
      <c r="A123" s="247" t="s">
        <v>646</v>
      </c>
      <c r="B123" s="247" t="s">
        <v>25</v>
      </c>
      <c r="C123" s="247" t="s">
        <v>949</v>
      </c>
      <c r="D123" s="247" t="s">
        <v>926</v>
      </c>
      <c r="E123" s="247" t="s">
        <v>975</v>
      </c>
      <c r="F123" s="247" t="s">
        <v>1714</v>
      </c>
      <c r="G123" s="247" t="s">
        <v>976</v>
      </c>
      <c r="H123" s="247"/>
      <c r="I123" s="247" t="s">
        <v>1715</v>
      </c>
      <c r="J123" s="247">
        <v>5</v>
      </c>
      <c r="K123" s="247">
        <v>5</v>
      </c>
      <c r="L123" s="249" t="s">
        <v>936</v>
      </c>
      <c r="M123" s="249" t="s">
        <v>929</v>
      </c>
      <c r="N123" s="248">
        <v>-75</v>
      </c>
      <c r="O123" s="248">
        <v>-230.12</v>
      </c>
      <c r="P123" s="247" t="s">
        <v>977</v>
      </c>
      <c r="Q123" s="247" t="s">
        <v>90</v>
      </c>
    </row>
    <row r="124" spans="1:17" x14ac:dyDescent="0.25">
      <c r="A124" s="247" t="s">
        <v>646</v>
      </c>
      <c r="B124" s="247" t="s">
        <v>25</v>
      </c>
      <c r="C124" s="247" t="s">
        <v>949</v>
      </c>
      <c r="D124" s="247" t="s">
        <v>926</v>
      </c>
      <c r="E124" s="247" t="s">
        <v>975</v>
      </c>
      <c r="F124" s="247" t="s">
        <v>1714</v>
      </c>
      <c r="G124" s="247" t="s">
        <v>976</v>
      </c>
      <c r="H124" s="247"/>
      <c r="I124" s="247" t="s">
        <v>1715</v>
      </c>
      <c r="J124" s="247">
        <v>5</v>
      </c>
      <c r="K124" s="247">
        <v>5</v>
      </c>
      <c r="L124" s="249" t="s">
        <v>937</v>
      </c>
      <c r="M124" s="249" t="s">
        <v>929</v>
      </c>
      <c r="N124" s="248">
        <v>-75</v>
      </c>
      <c r="O124" s="248">
        <v>-305.12</v>
      </c>
      <c r="P124" s="247" t="s">
        <v>977</v>
      </c>
      <c r="Q124" s="247" t="s">
        <v>91</v>
      </c>
    </row>
    <row r="125" spans="1:17" x14ac:dyDescent="0.25">
      <c r="A125" s="247" t="s">
        <v>646</v>
      </c>
      <c r="B125" s="247" t="s">
        <v>25</v>
      </c>
      <c r="C125" s="247" t="s">
        <v>949</v>
      </c>
      <c r="D125" s="247" t="s">
        <v>926</v>
      </c>
      <c r="E125" s="247" t="s">
        <v>975</v>
      </c>
      <c r="F125" s="247" t="s">
        <v>1714</v>
      </c>
      <c r="G125" s="247" t="s">
        <v>976</v>
      </c>
      <c r="H125" s="247"/>
      <c r="I125" s="247" t="s">
        <v>1715</v>
      </c>
      <c r="J125" s="247">
        <v>5</v>
      </c>
      <c r="K125" s="247">
        <v>5</v>
      </c>
      <c r="L125" s="249" t="s">
        <v>938</v>
      </c>
      <c r="M125" s="249" t="s">
        <v>929</v>
      </c>
      <c r="N125" s="248">
        <v>-75</v>
      </c>
      <c r="O125" s="248">
        <v>-380.12</v>
      </c>
      <c r="P125" s="247" t="s">
        <v>977</v>
      </c>
      <c r="Q125" s="247" t="s">
        <v>92</v>
      </c>
    </row>
    <row r="126" spans="1:17" x14ac:dyDescent="0.25">
      <c r="A126" s="247" t="s">
        <v>646</v>
      </c>
      <c r="B126" s="247" t="s">
        <v>25</v>
      </c>
      <c r="C126" s="247" t="s">
        <v>949</v>
      </c>
      <c r="D126" s="247" t="s">
        <v>926</v>
      </c>
      <c r="E126" s="247" t="s">
        <v>975</v>
      </c>
      <c r="F126" s="247" t="s">
        <v>1714</v>
      </c>
      <c r="G126" s="247" t="s">
        <v>976</v>
      </c>
      <c r="H126" s="247"/>
      <c r="I126" s="247" t="s">
        <v>1715</v>
      </c>
      <c r="J126" s="247">
        <v>5</v>
      </c>
      <c r="K126" s="247">
        <v>5</v>
      </c>
      <c r="L126" s="249" t="s">
        <v>939</v>
      </c>
      <c r="M126" s="249" t="s">
        <v>929</v>
      </c>
      <c r="N126" s="248">
        <v>-75</v>
      </c>
      <c r="O126" s="248">
        <v>-455.12</v>
      </c>
      <c r="P126" s="247" t="s">
        <v>977</v>
      </c>
      <c r="Q126" s="247" t="s">
        <v>93</v>
      </c>
    </row>
    <row r="127" spans="1:17" x14ac:dyDescent="0.25">
      <c r="A127" s="247" t="s">
        <v>646</v>
      </c>
      <c r="B127" s="247" t="s">
        <v>25</v>
      </c>
      <c r="C127" s="247" t="s">
        <v>949</v>
      </c>
      <c r="D127" s="247" t="s">
        <v>926</v>
      </c>
      <c r="E127" s="247" t="s">
        <v>975</v>
      </c>
      <c r="F127" s="247" t="s">
        <v>1714</v>
      </c>
      <c r="G127" s="247" t="s">
        <v>976</v>
      </c>
      <c r="H127" s="247"/>
      <c r="I127" s="247" t="s">
        <v>1715</v>
      </c>
      <c r="J127" s="247">
        <v>5</v>
      </c>
      <c r="K127" s="247">
        <v>5</v>
      </c>
      <c r="L127" s="249" t="s">
        <v>940</v>
      </c>
      <c r="M127" s="249" t="s">
        <v>929</v>
      </c>
      <c r="N127" s="248">
        <v>-75</v>
      </c>
      <c r="O127" s="248">
        <v>-530.12</v>
      </c>
      <c r="P127" s="247" t="s">
        <v>977</v>
      </c>
      <c r="Q127" s="247" t="s">
        <v>94</v>
      </c>
    </row>
    <row r="128" spans="1:17" x14ac:dyDescent="0.25">
      <c r="A128" s="247" t="s">
        <v>646</v>
      </c>
      <c r="B128" s="247" t="s">
        <v>25</v>
      </c>
      <c r="C128" s="247" t="s">
        <v>949</v>
      </c>
      <c r="D128" s="247" t="s">
        <v>926</v>
      </c>
      <c r="E128" s="247" t="s">
        <v>975</v>
      </c>
      <c r="F128" s="247" t="s">
        <v>1714</v>
      </c>
      <c r="G128" s="247" t="s">
        <v>976</v>
      </c>
      <c r="H128" s="247"/>
      <c r="I128" s="247" t="s">
        <v>1715</v>
      </c>
      <c r="J128" s="247">
        <v>5</v>
      </c>
      <c r="K128" s="247">
        <v>5</v>
      </c>
      <c r="L128" s="249" t="s">
        <v>642</v>
      </c>
      <c r="M128" s="249" t="s">
        <v>929</v>
      </c>
      <c r="N128" s="248">
        <v>-75</v>
      </c>
      <c r="O128" s="248">
        <v>-605.12</v>
      </c>
      <c r="P128" s="247" t="s">
        <v>977</v>
      </c>
      <c r="Q128" s="247" t="s">
        <v>95</v>
      </c>
    </row>
    <row r="129" spans="1:17" x14ac:dyDescent="0.25">
      <c r="A129" s="247" t="s">
        <v>646</v>
      </c>
      <c r="B129" s="247" t="s">
        <v>25</v>
      </c>
      <c r="C129" s="247" t="s">
        <v>949</v>
      </c>
      <c r="D129" s="247" t="s">
        <v>926</v>
      </c>
      <c r="E129" s="247" t="s">
        <v>978</v>
      </c>
      <c r="F129" s="247" t="s">
        <v>1716</v>
      </c>
      <c r="G129" s="247" t="s">
        <v>979</v>
      </c>
      <c r="H129" s="247"/>
      <c r="I129" s="247" t="s">
        <v>1717</v>
      </c>
      <c r="J129" s="247">
        <v>5</v>
      </c>
      <c r="K129" s="247">
        <v>5</v>
      </c>
      <c r="L129" s="249" t="s">
        <v>940</v>
      </c>
      <c r="M129" s="249" t="s">
        <v>929</v>
      </c>
      <c r="N129" s="248">
        <v>105.75</v>
      </c>
      <c r="O129" s="248">
        <v>105.75</v>
      </c>
      <c r="P129" s="247" t="s">
        <v>980</v>
      </c>
      <c r="Q129" s="247" t="s">
        <v>94</v>
      </c>
    </row>
    <row r="130" spans="1:17" x14ac:dyDescent="0.25">
      <c r="A130" s="247" t="s">
        <v>646</v>
      </c>
      <c r="B130" s="247" t="s">
        <v>25</v>
      </c>
      <c r="C130" s="247" t="s">
        <v>949</v>
      </c>
      <c r="D130" s="247" t="s">
        <v>926</v>
      </c>
      <c r="E130" s="247" t="s">
        <v>978</v>
      </c>
      <c r="F130" s="247" t="s">
        <v>1716</v>
      </c>
      <c r="G130" s="247" t="s">
        <v>979</v>
      </c>
      <c r="H130" s="247"/>
      <c r="I130" s="247" t="s">
        <v>1717</v>
      </c>
      <c r="J130" s="247">
        <v>5</v>
      </c>
      <c r="K130" s="247">
        <v>5</v>
      </c>
      <c r="L130" s="249" t="s">
        <v>642</v>
      </c>
      <c r="M130" s="249" t="s">
        <v>929</v>
      </c>
      <c r="N130" s="248">
        <v>0</v>
      </c>
      <c r="O130" s="248">
        <v>105.75</v>
      </c>
      <c r="P130" s="247" t="s">
        <v>980</v>
      </c>
      <c r="Q130" s="247" t="s">
        <v>95</v>
      </c>
    </row>
    <row r="131" spans="1:17" x14ac:dyDescent="0.25">
      <c r="A131" s="247" t="s">
        <v>646</v>
      </c>
      <c r="B131" s="247" t="s">
        <v>25</v>
      </c>
      <c r="C131" s="247" t="s">
        <v>949</v>
      </c>
      <c r="D131" s="247" t="s">
        <v>735</v>
      </c>
      <c r="E131" s="247" t="s">
        <v>981</v>
      </c>
      <c r="F131" s="247" t="s">
        <v>1718</v>
      </c>
      <c r="G131" s="247" t="s">
        <v>982</v>
      </c>
      <c r="H131" s="247"/>
      <c r="I131" s="247" t="s">
        <v>1719</v>
      </c>
      <c r="J131" s="247">
        <v>18</v>
      </c>
      <c r="K131" s="247">
        <v>18</v>
      </c>
      <c r="L131" s="249" t="s">
        <v>646</v>
      </c>
      <c r="M131" s="249" t="s">
        <v>933</v>
      </c>
      <c r="N131" s="248">
        <v>-60</v>
      </c>
      <c r="O131" s="248">
        <v>-195</v>
      </c>
      <c r="P131" s="247" t="s">
        <v>983</v>
      </c>
      <c r="Q131" s="247" t="s">
        <v>84</v>
      </c>
    </row>
    <row r="132" spans="1:17" x14ac:dyDescent="0.25">
      <c r="A132" s="247" t="s">
        <v>646</v>
      </c>
      <c r="B132" s="247" t="s">
        <v>25</v>
      </c>
      <c r="C132" s="247" t="s">
        <v>949</v>
      </c>
      <c r="D132" s="247" t="s">
        <v>735</v>
      </c>
      <c r="E132" s="247" t="s">
        <v>981</v>
      </c>
      <c r="F132" s="247" t="s">
        <v>1718</v>
      </c>
      <c r="G132" s="247" t="s">
        <v>982</v>
      </c>
      <c r="H132" s="247"/>
      <c r="I132" s="247" t="s">
        <v>1719</v>
      </c>
      <c r="J132" s="247">
        <v>18</v>
      </c>
      <c r="K132" s="247">
        <v>18</v>
      </c>
      <c r="L132" s="249" t="s">
        <v>650</v>
      </c>
      <c r="M132" s="249" t="s">
        <v>933</v>
      </c>
      <c r="N132" s="248">
        <v>-60</v>
      </c>
      <c r="O132" s="248">
        <v>-255</v>
      </c>
      <c r="P132" s="247" t="s">
        <v>983</v>
      </c>
      <c r="Q132" s="247" t="s">
        <v>85</v>
      </c>
    </row>
    <row r="133" spans="1:17" x14ac:dyDescent="0.25">
      <c r="A133" s="247" t="s">
        <v>646</v>
      </c>
      <c r="B133" s="247" t="s">
        <v>25</v>
      </c>
      <c r="C133" s="247" t="s">
        <v>949</v>
      </c>
      <c r="D133" s="247" t="s">
        <v>735</v>
      </c>
      <c r="E133" s="247" t="s">
        <v>981</v>
      </c>
      <c r="F133" s="247" t="s">
        <v>1718</v>
      </c>
      <c r="G133" s="247" t="s">
        <v>982</v>
      </c>
      <c r="H133" s="247"/>
      <c r="I133" s="247" t="s">
        <v>1719</v>
      </c>
      <c r="J133" s="247">
        <v>18</v>
      </c>
      <c r="K133" s="247">
        <v>18</v>
      </c>
      <c r="L133" s="249" t="s">
        <v>652</v>
      </c>
      <c r="M133" s="249" t="s">
        <v>933</v>
      </c>
      <c r="N133" s="248">
        <v>-60</v>
      </c>
      <c r="O133" s="248">
        <v>-315</v>
      </c>
      <c r="P133" s="247" t="s">
        <v>983</v>
      </c>
      <c r="Q133" s="247" t="s">
        <v>86</v>
      </c>
    </row>
    <row r="134" spans="1:17" x14ac:dyDescent="0.25">
      <c r="A134" s="247" t="s">
        <v>646</v>
      </c>
      <c r="B134" s="247" t="s">
        <v>25</v>
      </c>
      <c r="C134" s="247" t="s">
        <v>949</v>
      </c>
      <c r="D134" s="247" t="s">
        <v>735</v>
      </c>
      <c r="E134" s="247" t="s">
        <v>981</v>
      </c>
      <c r="F134" s="247" t="s">
        <v>1718</v>
      </c>
      <c r="G134" s="247" t="s">
        <v>982</v>
      </c>
      <c r="H134" s="247"/>
      <c r="I134" s="247" t="s">
        <v>1719</v>
      </c>
      <c r="J134" s="247">
        <v>18</v>
      </c>
      <c r="K134" s="247">
        <v>18</v>
      </c>
      <c r="L134" s="249" t="s">
        <v>789</v>
      </c>
      <c r="M134" s="249" t="s">
        <v>929</v>
      </c>
      <c r="N134" s="248">
        <v>-60</v>
      </c>
      <c r="O134" s="248">
        <v>-60</v>
      </c>
      <c r="P134" s="247" t="s">
        <v>983</v>
      </c>
      <c r="Q134" s="247" t="s">
        <v>87</v>
      </c>
    </row>
    <row r="135" spans="1:17" x14ac:dyDescent="0.25">
      <c r="A135" s="247" t="s">
        <v>646</v>
      </c>
      <c r="B135" s="247" t="s">
        <v>25</v>
      </c>
      <c r="C135" s="247" t="s">
        <v>949</v>
      </c>
      <c r="D135" s="247" t="s">
        <v>735</v>
      </c>
      <c r="E135" s="247" t="s">
        <v>981</v>
      </c>
      <c r="F135" s="247" t="s">
        <v>1718</v>
      </c>
      <c r="G135" s="247" t="s">
        <v>982</v>
      </c>
      <c r="H135" s="247"/>
      <c r="I135" s="247" t="s">
        <v>1719</v>
      </c>
      <c r="J135" s="247">
        <v>18</v>
      </c>
      <c r="K135" s="247">
        <v>18</v>
      </c>
      <c r="L135" s="249" t="s">
        <v>791</v>
      </c>
      <c r="M135" s="249" t="s">
        <v>929</v>
      </c>
      <c r="N135" s="248">
        <v>-63</v>
      </c>
      <c r="O135" s="248">
        <v>-123</v>
      </c>
      <c r="P135" s="247" t="s">
        <v>983</v>
      </c>
      <c r="Q135" s="247" t="s">
        <v>88</v>
      </c>
    </row>
    <row r="136" spans="1:17" x14ac:dyDescent="0.25">
      <c r="A136" s="247" t="s">
        <v>646</v>
      </c>
      <c r="B136" s="247" t="s">
        <v>25</v>
      </c>
      <c r="C136" s="247" t="s">
        <v>949</v>
      </c>
      <c r="D136" s="247" t="s">
        <v>735</v>
      </c>
      <c r="E136" s="247" t="s">
        <v>981</v>
      </c>
      <c r="F136" s="247" t="s">
        <v>1718</v>
      </c>
      <c r="G136" s="247" t="s">
        <v>982</v>
      </c>
      <c r="H136" s="247"/>
      <c r="I136" s="247" t="s">
        <v>1719</v>
      </c>
      <c r="J136" s="247">
        <v>18</v>
      </c>
      <c r="K136" s="247">
        <v>18</v>
      </c>
      <c r="L136" s="249" t="s">
        <v>935</v>
      </c>
      <c r="M136" s="249" t="s">
        <v>929</v>
      </c>
      <c r="N136" s="248">
        <v>-60</v>
      </c>
      <c r="O136" s="248">
        <v>-183</v>
      </c>
      <c r="P136" s="247" t="s">
        <v>983</v>
      </c>
      <c r="Q136" s="247" t="s">
        <v>89</v>
      </c>
    </row>
    <row r="137" spans="1:17" x14ac:dyDescent="0.25">
      <c r="A137" s="247" t="s">
        <v>646</v>
      </c>
      <c r="B137" s="247" t="s">
        <v>25</v>
      </c>
      <c r="C137" s="247" t="s">
        <v>949</v>
      </c>
      <c r="D137" s="247" t="s">
        <v>735</v>
      </c>
      <c r="E137" s="247" t="s">
        <v>981</v>
      </c>
      <c r="F137" s="247" t="s">
        <v>1718</v>
      </c>
      <c r="G137" s="247" t="s">
        <v>982</v>
      </c>
      <c r="H137" s="247"/>
      <c r="I137" s="247" t="s">
        <v>1719</v>
      </c>
      <c r="J137" s="247">
        <v>18</v>
      </c>
      <c r="K137" s="247">
        <v>18</v>
      </c>
      <c r="L137" s="249" t="s">
        <v>936</v>
      </c>
      <c r="M137" s="249" t="s">
        <v>929</v>
      </c>
      <c r="N137" s="248">
        <v>-60</v>
      </c>
      <c r="O137" s="248">
        <v>-243</v>
      </c>
      <c r="P137" s="247" t="s">
        <v>983</v>
      </c>
      <c r="Q137" s="247" t="s">
        <v>90</v>
      </c>
    </row>
    <row r="138" spans="1:17" x14ac:dyDescent="0.25">
      <c r="A138" s="247" t="s">
        <v>646</v>
      </c>
      <c r="B138" s="247" t="s">
        <v>25</v>
      </c>
      <c r="C138" s="247" t="s">
        <v>949</v>
      </c>
      <c r="D138" s="247" t="s">
        <v>735</v>
      </c>
      <c r="E138" s="247" t="s">
        <v>981</v>
      </c>
      <c r="F138" s="247" t="s">
        <v>1718</v>
      </c>
      <c r="G138" s="247" t="s">
        <v>982</v>
      </c>
      <c r="H138" s="247"/>
      <c r="I138" s="247" t="s">
        <v>1719</v>
      </c>
      <c r="J138" s="247">
        <v>18</v>
      </c>
      <c r="K138" s="247">
        <v>18</v>
      </c>
      <c r="L138" s="249" t="s">
        <v>937</v>
      </c>
      <c r="M138" s="249" t="s">
        <v>929</v>
      </c>
      <c r="N138" s="248">
        <v>-60</v>
      </c>
      <c r="O138" s="248">
        <v>-303</v>
      </c>
      <c r="P138" s="247" t="s">
        <v>983</v>
      </c>
      <c r="Q138" s="247" t="s">
        <v>91</v>
      </c>
    </row>
    <row r="139" spans="1:17" x14ac:dyDescent="0.25">
      <c r="A139" s="247" t="s">
        <v>646</v>
      </c>
      <c r="B139" s="247" t="s">
        <v>25</v>
      </c>
      <c r="C139" s="247" t="s">
        <v>949</v>
      </c>
      <c r="D139" s="247" t="s">
        <v>735</v>
      </c>
      <c r="E139" s="247" t="s">
        <v>981</v>
      </c>
      <c r="F139" s="247" t="s">
        <v>1718</v>
      </c>
      <c r="G139" s="247" t="s">
        <v>982</v>
      </c>
      <c r="H139" s="247"/>
      <c r="I139" s="247" t="s">
        <v>1719</v>
      </c>
      <c r="J139" s="247">
        <v>18</v>
      </c>
      <c r="K139" s="247">
        <v>18</v>
      </c>
      <c r="L139" s="249" t="s">
        <v>938</v>
      </c>
      <c r="M139" s="249" t="s">
        <v>929</v>
      </c>
      <c r="N139" s="248">
        <v>-60</v>
      </c>
      <c r="O139" s="248">
        <v>-363</v>
      </c>
      <c r="P139" s="247" t="s">
        <v>983</v>
      </c>
      <c r="Q139" s="247" t="s">
        <v>92</v>
      </c>
    </row>
    <row r="140" spans="1:17" x14ac:dyDescent="0.25">
      <c r="A140" s="247" t="s">
        <v>646</v>
      </c>
      <c r="B140" s="247" t="s">
        <v>25</v>
      </c>
      <c r="C140" s="247" t="s">
        <v>949</v>
      </c>
      <c r="D140" s="247" t="s">
        <v>735</v>
      </c>
      <c r="E140" s="247" t="s">
        <v>981</v>
      </c>
      <c r="F140" s="247" t="s">
        <v>1718</v>
      </c>
      <c r="G140" s="247" t="s">
        <v>982</v>
      </c>
      <c r="H140" s="247"/>
      <c r="I140" s="247" t="s">
        <v>1719</v>
      </c>
      <c r="J140" s="247">
        <v>18</v>
      </c>
      <c r="K140" s="247">
        <v>18</v>
      </c>
      <c r="L140" s="249" t="s">
        <v>939</v>
      </c>
      <c r="M140" s="249" t="s">
        <v>929</v>
      </c>
      <c r="N140" s="248">
        <v>-60</v>
      </c>
      <c r="O140" s="248">
        <v>-423</v>
      </c>
      <c r="P140" s="247" t="s">
        <v>983</v>
      </c>
      <c r="Q140" s="247" t="s">
        <v>93</v>
      </c>
    </row>
    <row r="141" spans="1:17" x14ac:dyDescent="0.25">
      <c r="A141" s="247" t="s">
        <v>646</v>
      </c>
      <c r="B141" s="247" t="s">
        <v>25</v>
      </c>
      <c r="C141" s="247" t="s">
        <v>949</v>
      </c>
      <c r="D141" s="247" t="s">
        <v>735</v>
      </c>
      <c r="E141" s="247" t="s">
        <v>981</v>
      </c>
      <c r="F141" s="247" t="s">
        <v>1718</v>
      </c>
      <c r="G141" s="247" t="s">
        <v>982</v>
      </c>
      <c r="H141" s="247"/>
      <c r="I141" s="247" t="s">
        <v>1719</v>
      </c>
      <c r="J141" s="247">
        <v>18</v>
      </c>
      <c r="K141" s="247">
        <v>18</v>
      </c>
      <c r="L141" s="249" t="s">
        <v>940</v>
      </c>
      <c r="M141" s="249" t="s">
        <v>929</v>
      </c>
      <c r="N141" s="248">
        <v>-60</v>
      </c>
      <c r="O141" s="248">
        <v>-483</v>
      </c>
      <c r="P141" s="247" t="s">
        <v>983</v>
      </c>
      <c r="Q141" s="247" t="s">
        <v>94</v>
      </c>
    </row>
    <row r="142" spans="1:17" x14ac:dyDescent="0.25">
      <c r="A142" s="247" t="s">
        <v>646</v>
      </c>
      <c r="B142" s="247" t="s">
        <v>25</v>
      </c>
      <c r="C142" s="247" t="s">
        <v>949</v>
      </c>
      <c r="D142" s="247" t="s">
        <v>735</v>
      </c>
      <c r="E142" s="247" t="s">
        <v>981</v>
      </c>
      <c r="F142" s="247" t="s">
        <v>1718</v>
      </c>
      <c r="G142" s="247" t="s">
        <v>982</v>
      </c>
      <c r="H142" s="247"/>
      <c r="I142" s="247" t="s">
        <v>1719</v>
      </c>
      <c r="J142" s="247">
        <v>18</v>
      </c>
      <c r="K142" s="247">
        <v>18</v>
      </c>
      <c r="L142" s="249" t="s">
        <v>642</v>
      </c>
      <c r="M142" s="249" t="s">
        <v>929</v>
      </c>
      <c r="N142" s="248">
        <v>-60</v>
      </c>
      <c r="O142" s="248">
        <v>-543</v>
      </c>
      <c r="P142" s="247" t="s">
        <v>983</v>
      </c>
      <c r="Q142" s="247" t="s">
        <v>95</v>
      </c>
    </row>
    <row r="143" spans="1:17" x14ac:dyDescent="0.25">
      <c r="A143" s="247" t="s">
        <v>646</v>
      </c>
      <c r="B143" s="247" t="s">
        <v>25</v>
      </c>
      <c r="C143" s="247" t="s">
        <v>984</v>
      </c>
      <c r="D143" s="247" t="s">
        <v>926</v>
      </c>
      <c r="E143" s="247" t="s">
        <v>926</v>
      </c>
      <c r="F143" s="247" t="s">
        <v>1720</v>
      </c>
      <c r="G143" s="247" t="s">
        <v>985</v>
      </c>
      <c r="H143" s="247"/>
      <c r="I143" s="247" t="s">
        <v>1721</v>
      </c>
      <c r="J143" s="247">
        <v>21</v>
      </c>
      <c r="K143" s="247">
        <v>21</v>
      </c>
      <c r="L143" s="249" t="s">
        <v>646</v>
      </c>
      <c r="M143" s="249" t="s">
        <v>933</v>
      </c>
      <c r="N143" s="248">
        <v>-7252.45</v>
      </c>
      <c r="O143" s="248">
        <v>-59920.28</v>
      </c>
      <c r="P143" s="247" t="s">
        <v>986</v>
      </c>
      <c r="Q143" s="247" t="s">
        <v>84</v>
      </c>
    </row>
    <row r="144" spans="1:17" x14ac:dyDescent="0.25">
      <c r="A144" s="247" t="s">
        <v>646</v>
      </c>
      <c r="B144" s="247" t="s">
        <v>25</v>
      </c>
      <c r="C144" s="247" t="s">
        <v>984</v>
      </c>
      <c r="D144" s="247" t="s">
        <v>926</v>
      </c>
      <c r="E144" s="247" t="s">
        <v>926</v>
      </c>
      <c r="F144" s="247" t="s">
        <v>1720</v>
      </c>
      <c r="G144" s="247" t="s">
        <v>985</v>
      </c>
      <c r="H144" s="247"/>
      <c r="I144" s="247" t="s">
        <v>1721</v>
      </c>
      <c r="J144" s="247">
        <v>21</v>
      </c>
      <c r="K144" s="247">
        <v>21</v>
      </c>
      <c r="L144" s="249" t="s">
        <v>650</v>
      </c>
      <c r="M144" s="249" t="s">
        <v>933</v>
      </c>
      <c r="N144" s="248">
        <v>-4536.6499999999996</v>
      </c>
      <c r="O144" s="248">
        <v>-64456.93</v>
      </c>
      <c r="P144" s="247" t="s">
        <v>986</v>
      </c>
      <c r="Q144" s="247" t="s">
        <v>85</v>
      </c>
    </row>
    <row r="145" spans="1:17" x14ac:dyDescent="0.25">
      <c r="A145" s="247" t="s">
        <v>646</v>
      </c>
      <c r="B145" s="247" t="s">
        <v>25</v>
      </c>
      <c r="C145" s="247" t="s">
        <v>984</v>
      </c>
      <c r="D145" s="247" t="s">
        <v>926</v>
      </c>
      <c r="E145" s="247" t="s">
        <v>926</v>
      </c>
      <c r="F145" s="247" t="s">
        <v>1720</v>
      </c>
      <c r="G145" s="247" t="s">
        <v>985</v>
      </c>
      <c r="H145" s="247"/>
      <c r="I145" s="247" t="s">
        <v>1721</v>
      </c>
      <c r="J145" s="247">
        <v>21</v>
      </c>
      <c r="K145" s="247">
        <v>21</v>
      </c>
      <c r="L145" s="249" t="s">
        <v>652</v>
      </c>
      <c r="M145" s="249" t="s">
        <v>933</v>
      </c>
      <c r="N145" s="248">
        <v>-5254.8</v>
      </c>
      <c r="O145" s="248">
        <v>-69711.73</v>
      </c>
      <c r="P145" s="247" t="s">
        <v>986</v>
      </c>
      <c r="Q145" s="247" t="s">
        <v>86</v>
      </c>
    </row>
    <row r="146" spans="1:17" x14ac:dyDescent="0.25">
      <c r="A146" s="247" t="s">
        <v>646</v>
      </c>
      <c r="B146" s="247" t="s">
        <v>25</v>
      </c>
      <c r="C146" s="247" t="s">
        <v>984</v>
      </c>
      <c r="D146" s="247" t="s">
        <v>926</v>
      </c>
      <c r="E146" s="247" t="s">
        <v>926</v>
      </c>
      <c r="F146" s="247" t="s">
        <v>1720</v>
      </c>
      <c r="G146" s="247" t="s">
        <v>985</v>
      </c>
      <c r="H146" s="247"/>
      <c r="I146" s="247" t="s">
        <v>1721</v>
      </c>
      <c r="J146" s="247">
        <v>21</v>
      </c>
      <c r="K146" s="247">
        <v>21</v>
      </c>
      <c r="L146" s="249" t="s">
        <v>789</v>
      </c>
      <c r="M146" s="249" t="s">
        <v>929</v>
      </c>
      <c r="N146" s="248">
        <v>-4156.13</v>
      </c>
      <c r="O146" s="248">
        <v>-4156.13</v>
      </c>
      <c r="P146" s="247" t="s">
        <v>986</v>
      </c>
      <c r="Q146" s="247" t="s">
        <v>87</v>
      </c>
    </row>
    <row r="147" spans="1:17" x14ac:dyDescent="0.25">
      <c r="A147" s="247" t="s">
        <v>646</v>
      </c>
      <c r="B147" s="247" t="s">
        <v>25</v>
      </c>
      <c r="C147" s="247" t="s">
        <v>984</v>
      </c>
      <c r="D147" s="247" t="s">
        <v>926</v>
      </c>
      <c r="E147" s="247" t="s">
        <v>926</v>
      </c>
      <c r="F147" s="247" t="s">
        <v>1720</v>
      </c>
      <c r="G147" s="247" t="s">
        <v>985</v>
      </c>
      <c r="H147" s="247"/>
      <c r="I147" s="247" t="s">
        <v>1721</v>
      </c>
      <c r="J147" s="247">
        <v>21</v>
      </c>
      <c r="K147" s="247">
        <v>21</v>
      </c>
      <c r="L147" s="249" t="s">
        <v>791</v>
      </c>
      <c r="M147" s="249" t="s">
        <v>929</v>
      </c>
      <c r="N147" s="248">
        <v>-4042.25</v>
      </c>
      <c r="O147" s="248">
        <v>-8198.3799999999992</v>
      </c>
      <c r="P147" s="247" t="s">
        <v>986</v>
      </c>
      <c r="Q147" s="247" t="s">
        <v>88</v>
      </c>
    </row>
    <row r="148" spans="1:17" x14ac:dyDescent="0.25">
      <c r="A148" s="247" t="s">
        <v>646</v>
      </c>
      <c r="B148" s="247" t="s">
        <v>25</v>
      </c>
      <c r="C148" s="247" t="s">
        <v>984</v>
      </c>
      <c r="D148" s="247" t="s">
        <v>926</v>
      </c>
      <c r="E148" s="247" t="s">
        <v>926</v>
      </c>
      <c r="F148" s="247" t="s">
        <v>1720</v>
      </c>
      <c r="G148" s="247" t="s">
        <v>985</v>
      </c>
      <c r="H148" s="247"/>
      <c r="I148" s="247" t="s">
        <v>1721</v>
      </c>
      <c r="J148" s="247">
        <v>21</v>
      </c>
      <c r="K148" s="247">
        <v>21</v>
      </c>
      <c r="L148" s="249" t="s">
        <v>935</v>
      </c>
      <c r="M148" s="249" t="s">
        <v>929</v>
      </c>
      <c r="N148" s="248">
        <v>-6562.55</v>
      </c>
      <c r="O148" s="248">
        <v>-14760.93</v>
      </c>
      <c r="P148" s="247" t="s">
        <v>986</v>
      </c>
      <c r="Q148" s="247" t="s">
        <v>89</v>
      </c>
    </row>
    <row r="149" spans="1:17" x14ac:dyDescent="0.25">
      <c r="A149" s="247" t="s">
        <v>646</v>
      </c>
      <c r="B149" s="247" t="s">
        <v>25</v>
      </c>
      <c r="C149" s="247" t="s">
        <v>984</v>
      </c>
      <c r="D149" s="247" t="s">
        <v>926</v>
      </c>
      <c r="E149" s="247" t="s">
        <v>926</v>
      </c>
      <c r="F149" s="247" t="s">
        <v>1720</v>
      </c>
      <c r="G149" s="247" t="s">
        <v>985</v>
      </c>
      <c r="H149" s="247"/>
      <c r="I149" s="247" t="s">
        <v>1721</v>
      </c>
      <c r="J149" s="247">
        <v>21</v>
      </c>
      <c r="K149" s="247">
        <v>21</v>
      </c>
      <c r="L149" s="249" t="s">
        <v>936</v>
      </c>
      <c r="M149" s="249" t="s">
        <v>929</v>
      </c>
      <c r="N149" s="248">
        <v>-5425.13</v>
      </c>
      <c r="O149" s="248">
        <v>-20186.060000000001</v>
      </c>
      <c r="P149" s="247" t="s">
        <v>986</v>
      </c>
      <c r="Q149" s="247" t="s">
        <v>90</v>
      </c>
    </row>
    <row r="150" spans="1:17" x14ac:dyDescent="0.25">
      <c r="A150" s="247" t="s">
        <v>646</v>
      </c>
      <c r="B150" s="247" t="s">
        <v>25</v>
      </c>
      <c r="C150" s="247" t="s">
        <v>984</v>
      </c>
      <c r="D150" s="247" t="s">
        <v>926</v>
      </c>
      <c r="E150" s="247" t="s">
        <v>926</v>
      </c>
      <c r="F150" s="247" t="s">
        <v>1720</v>
      </c>
      <c r="G150" s="247" t="s">
        <v>985</v>
      </c>
      <c r="H150" s="247"/>
      <c r="I150" s="247" t="s">
        <v>1721</v>
      </c>
      <c r="J150" s="247">
        <v>21</v>
      </c>
      <c r="K150" s="247">
        <v>21</v>
      </c>
      <c r="L150" s="249" t="s">
        <v>937</v>
      </c>
      <c r="M150" s="249" t="s">
        <v>929</v>
      </c>
      <c r="N150" s="248">
        <v>-6088.7</v>
      </c>
      <c r="O150" s="248">
        <v>-26274.76</v>
      </c>
      <c r="P150" s="247" t="s">
        <v>986</v>
      </c>
      <c r="Q150" s="247" t="s">
        <v>91</v>
      </c>
    </row>
    <row r="151" spans="1:17" x14ac:dyDescent="0.25">
      <c r="A151" s="247" t="s">
        <v>646</v>
      </c>
      <c r="B151" s="247" t="s">
        <v>25</v>
      </c>
      <c r="C151" s="247" t="s">
        <v>984</v>
      </c>
      <c r="D151" s="247" t="s">
        <v>926</v>
      </c>
      <c r="E151" s="247" t="s">
        <v>926</v>
      </c>
      <c r="F151" s="247" t="s">
        <v>1720</v>
      </c>
      <c r="G151" s="247" t="s">
        <v>985</v>
      </c>
      <c r="H151" s="247"/>
      <c r="I151" s="247" t="s">
        <v>1721</v>
      </c>
      <c r="J151" s="247">
        <v>21</v>
      </c>
      <c r="K151" s="247">
        <v>21</v>
      </c>
      <c r="L151" s="249" t="s">
        <v>938</v>
      </c>
      <c r="M151" s="249" t="s">
        <v>929</v>
      </c>
      <c r="N151" s="248">
        <v>-5612.35</v>
      </c>
      <c r="O151" s="248">
        <v>-31887.11</v>
      </c>
      <c r="P151" s="247" t="s">
        <v>986</v>
      </c>
      <c r="Q151" s="247" t="s">
        <v>92</v>
      </c>
    </row>
    <row r="152" spans="1:17" x14ac:dyDescent="0.25">
      <c r="A152" s="247" t="s">
        <v>646</v>
      </c>
      <c r="B152" s="247" t="s">
        <v>25</v>
      </c>
      <c r="C152" s="247" t="s">
        <v>984</v>
      </c>
      <c r="D152" s="247" t="s">
        <v>926</v>
      </c>
      <c r="E152" s="247" t="s">
        <v>926</v>
      </c>
      <c r="F152" s="247" t="s">
        <v>1720</v>
      </c>
      <c r="G152" s="247" t="s">
        <v>985</v>
      </c>
      <c r="H152" s="247"/>
      <c r="I152" s="247" t="s">
        <v>1721</v>
      </c>
      <c r="J152" s="247">
        <v>21</v>
      </c>
      <c r="K152" s="247">
        <v>21</v>
      </c>
      <c r="L152" s="249" t="s">
        <v>939</v>
      </c>
      <c r="M152" s="249" t="s">
        <v>929</v>
      </c>
      <c r="N152" s="248">
        <v>-7048.85</v>
      </c>
      <c r="O152" s="248">
        <v>-38935.96</v>
      </c>
      <c r="P152" s="247" t="s">
        <v>986</v>
      </c>
      <c r="Q152" s="247" t="s">
        <v>93</v>
      </c>
    </row>
    <row r="153" spans="1:17" x14ac:dyDescent="0.25">
      <c r="A153" s="247" t="s">
        <v>646</v>
      </c>
      <c r="B153" s="247" t="s">
        <v>25</v>
      </c>
      <c r="C153" s="247" t="s">
        <v>984</v>
      </c>
      <c r="D153" s="247" t="s">
        <v>926</v>
      </c>
      <c r="E153" s="247" t="s">
        <v>926</v>
      </c>
      <c r="F153" s="247" t="s">
        <v>1720</v>
      </c>
      <c r="G153" s="247" t="s">
        <v>985</v>
      </c>
      <c r="H153" s="247"/>
      <c r="I153" s="247" t="s">
        <v>1721</v>
      </c>
      <c r="J153" s="247">
        <v>21</v>
      </c>
      <c r="K153" s="247">
        <v>21</v>
      </c>
      <c r="L153" s="249" t="s">
        <v>940</v>
      </c>
      <c r="M153" s="249" t="s">
        <v>929</v>
      </c>
      <c r="N153" s="248">
        <v>-8753</v>
      </c>
      <c r="O153" s="248">
        <v>-47688.959999999999</v>
      </c>
      <c r="P153" s="247" t="s">
        <v>986</v>
      </c>
      <c r="Q153" s="247" t="s">
        <v>94</v>
      </c>
    </row>
    <row r="154" spans="1:17" x14ac:dyDescent="0.25">
      <c r="A154" s="247" t="s">
        <v>646</v>
      </c>
      <c r="B154" s="247" t="s">
        <v>25</v>
      </c>
      <c r="C154" s="247" t="s">
        <v>984</v>
      </c>
      <c r="D154" s="247" t="s">
        <v>926</v>
      </c>
      <c r="E154" s="247" t="s">
        <v>926</v>
      </c>
      <c r="F154" s="247" t="s">
        <v>1720</v>
      </c>
      <c r="G154" s="247" t="s">
        <v>985</v>
      </c>
      <c r="H154" s="247"/>
      <c r="I154" s="247" t="s">
        <v>1721</v>
      </c>
      <c r="J154" s="247">
        <v>21</v>
      </c>
      <c r="K154" s="247">
        <v>21</v>
      </c>
      <c r="L154" s="249" t="s">
        <v>642</v>
      </c>
      <c r="M154" s="249" t="s">
        <v>929</v>
      </c>
      <c r="N154" s="248">
        <v>-7099.5</v>
      </c>
      <c r="O154" s="248">
        <v>-54788.46</v>
      </c>
      <c r="P154" s="247" t="s">
        <v>986</v>
      </c>
      <c r="Q154" s="247" t="s">
        <v>95</v>
      </c>
    </row>
    <row r="155" spans="1:17" x14ac:dyDescent="0.25">
      <c r="A155" s="247" t="s">
        <v>646</v>
      </c>
      <c r="B155" s="247" t="s">
        <v>25</v>
      </c>
      <c r="C155" s="247" t="s">
        <v>987</v>
      </c>
      <c r="D155" s="247" t="s">
        <v>926</v>
      </c>
      <c r="E155" s="247" t="s">
        <v>952</v>
      </c>
      <c r="F155" s="247" t="s">
        <v>1722</v>
      </c>
      <c r="G155" s="247" t="s">
        <v>988</v>
      </c>
      <c r="H155" s="247"/>
      <c r="I155" s="247" t="s">
        <v>1723</v>
      </c>
      <c r="J155" s="247">
        <v>6</v>
      </c>
      <c r="K155" s="247">
        <v>6</v>
      </c>
      <c r="L155" s="249" t="s">
        <v>646</v>
      </c>
      <c r="M155" s="249" t="s">
        <v>933</v>
      </c>
      <c r="N155" s="248">
        <v>-1801.5</v>
      </c>
      <c r="O155" s="248">
        <v>-3548.65</v>
      </c>
      <c r="P155" s="247" t="s">
        <v>989</v>
      </c>
      <c r="Q155" s="247" t="s">
        <v>84</v>
      </c>
    </row>
    <row r="156" spans="1:17" x14ac:dyDescent="0.25">
      <c r="A156" s="247" t="s">
        <v>646</v>
      </c>
      <c r="B156" s="247" t="s">
        <v>25</v>
      </c>
      <c r="C156" s="247" t="s">
        <v>987</v>
      </c>
      <c r="D156" s="247" t="s">
        <v>926</v>
      </c>
      <c r="E156" s="247" t="s">
        <v>952</v>
      </c>
      <c r="F156" s="247" t="s">
        <v>1722</v>
      </c>
      <c r="G156" s="247" t="s">
        <v>988</v>
      </c>
      <c r="H156" s="247"/>
      <c r="I156" s="247" t="s">
        <v>1723</v>
      </c>
      <c r="J156" s="247">
        <v>6</v>
      </c>
      <c r="K156" s="247">
        <v>6</v>
      </c>
      <c r="L156" s="249" t="s">
        <v>650</v>
      </c>
      <c r="M156" s="249" t="s">
        <v>933</v>
      </c>
      <c r="N156" s="248">
        <v>-1933.42</v>
      </c>
      <c r="O156" s="248">
        <v>-5482.07</v>
      </c>
      <c r="P156" s="247" t="s">
        <v>989</v>
      </c>
      <c r="Q156" s="247" t="s">
        <v>85</v>
      </c>
    </row>
    <row r="157" spans="1:17" x14ac:dyDescent="0.25">
      <c r="A157" s="247" t="s">
        <v>646</v>
      </c>
      <c r="B157" s="247" t="s">
        <v>25</v>
      </c>
      <c r="C157" s="247" t="s">
        <v>987</v>
      </c>
      <c r="D157" s="247" t="s">
        <v>926</v>
      </c>
      <c r="E157" s="247" t="s">
        <v>952</v>
      </c>
      <c r="F157" s="247" t="s">
        <v>1722</v>
      </c>
      <c r="G157" s="247" t="s">
        <v>988</v>
      </c>
      <c r="H157" s="247"/>
      <c r="I157" s="247" t="s">
        <v>1723</v>
      </c>
      <c r="J157" s="247">
        <v>6</v>
      </c>
      <c r="K157" s="247">
        <v>6</v>
      </c>
      <c r="L157" s="249" t="s">
        <v>652</v>
      </c>
      <c r="M157" s="249" t="s">
        <v>933</v>
      </c>
      <c r="N157" s="248">
        <v>-2174.86</v>
      </c>
      <c r="O157" s="248">
        <v>-7656.93</v>
      </c>
      <c r="P157" s="247" t="s">
        <v>989</v>
      </c>
      <c r="Q157" s="247" t="s">
        <v>86</v>
      </c>
    </row>
    <row r="158" spans="1:17" x14ac:dyDescent="0.25">
      <c r="A158" s="247" t="s">
        <v>646</v>
      </c>
      <c r="B158" s="247" t="s">
        <v>25</v>
      </c>
      <c r="C158" s="247" t="s">
        <v>987</v>
      </c>
      <c r="D158" s="247" t="s">
        <v>926</v>
      </c>
      <c r="E158" s="247" t="s">
        <v>952</v>
      </c>
      <c r="F158" s="247" t="s">
        <v>1722</v>
      </c>
      <c r="G158" s="247" t="s">
        <v>988</v>
      </c>
      <c r="H158" s="247"/>
      <c r="I158" s="247" t="s">
        <v>1723</v>
      </c>
      <c r="J158" s="247">
        <v>6</v>
      </c>
      <c r="K158" s="247">
        <v>6</v>
      </c>
      <c r="L158" s="249" t="s">
        <v>789</v>
      </c>
      <c r="M158" s="249" t="s">
        <v>929</v>
      </c>
      <c r="N158" s="248">
        <v>-2135.5100000000002</v>
      </c>
      <c r="O158" s="248">
        <v>-2135.5100000000002</v>
      </c>
      <c r="P158" s="247" t="s">
        <v>989</v>
      </c>
      <c r="Q158" s="247" t="s">
        <v>87</v>
      </c>
    </row>
    <row r="159" spans="1:17" x14ac:dyDescent="0.25">
      <c r="A159" s="247" t="s">
        <v>646</v>
      </c>
      <c r="B159" s="247" t="s">
        <v>25</v>
      </c>
      <c r="C159" s="247" t="s">
        <v>987</v>
      </c>
      <c r="D159" s="247" t="s">
        <v>926</v>
      </c>
      <c r="E159" s="247" t="s">
        <v>952</v>
      </c>
      <c r="F159" s="247" t="s">
        <v>1722</v>
      </c>
      <c r="G159" s="247" t="s">
        <v>988</v>
      </c>
      <c r="H159" s="247"/>
      <c r="I159" s="247" t="s">
        <v>1723</v>
      </c>
      <c r="J159" s="247">
        <v>6</v>
      </c>
      <c r="K159" s="247">
        <v>6</v>
      </c>
      <c r="L159" s="249" t="s">
        <v>791</v>
      </c>
      <c r="M159" s="249" t="s">
        <v>929</v>
      </c>
      <c r="N159" s="248">
        <v>-2114.09</v>
      </c>
      <c r="O159" s="248">
        <v>-4249.6000000000004</v>
      </c>
      <c r="P159" s="247" t="s">
        <v>989</v>
      </c>
      <c r="Q159" s="247" t="s">
        <v>88</v>
      </c>
    </row>
    <row r="160" spans="1:17" x14ac:dyDescent="0.25">
      <c r="A160" s="247" t="s">
        <v>646</v>
      </c>
      <c r="B160" s="247" t="s">
        <v>25</v>
      </c>
      <c r="C160" s="247" t="s">
        <v>987</v>
      </c>
      <c r="D160" s="247" t="s">
        <v>926</v>
      </c>
      <c r="E160" s="247" t="s">
        <v>952</v>
      </c>
      <c r="F160" s="247" t="s">
        <v>1722</v>
      </c>
      <c r="G160" s="247" t="s">
        <v>988</v>
      </c>
      <c r="H160" s="247"/>
      <c r="I160" s="247" t="s">
        <v>1723</v>
      </c>
      <c r="J160" s="247">
        <v>6</v>
      </c>
      <c r="K160" s="247">
        <v>6</v>
      </c>
      <c r="L160" s="249" t="s">
        <v>935</v>
      </c>
      <c r="M160" s="249" t="s">
        <v>929</v>
      </c>
      <c r="N160" s="248">
        <v>-2165.23</v>
      </c>
      <c r="O160" s="248">
        <v>-6414.83</v>
      </c>
      <c r="P160" s="247" t="s">
        <v>989</v>
      </c>
      <c r="Q160" s="247" t="s">
        <v>89</v>
      </c>
    </row>
    <row r="161" spans="1:17" x14ac:dyDescent="0.25">
      <c r="A161" s="247" t="s">
        <v>646</v>
      </c>
      <c r="B161" s="247" t="s">
        <v>25</v>
      </c>
      <c r="C161" s="247" t="s">
        <v>987</v>
      </c>
      <c r="D161" s="247" t="s">
        <v>926</v>
      </c>
      <c r="E161" s="247" t="s">
        <v>952</v>
      </c>
      <c r="F161" s="247" t="s">
        <v>1722</v>
      </c>
      <c r="G161" s="247" t="s">
        <v>988</v>
      </c>
      <c r="H161" s="247"/>
      <c r="I161" s="247" t="s">
        <v>1723</v>
      </c>
      <c r="J161" s="247">
        <v>6</v>
      </c>
      <c r="K161" s="247">
        <v>6</v>
      </c>
      <c r="L161" s="249" t="s">
        <v>936</v>
      </c>
      <c r="M161" s="249" t="s">
        <v>929</v>
      </c>
      <c r="N161" s="248">
        <v>-2330.16</v>
      </c>
      <c r="O161" s="248">
        <v>-8744.99</v>
      </c>
      <c r="P161" s="247" t="s">
        <v>989</v>
      </c>
      <c r="Q161" s="247" t="s">
        <v>90</v>
      </c>
    </row>
    <row r="162" spans="1:17" x14ac:dyDescent="0.25">
      <c r="A162" s="247" t="s">
        <v>646</v>
      </c>
      <c r="B162" s="247" t="s">
        <v>25</v>
      </c>
      <c r="C162" s="247" t="s">
        <v>987</v>
      </c>
      <c r="D162" s="247" t="s">
        <v>926</v>
      </c>
      <c r="E162" s="247" t="s">
        <v>952</v>
      </c>
      <c r="F162" s="247" t="s">
        <v>1722</v>
      </c>
      <c r="G162" s="247" t="s">
        <v>988</v>
      </c>
      <c r="H162" s="247"/>
      <c r="I162" s="247" t="s">
        <v>1723</v>
      </c>
      <c r="J162" s="247">
        <v>6</v>
      </c>
      <c r="K162" s="247">
        <v>6</v>
      </c>
      <c r="L162" s="249" t="s">
        <v>937</v>
      </c>
      <c r="M162" s="249" t="s">
        <v>929</v>
      </c>
      <c r="N162" s="248">
        <v>-2491.0300000000002</v>
      </c>
      <c r="O162" s="248">
        <v>-11236.02</v>
      </c>
      <c r="P162" s="247" t="s">
        <v>989</v>
      </c>
      <c r="Q162" s="247" t="s">
        <v>91</v>
      </c>
    </row>
    <row r="163" spans="1:17" x14ac:dyDescent="0.25">
      <c r="A163" s="247" t="s">
        <v>646</v>
      </c>
      <c r="B163" s="247" t="s">
        <v>25</v>
      </c>
      <c r="C163" s="247" t="s">
        <v>987</v>
      </c>
      <c r="D163" s="247" t="s">
        <v>926</v>
      </c>
      <c r="E163" s="247" t="s">
        <v>952</v>
      </c>
      <c r="F163" s="247" t="s">
        <v>1722</v>
      </c>
      <c r="G163" s="247" t="s">
        <v>988</v>
      </c>
      <c r="H163" s="247"/>
      <c r="I163" s="247" t="s">
        <v>1723</v>
      </c>
      <c r="J163" s="247">
        <v>6</v>
      </c>
      <c r="K163" s="247">
        <v>6</v>
      </c>
      <c r="L163" s="249" t="s">
        <v>938</v>
      </c>
      <c r="M163" s="249" t="s">
        <v>929</v>
      </c>
      <c r="N163" s="248">
        <v>-2448.15</v>
      </c>
      <c r="O163" s="248">
        <v>-13684.17</v>
      </c>
      <c r="P163" s="247" t="s">
        <v>989</v>
      </c>
      <c r="Q163" s="247" t="s">
        <v>92</v>
      </c>
    </row>
    <row r="164" spans="1:17" x14ac:dyDescent="0.25">
      <c r="A164" s="247" t="s">
        <v>646</v>
      </c>
      <c r="B164" s="247" t="s">
        <v>25</v>
      </c>
      <c r="C164" s="247" t="s">
        <v>987</v>
      </c>
      <c r="D164" s="247" t="s">
        <v>926</v>
      </c>
      <c r="E164" s="247" t="s">
        <v>952</v>
      </c>
      <c r="F164" s="247" t="s">
        <v>1722</v>
      </c>
      <c r="G164" s="247" t="s">
        <v>988</v>
      </c>
      <c r="H164" s="247"/>
      <c r="I164" s="247" t="s">
        <v>1723</v>
      </c>
      <c r="J164" s="247">
        <v>6</v>
      </c>
      <c r="K164" s="247">
        <v>6</v>
      </c>
      <c r="L164" s="249" t="s">
        <v>939</v>
      </c>
      <c r="M164" s="249" t="s">
        <v>929</v>
      </c>
      <c r="N164" s="248">
        <v>-2293.19</v>
      </c>
      <c r="O164" s="248">
        <v>-15977.36</v>
      </c>
      <c r="P164" s="247" t="s">
        <v>989</v>
      </c>
      <c r="Q164" s="247" t="s">
        <v>93</v>
      </c>
    </row>
    <row r="165" spans="1:17" x14ac:dyDescent="0.25">
      <c r="A165" s="247" t="s">
        <v>646</v>
      </c>
      <c r="B165" s="247" t="s">
        <v>25</v>
      </c>
      <c r="C165" s="247" t="s">
        <v>987</v>
      </c>
      <c r="D165" s="247" t="s">
        <v>926</v>
      </c>
      <c r="E165" s="247" t="s">
        <v>952</v>
      </c>
      <c r="F165" s="247" t="s">
        <v>1722</v>
      </c>
      <c r="G165" s="247" t="s">
        <v>988</v>
      </c>
      <c r="H165" s="247"/>
      <c r="I165" s="247" t="s">
        <v>1723</v>
      </c>
      <c r="J165" s="247">
        <v>6</v>
      </c>
      <c r="K165" s="247">
        <v>6</v>
      </c>
      <c r="L165" s="249" t="s">
        <v>940</v>
      </c>
      <c r="M165" s="249" t="s">
        <v>929</v>
      </c>
      <c r="N165" s="248">
        <v>-2363.1999999999998</v>
      </c>
      <c r="O165" s="248">
        <v>-18340.560000000001</v>
      </c>
      <c r="P165" s="247" t="s">
        <v>989</v>
      </c>
      <c r="Q165" s="247" t="s">
        <v>94</v>
      </c>
    </row>
    <row r="166" spans="1:17" x14ac:dyDescent="0.25">
      <c r="A166" s="247" t="s">
        <v>646</v>
      </c>
      <c r="B166" s="247" t="s">
        <v>25</v>
      </c>
      <c r="C166" s="247" t="s">
        <v>987</v>
      </c>
      <c r="D166" s="247" t="s">
        <v>926</v>
      </c>
      <c r="E166" s="247" t="s">
        <v>952</v>
      </c>
      <c r="F166" s="247" t="s">
        <v>1722</v>
      </c>
      <c r="G166" s="247" t="s">
        <v>988</v>
      </c>
      <c r="H166" s="247"/>
      <c r="I166" s="247" t="s">
        <v>1723</v>
      </c>
      <c r="J166" s="247">
        <v>6</v>
      </c>
      <c r="K166" s="247">
        <v>6</v>
      </c>
      <c r="L166" s="249" t="s">
        <v>642</v>
      </c>
      <c r="M166" s="249" t="s">
        <v>929</v>
      </c>
      <c r="N166" s="248">
        <v>-2382.91</v>
      </c>
      <c r="O166" s="248">
        <v>-20723.47</v>
      </c>
      <c r="P166" s="247" t="s">
        <v>989</v>
      </c>
      <c r="Q166" s="247" t="s">
        <v>95</v>
      </c>
    </row>
    <row r="167" spans="1:17" x14ac:dyDescent="0.25">
      <c r="A167" s="247" t="s">
        <v>646</v>
      </c>
      <c r="B167" s="247" t="s">
        <v>25</v>
      </c>
      <c r="C167" s="247" t="s">
        <v>987</v>
      </c>
      <c r="D167" s="247" t="s">
        <v>990</v>
      </c>
      <c r="E167" s="247" t="s">
        <v>952</v>
      </c>
      <c r="F167" s="247" t="s">
        <v>1724</v>
      </c>
      <c r="G167" s="247" t="s">
        <v>991</v>
      </c>
      <c r="H167" s="247"/>
      <c r="I167" s="247" t="s">
        <v>1725</v>
      </c>
      <c r="J167" s="247">
        <v>6</v>
      </c>
      <c r="K167" s="247">
        <v>6</v>
      </c>
      <c r="L167" s="249" t="s">
        <v>646</v>
      </c>
      <c r="M167" s="249" t="s">
        <v>933</v>
      </c>
      <c r="N167" s="248">
        <v>-248.71</v>
      </c>
      <c r="O167" s="248">
        <v>-497.3</v>
      </c>
      <c r="P167" s="247" t="s">
        <v>992</v>
      </c>
      <c r="Q167" s="247" t="s">
        <v>84</v>
      </c>
    </row>
    <row r="168" spans="1:17" x14ac:dyDescent="0.25">
      <c r="A168" s="247" t="s">
        <v>646</v>
      </c>
      <c r="B168" s="247" t="s">
        <v>25</v>
      </c>
      <c r="C168" s="247" t="s">
        <v>987</v>
      </c>
      <c r="D168" s="247" t="s">
        <v>990</v>
      </c>
      <c r="E168" s="247" t="s">
        <v>952</v>
      </c>
      <c r="F168" s="247" t="s">
        <v>1724</v>
      </c>
      <c r="G168" s="247" t="s">
        <v>991</v>
      </c>
      <c r="H168" s="247"/>
      <c r="I168" s="247" t="s">
        <v>1725</v>
      </c>
      <c r="J168" s="247">
        <v>6</v>
      </c>
      <c r="K168" s="247">
        <v>6</v>
      </c>
      <c r="L168" s="249" t="s">
        <v>650</v>
      </c>
      <c r="M168" s="249" t="s">
        <v>933</v>
      </c>
      <c r="N168" s="248">
        <v>-149.43</v>
      </c>
      <c r="O168" s="248">
        <v>-646.73</v>
      </c>
      <c r="P168" s="247" t="s">
        <v>992</v>
      </c>
      <c r="Q168" s="247" t="s">
        <v>85</v>
      </c>
    </row>
    <row r="169" spans="1:17" x14ac:dyDescent="0.25">
      <c r="A169" s="247" t="s">
        <v>646</v>
      </c>
      <c r="B169" s="247" t="s">
        <v>25</v>
      </c>
      <c r="C169" s="247" t="s">
        <v>987</v>
      </c>
      <c r="D169" s="247" t="s">
        <v>990</v>
      </c>
      <c r="E169" s="247" t="s">
        <v>952</v>
      </c>
      <c r="F169" s="247" t="s">
        <v>1724</v>
      </c>
      <c r="G169" s="247" t="s">
        <v>991</v>
      </c>
      <c r="H169" s="247"/>
      <c r="I169" s="247" t="s">
        <v>1725</v>
      </c>
      <c r="J169" s="247">
        <v>6</v>
      </c>
      <c r="K169" s="247">
        <v>6</v>
      </c>
      <c r="L169" s="249" t="s">
        <v>652</v>
      </c>
      <c r="M169" s="249" t="s">
        <v>933</v>
      </c>
      <c r="N169" s="248">
        <v>0</v>
      </c>
      <c r="O169" s="248">
        <v>-646.73</v>
      </c>
      <c r="P169" s="247" t="s">
        <v>992</v>
      </c>
      <c r="Q169" s="247" t="s">
        <v>86</v>
      </c>
    </row>
    <row r="170" spans="1:17" x14ac:dyDescent="0.25">
      <c r="A170" s="247" t="s">
        <v>646</v>
      </c>
      <c r="B170" s="247" t="s">
        <v>25</v>
      </c>
      <c r="C170" s="247" t="s">
        <v>993</v>
      </c>
      <c r="D170" s="247" t="s">
        <v>926</v>
      </c>
      <c r="E170" s="247" t="s">
        <v>955</v>
      </c>
      <c r="F170" s="247" t="s">
        <v>1726</v>
      </c>
      <c r="G170" s="247" t="s">
        <v>994</v>
      </c>
      <c r="H170" s="247"/>
      <c r="I170" s="247" t="s">
        <v>1727</v>
      </c>
      <c r="J170" s="247">
        <v>5</v>
      </c>
      <c r="K170" s="247">
        <v>5</v>
      </c>
      <c r="L170" s="249" t="s">
        <v>646</v>
      </c>
      <c r="M170" s="249" t="s">
        <v>933</v>
      </c>
      <c r="N170" s="248">
        <v>-278.38</v>
      </c>
      <c r="O170" s="248">
        <v>-505.96</v>
      </c>
      <c r="P170" s="247" t="s">
        <v>995</v>
      </c>
      <c r="Q170" s="247" t="s">
        <v>84</v>
      </c>
    </row>
    <row r="171" spans="1:17" x14ac:dyDescent="0.25">
      <c r="A171" s="247" t="s">
        <v>646</v>
      </c>
      <c r="B171" s="247" t="s">
        <v>25</v>
      </c>
      <c r="C171" s="247" t="s">
        <v>993</v>
      </c>
      <c r="D171" s="247" t="s">
        <v>926</v>
      </c>
      <c r="E171" s="247" t="s">
        <v>955</v>
      </c>
      <c r="F171" s="247" t="s">
        <v>1726</v>
      </c>
      <c r="G171" s="247" t="s">
        <v>994</v>
      </c>
      <c r="H171" s="247"/>
      <c r="I171" s="247" t="s">
        <v>1727</v>
      </c>
      <c r="J171" s="247">
        <v>5</v>
      </c>
      <c r="K171" s="247">
        <v>5</v>
      </c>
      <c r="L171" s="249" t="s">
        <v>650</v>
      </c>
      <c r="M171" s="249" t="s">
        <v>933</v>
      </c>
      <c r="N171" s="248">
        <v>-293.77</v>
      </c>
      <c r="O171" s="248">
        <v>-799.73</v>
      </c>
      <c r="P171" s="247" t="s">
        <v>995</v>
      </c>
      <c r="Q171" s="247" t="s">
        <v>85</v>
      </c>
    </row>
    <row r="172" spans="1:17" x14ac:dyDescent="0.25">
      <c r="A172" s="247" t="s">
        <v>646</v>
      </c>
      <c r="B172" s="247" t="s">
        <v>25</v>
      </c>
      <c r="C172" s="247" t="s">
        <v>993</v>
      </c>
      <c r="D172" s="247" t="s">
        <v>926</v>
      </c>
      <c r="E172" s="247" t="s">
        <v>955</v>
      </c>
      <c r="F172" s="247" t="s">
        <v>1726</v>
      </c>
      <c r="G172" s="247" t="s">
        <v>994</v>
      </c>
      <c r="H172" s="247"/>
      <c r="I172" s="247" t="s">
        <v>1727</v>
      </c>
      <c r="J172" s="247">
        <v>5</v>
      </c>
      <c r="K172" s="247">
        <v>5</v>
      </c>
      <c r="L172" s="249" t="s">
        <v>652</v>
      </c>
      <c r="M172" s="249" t="s">
        <v>933</v>
      </c>
      <c r="N172" s="248">
        <v>-395.64</v>
      </c>
      <c r="O172" s="248">
        <v>-1195.3699999999999</v>
      </c>
      <c r="P172" s="247" t="s">
        <v>995</v>
      </c>
      <c r="Q172" s="247" t="s">
        <v>86</v>
      </c>
    </row>
    <row r="173" spans="1:17" x14ac:dyDescent="0.25">
      <c r="A173" s="247" t="s">
        <v>646</v>
      </c>
      <c r="B173" s="247" t="s">
        <v>25</v>
      </c>
      <c r="C173" s="247" t="s">
        <v>993</v>
      </c>
      <c r="D173" s="247" t="s">
        <v>926</v>
      </c>
      <c r="E173" s="247" t="s">
        <v>955</v>
      </c>
      <c r="F173" s="247" t="s">
        <v>1726</v>
      </c>
      <c r="G173" s="247" t="s">
        <v>994</v>
      </c>
      <c r="H173" s="247"/>
      <c r="I173" s="247" t="s">
        <v>1727</v>
      </c>
      <c r="J173" s="247">
        <v>5</v>
      </c>
      <c r="K173" s="247">
        <v>5</v>
      </c>
      <c r="L173" s="249" t="s">
        <v>789</v>
      </c>
      <c r="M173" s="249" t="s">
        <v>929</v>
      </c>
      <c r="N173" s="248">
        <v>-279.33</v>
      </c>
      <c r="O173" s="248">
        <v>-279.33</v>
      </c>
      <c r="P173" s="247" t="s">
        <v>995</v>
      </c>
      <c r="Q173" s="247" t="s">
        <v>87</v>
      </c>
    </row>
    <row r="174" spans="1:17" x14ac:dyDescent="0.25">
      <c r="A174" s="247" t="s">
        <v>646</v>
      </c>
      <c r="B174" s="247" t="s">
        <v>25</v>
      </c>
      <c r="C174" s="247" t="s">
        <v>993</v>
      </c>
      <c r="D174" s="247" t="s">
        <v>926</v>
      </c>
      <c r="E174" s="247" t="s">
        <v>955</v>
      </c>
      <c r="F174" s="247" t="s">
        <v>1726</v>
      </c>
      <c r="G174" s="247" t="s">
        <v>994</v>
      </c>
      <c r="H174" s="247"/>
      <c r="I174" s="247" t="s">
        <v>1727</v>
      </c>
      <c r="J174" s="247">
        <v>5</v>
      </c>
      <c r="K174" s="247">
        <v>5</v>
      </c>
      <c r="L174" s="249" t="s">
        <v>791</v>
      </c>
      <c r="M174" s="249" t="s">
        <v>929</v>
      </c>
      <c r="N174" s="248">
        <v>-70.52</v>
      </c>
      <c r="O174" s="248">
        <v>-349.85</v>
      </c>
      <c r="P174" s="247" t="s">
        <v>995</v>
      </c>
      <c r="Q174" s="247" t="s">
        <v>88</v>
      </c>
    </row>
    <row r="175" spans="1:17" x14ac:dyDescent="0.25">
      <c r="A175" s="247" t="s">
        <v>646</v>
      </c>
      <c r="B175" s="247" t="s">
        <v>25</v>
      </c>
      <c r="C175" s="247" t="s">
        <v>993</v>
      </c>
      <c r="D175" s="247" t="s">
        <v>926</v>
      </c>
      <c r="E175" s="247" t="s">
        <v>955</v>
      </c>
      <c r="F175" s="247" t="s">
        <v>1726</v>
      </c>
      <c r="G175" s="247" t="s">
        <v>994</v>
      </c>
      <c r="H175" s="247"/>
      <c r="I175" s="247" t="s">
        <v>1727</v>
      </c>
      <c r="J175" s="247">
        <v>5</v>
      </c>
      <c r="K175" s="247">
        <v>5</v>
      </c>
      <c r="L175" s="249" t="s">
        <v>935</v>
      </c>
      <c r="M175" s="249" t="s">
        <v>929</v>
      </c>
      <c r="N175" s="248">
        <v>-298.99</v>
      </c>
      <c r="O175" s="248">
        <v>-648.84</v>
      </c>
      <c r="P175" s="247" t="s">
        <v>995</v>
      </c>
      <c r="Q175" s="247" t="s">
        <v>89</v>
      </c>
    </row>
    <row r="176" spans="1:17" x14ac:dyDescent="0.25">
      <c r="A176" s="247" t="s">
        <v>646</v>
      </c>
      <c r="B176" s="247" t="s">
        <v>25</v>
      </c>
      <c r="C176" s="247" t="s">
        <v>993</v>
      </c>
      <c r="D176" s="247" t="s">
        <v>926</v>
      </c>
      <c r="E176" s="247" t="s">
        <v>955</v>
      </c>
      <c r="F176" s="247" t="s">
        <v>1726</v>
      </c>
      <c r="G176" s="247" t="s">
        <v>994</v>
      </c>
      <c r="H176" s="247"/>
      <c r="I176" s="247" t="s">
        <v>1727</v>
      </c>
      <c r="J176" s="247">
        <v>5</v>
      </c>
      <c r="K176" s="247">
        <v>5</v>
      </c>
      <c r="L176" s="249" t="s">
        <v>936</v>
      </c>
      <c r="M176" s="249" t="s">
        <v>929</v>
      </c>
      <c r="N176" s="248">
        <v>-318.64</v>
      </c>
      <c r="O176" s="248">
        <v>-967.48</v>
      </c>
      <c r="P176" s="247" t="s">
        <v>995</v>
      </c>
      <c r="Q176" s="247" t="s">
        <v>90</v>
      </c>
    </row>
    <row r="177" spans="1:17" x14ac:dyDescent="0.25">
      <c r="A177" s="247" t="s">
        <v>646</v>
      </c>
      <c r="B177" s="247" t="s">
        <v>25</v>
      </c>
      <c r="C177" s="247" t="s">
        <v>993</v>
      </c>
      <c r="D177" s="247" t="s">
        <v>926</v>
      </c>
      <c r="E177" s="247" t="s">
        <v>955</v>
      </c>
      <c r="F177" s="247" t="s">
        <v>1726</v>
      </c>
      <c r="G177" s="247" t="s">
        <v>994</v>
      </c>
      <c r="H177" s="247"/>
      <c r="I177" s="247" t="s">
        <v>1727</v>
      </c>
      <c r="J177" s="247">
        <v>5</v>
      </c>
      <c r="K177" s="247">
        <v>5</v>
      </c>
      <c r="L177" s="249" t="s">
        <v>937</v>
      </c>
      <c r="M177" s="249" t="s">
        <v>929</v>
      </c>
      <c r="N177" s="248">
        <v>-283.69</v>
      </c>
      <c r="O177" s="248">
        <v>-1251.17</v>
      </c>
      <c r="P177" s="247" t="s">
        <v>995</v>
      </c>
      <c r="Q177" s="247" t="s">
        <v>91</v>
      </c>
    </row>
    <row r="178" spans="1:17" x14ac:dyDescent="0.25">
      <c r="A178" s="247" t="s">
        <v>646</v>
      </c>
      <c r="B178" s="247" t="s">
        <v>25</v>
      </c>
      <c r="C178" s="247" t="s">
        <v>993</v>
      </c>
      <c r="D178" s="247" t="s">
        <v>926</v>
      </c>
      <c r="E178" s="247" t="s">
        <v>955</v>
      </c>
      <c r="F178" s="247" t="s">
        <v>1726</v>
      </c>
      <c r="G178" s="247" t="s">
        <v>994</v>
      </c>
      <c r="H178" s="247"/>
      <c r="I178" s="247" t="s">
        <v>1727</v>
      </c>
      <c r="J178" s="247">
        <v>5</v>
      </c>
      <c r="K178" s="247">
        <v>5</v>
      </c>
      <c r="L178" s="249" t="s">
        <v>938</v>
      </c>
      <c r="M178" s="249" t="s">
        <v>929</v>
      </c>
      <c r="N178" s="248">
        <v>-274.2</v>
      </c>
      <c r="O178" s="248">
        <v>-1525.37</v>
      </c>
      <c r="P178" s="247" t="s">
        <v>995</v>
      </c>
      <c r="Q178" s="247" t="s">
        <v>92</v>
      </c>
    </row>
    <row r="179" spans="1:17" x14ac:dyDescent="0.25">
      <c r="A179" s="247" t="s">
        <v>646</v>
      </c>
      <c r="B179" s="247" t="s">
        <v>25</v>
      </c>
      <c r="C179" s="247" t="s">
        <v>993</v>
      </c>
      <c r="D179" s="247" t="s">
        <v>926</v>
      </c>
      <c r="E179" s="247" t="s">
        <v>955</v>
      </c>
      <c r="F179" s="247" t="s">
        <v>1726</v>
      </c>
      <c r="G179" s="247" t="s">
        <v>994</v>
      </c>
      <c r="H179" s="247"/>
      <c r="I179" s="247" t="s">
        <v>1727</v>
      </c>
      <c r="J179" s="247">
        <v>5</v>
      </c>
      <c r="K179" s="247">
        <v>5</v>
      </c>
      <c r="L179" s="249" t="s">
        <v>939</v>
      </c>
      <c r="M179" s="249" t="s">
        <v>929</v>
      </c>
      <c r="N179" s="248">
        <v>-289.01</v>
      </c>
      <c r="O179" s="248">
        <v>-1814.38</v>
      </c>
      <c r="P179" s="247" t="s">
        <v>995</v>
      </c>
      <c r="Q179" s="247" t="s">
        <v>93</v>
      </c>
    </row>
    <row r="180" spans="1:17" x14ac:dyDescent="0.25">
      <c r="A180" s="247" t="s">
        <v>646</v>
      </c>
      <c r="B180" s="247" t="s">
        <v>25</v>
      </c>
      <c r="C180" s="247" t="s">
        <v>993</v>
      </c>
      <c r="D180" s="247" t="s">
        <v>926</v>
      </c>
      <c r="E180" s="247" t="s">
        <v>955</v>
      </c>
      <c r="F180" s="247" t="s">
        <v>1726</v>
      </c>
      <c r="G180" s="247" t="s">
        <v>994</v>
      </c>
      <c r="H180" s="247"/>
      <c r="I180" s="247" t="s">
        <v>1727</v>
      </c>
      <c r="J180" s="247">
        <v>5</v>
      </c>
      <c r="K180" s="247">
        <v>5</v>
      </c>
      <c r="L180" s="249" t="s">
        <v>940</v>
      </c>
      <c r="M180" s="249" t="s">
        <v>929</v>
      </c>
      <c r="N180" s="248">
        <v>-236.97</v>
      </c>
      <c r="O180" s="248">
        <v>-2051.35</v>
      </c>
      <c r="P180" s="247" t="s">
        <v>995</v>
      </c>
      <c r="Q180" s="247" t="s">
        <v>94</v>
      </c>
    </row>
    <row r="181" spans="1:17" x14ac:dyDescent="0.25">
      <c r="A181" s="247" t="s">
        <v>646</v>
      </c>
      <c r="B181" s="247" t="s">
        <v>25</v>
      </c>
      <c r="C181" s="247" t="s">
        <v>993</v>
      </c>
      <c r="D181" s="247" t="s">
        <v>926</v>
      </c>
      <c r="E181" s="247" t="s">
        <v>955</v>
      </c>
      <c r="F181" s="247" t="s">
        <v>1726</v>
      </c>
      <c r="G181" s="247" t="s">
        <v>994</v>
      </c>
      <c r="H181" s="247"/>
      <c r="I181" s="247" t="s">
        <v>1727</v>
      </c>
      <c r="J181" s="247">
        <v>5</v>
      </c>
      <c r="K181" s="247">
        <v>5</v>
      </c>
      <c r="L181" s="249" t="s">
        <v>642</v>
      </c>
      <c r="M181" s="249" t="s">
        <v>929</v>
      </c>
      <c r="N181" s="248">
        <v>-355.59</v>
      </c>
      <c r="O181" s="248">
        <v>-2406.94</v>
      </c>
      <c r="P181" s="247" t="s">
        <v>995</v>
      </c>
      <c r="Q181" s="247" t="s">
        <v>95</v>
      </c>
    </row>
    <row r="182" spans="1:17" x14ac:dyDescent="0.25">
      <c r="A182" s="247" t="s">
        <v>646</v>
      </c>
      <c r="B182" s="247" t="s">
        <v>25</v>
      </c>
      <c r="C182" s="247" t="s">
        <v>993</v>
      </c>
      <c r="D182" s="247" t="s">
        <v>926</v>
      </c>
      <c r="E182" s="247" t="s">
        <v>958</v>
      </c>
      <c r="F182" s="247" t="s">
        <v>1728</v>
      </c>
      <c r="G182" s="247" t="s">
        <v>996</v>
      </c>
      <c r="H182" s="247"/>
      <c r="I182" s="247" t="s">
        <v>1729</v>
      </c>
      <c r="J182" s="247">
        <v>5</v>
      </c>
      <c r="K182" s="247">
        <v>5</v>
      </c>
      <c r="L182" s="249" t="s">
        <v>646</v>
      </c>
      <c r="M182" s="249" t="s">
        <v>933</v>
      </c>
      <c r="N182" s="248">
        <v>-281.75</v>
      </c>
      <c r="O182" s="248">
        <v>-552.69000000000005</v>
      </c>
      <c r="P182" s="247" t="s">
        <v>997</v>
      </c>
      <c r="Q182" s="247" t="s">
        <v>84</v>
      </c>
    </row>
    <row r="183" spans="1:17" x14ac:dyDescent="0.25">
      <c r="A183" s="247" t="s">
        <v>646</v>
      </c>
      <c r="B183" s="247" t="s">
        <v>25</v>
      </c>
      <c r="C183" s="247" t="s">
        <v>993</v>
      </c>
      <c r="D183" s="247" t="s">
        <v>926</v>
      </c>
      <c r="E183" s="247" t="s">
        <v>958</v>
      </c>
      <c r="F183" s="247" t="s">
        <v>1728</v>
      </c>
      <c r="G183" s="247" t="s">
        <v>996</v>
      </c>
      <c r="H183" s="247"/>
      <c r="I183" s="247" t="s">
        <v>1729</v>
      </c>
      <c r="J183" s="247">
        <v>5</v>
      </c>
      <c r="K183" s="247">
        <v>5</v>
      </c>
      <c r="L183" s="249" t="s">
        <v>650</v>
      </c>
      <c r="M183" s="249" t="s">
        <v>933</v>
      </c>
      <c r="N183" s="248">
        <v>-466.41</v>
      </c>
      <c r="O183" s="248">
        <v>-1019.1</v>
      </c>
      <c r="P183" s="247" t="s">
        <v>997</v>
      </c>
      <c r="Q183" s="247" t="s">
        <v>85</v>
      </c>
    </row>
    <row r="184" spans="1:17" x14ac:dyDescent="0.25">
      <c r="A184" s="247" t="s">
        <v>646</v>
      </c>
      <c r="B184" s="247" t="s">
        <v>25</v>
      </c>
      <c r="C184" s="247" t="s">
        <v>993</v>
      </c>
      <c r="D184" s="247" t="s">
        <v>926</v>
      </c>
      <c r="E184" s="247" t="s">
        <v>958</v>
      </c>
      <c r="F184" s="247" t="s">
        <v>1728</v>
      </c>
      <c r="G184" s="247" t="s">
        <v>996</v>
      </c>
      <c r="H184" s="247"/>
      <c r="I184" s="247" t="s">
        <v>1729</v>
      </c>
      <c r="J184" s="247">
        <v>5</v>
      </c>
      <c r="K184" s="247">
        <v>5</v>
      </c>
      <c r="L184" s="249" t="s">
        <v>652</v>
      </c>
      <c r="M184" s="249" t="s">
        <v>933</v>
      </c>
      <c r="N184" s="248">
        <v>-555</v>
      </c>
      <c r="O184" s="248">
        <v>-1574.1</v>
      </c>
      <c r="P184" s="247" t="s">
        <v>997</v>
      </c>
      <c r="Q184" s="247" t="s">
        <v>86</v>
      </c>
    </row>
    <row r="185" spans="1:17" x14ac:dyDescent="0.25">
      <c r="A185" s="247" t="s">
        <v>646</v>
      </c>
      <c r="B185" s="247" t="s">
        <v>25</v>
      </c>
      <c r="C185" s="247" t="s">
        <v>993</v>
      </c>
      <c r="D185" s="247" t="s">
        <v>926</v>
      </c>
      <c r="E185" s="247" t="s">
        <v>958</v>
      </c>
      <c r="F185" s="247" t="s">
        <v>1728</v>
      </c>
      <c r="G185" s="247" t="s">
        <v>996</v>
      </c>
      <c r="H185" s="247"/>
      <c r="I185" s="247" t="s">
        <v>1729</v>
      </c>
      <c r="J185" s="247">
        <v>5</v>
      </c>
      <c r="K185" s="247">
        <v>5</v>
      </c>
      <c r="L185" s="249" t="s">
        <v>789</v>
      </c>
      <c r="M185" s="249" t="s">
        <v>929</v>
      </c>
      <c r="N185" s="248">
        <v>-291.89999999999998</v>
      </c>
      <c r="O185" s="248">
        <v>-291.89999999999998</v>
      </c>
      <c r="P185" s="247" t="s">
        <v>997</v>
      </c>
      <c r="Q185" s="247" t="s">
        <v>87</v>
      </c>
    </row>
    <row r="186" spans="1:17" x14ac:dyDescent="0.25">
      <c r="A186" s="247" t="s">
        <v>646</v>
      </c>
      <c r="B186" s="247" t="s">
        <v>25</v>
      </c>
      <c r="C186" s="247" t="s">
        <v>993</v>
      </c>
      <c r="D186" s="247" t="s">
        <v>926</v>
      </c>
      <c r="E186" s="247" t="s">
        <v>958</v>
      </c>
      <c r="F186" s="247" t="s">
        <v>1728</v>
      </c>
      <c r="G186" s="247" t="s">
        <v>996</v>
      </c>
      <c r="H186" s="247"/>
      <c r="I186" s="247" t="s">
        <v>1729</v>
      </c>
      <c r="J186" s="247">
        <v>5</v>
      </c>
      <c r="K186" s="247">
        <v>5</v>
      </c>
      <c r="L186" s="249" t="s">
        <v>791</v>
      </c>
      <c r="M186" s="249" t="s">
        <v>929</v>
      </c>
      <c r="N186" s="248">
        <v>-99.44</v>
      </c>
      <c r="O186" s="248">
        <v>-391.34</v>
      </c>
      <c r="P186" s="247" t="s">
        <v>997</v>
      </c>
      <c r="Q186" s="247" t="s">
        <v>88</v>
      </c>
    </row>
    <row r="187" spans="1:17" x14ac:dyDescent="0.25">
      <c r="A187" s="247" t="s">
        <v>646</v>
      </c>
      <c r="B187" s="247" t="s">
        <v>25</v>
      </c>
      <c r="C187" s="247" t="s">
        <v>993</v>
      </c>
      <c r="D187" s="247" t="s">
        <v>926</v>
      </c>
      <c r="E187" s="247" t="s">
        <v>958</v>
      </c>
      <c r="F187" s="247" t="s">
        <v>1728</v>
      </c>
      <c r="G187" s="247" t="s">
        <v>996</v>
      </c>
      <c r="H187" s="247"/>
      <c r="I187" s="247" t="s">
        <v>1729</v>
      </c>
      <c r="J187" s="247">
        <v>5</v>
      </c>
      <c r="K187" s="247">
        <v>5</v>
      </c>
      <c r="L187" s="249" t="s">
        <v>935</v>
      </c>
      <c r="M187" s="249" t="s">
        <v>929</v>
      </c>
      <c r="N187" s="248">
        <v>-257.75</v>
      </c>
      <c r="O187" s="248">
        <v>-649.09</v>
      </c>
      <c r="P187" s="247" t="s">
        <v>997</v>
      </c>
      <c r="Q187" s="247" t="s">
        <v>89</v>
      </c>
    </row>
    <row r="188" spans="1:17" x14ac:dyDescent="0.25">
      <c r="A188" s="247" t="s">
        <v>646</v>
      </c>
      <c r="B188" s="247" t="s">
        <v>25</v>
      </c>
      <c r="C188" s="247" t="s">
        <v>993</v>
      </c>
      <c r="D188" s="247" t="s">
        <v>926</v>
      </c>
      <c r="E188" s="247" t="s">
        <v>958</v>
      </c>
      <c r="F188" s="247" t="s">
        <v>1728</v>
      </c>
      <c r="G188" s="247" t="s">
        <v>996</v>
      </c>
      <c r="H188" s="247"/>
      <c r="I188" s="247" t="s">
        <v>1729</v>
      </c>
      <c r="J188" s="247">
        <v>5</v>
      </c>
      <c r="K188" s="247">
        <v>5</v>
      </c>
      <c r="L188" s="249" t="s">
        <v>936</v>
      </c>
      <c r="M188" s="249" t="s">
        <v>929</v>
      </c>
      <c r="N188" s="248">
        <v>-197.36</v>
      </c>
      <c r="O188" s="248">
        <v>-846.45</v>
      </c>
      <c r="P188" s="247" t="s">
        <v>997</v>
      </c>
      <c r="Q188" s="247" t="s">
        <v>90</v>
      </c>
    </row>
    <row r="189" spans="1:17" x14ac:dyDescent="0.25">
      <c r="A189" s="247" t="s">
        <v>646</v>
      </c>
      <c r="B189" s="247" t="s">
        <v>25</v>
      </c>
      <c r="C189" s="247" t="s">
        <v>993</v>
      </c>
      <c r="D189" s="247" t="s">
        <v>926</v>
      </c>
      <c r="E189" s="247" t="s">
        <v>958</v>
      </c>
      <c r="F189" s="247" t="s">
        <v>1728</v>
      </c>
      <c r="G189" s="247" t="s">
        <v>996</v>
      </c>
      <c r="H189" s="247"/>
      <c r="I189" s="247" t="s">
        <v>1729</v>
      </c>
      <c r="J189" s="247">
        <v>5</v>
      </c>
      <c r="K189" s="247">
        <v>5</v>
      </c>
      <c r="L189" s="249" t="s">
        <v>937</v>
      </c>
      <c r="M189" s="249" t="s">
        <v>929</v>
      </c>
      <c r="N189" s="248">
        <v>-154.09</v>
      </c>
      <c r="O189" s="248">
        <v>-1000.54</v>
      </c>
      <c r="P189" s="247" t="s">
        <v>997</v>
      </c>
      <c r="Q189" s="247" t="s">
        <v>91</v>
      </c>
    </row>
    <row r="190" spans="1:17" x14ac:dyDescent="0.25">
      <c r="A190" s="247" t="s">
        <v>646</v>
      </c>
      <c r="B190" s="247" t="s">
        <v>25</v>
      </c>
      <c r="C190" s="247" t="s">
        <v>993</v>
      </c>
      <c r="D190" s="247" t="s">
        <v>926</v>
      </c>
      <c r="E190" s="247" t="s">
        <v>958</v>
      </c>
      <c r="F190" s="247" t="s">
        <v>1728</v>
      </c>
      <c r="G190" s="247" t="s">
        <v>996</v>
      </c>
      <c r="H190" s="247"/>
      <c r="I190" s="247" t="s">
        <v>1729</v>
      </c>
      <c r="J190" s="247">
        <v>5</v>
      </c>
      <c r="K190" s="247">
        <v>5</v>
      </c>
      <c r="L190" s="249" t="s">
        <v>938</v>
      </c>
      <c r="M190" s="249" t="s">
        <v>929</v>
      </c>
      <c r="N190" s="248">
        <v>-207.05</v>
      </c>
      <c r="O190" s="248">
        <v>-1207.5899999999999</v>
      </c>
      <c r="P190" s="247" t="s">
        <v>997</v>
      </c>
      <c r="Q190" s="247" t="s">
        <v>92</v>
      </c>
    </row>
    <row r="191" spans="1:17" x14ac:dyDescent="0.25">
      <c r="A191" s="247" t="s">
        <v>646</v>
      </c>
      <c r="B191" s="247" t="s">
        <v>25</v>
      </c>
      <c r="C191" s="247" t="s">
        <v>993</v>
      </c>
      <c r="D191" s="247" t="s">
        <v>926</v>
      </c>
      <c r="E191" s="247" t="s">
        <v>958</v>
      </c>
      <c r="F191" s="247" t="s">
        <v>1728</v>
      </c>
      <c r="G191" s="247" t="s">
        <v>996</v>
      </c>
      <c r="H191" s="247"/>
      <c r="I191" s="247" t="s">
        <v>1729</v>
      </c>
      <c r="J191" s="247">
        <v>5</v>
      </c>
      <c r="K191" s="247">
        <v>5</v>
      </c>
      <c r="L191" s="249" t="s">
        <v>939</v>
      </c>
      <c r="M191" s="249" t="s">
        <v>929</v>
      </c>
      <c r="N191" s="248">
        <v>-388.19</v>
      </c>
      <c r="O191" s="248">
        <v>-1595.78</v>
      </c>
      <c r="P191" s="247" t="s">
        <v>997</v>
      </c>
      <c r="Q191" s="247" t="s">
        <v>93</v>
      </c>
    </row>
    <row r="192" spans="1:17" x14ac:dyDescent="0.25">
      <c r="A192" s="247" t="s">
        <v>646</v>
      </c>
      <c r="B192" s="247" t="s">
        <v>25</v>
      </c>
      <c r="C192" s="247" t="s">
        <v>993</v>
      </c>
      <c r="D192" s="247" t="s">
        <v>926</v>
      </c>
      <c r="E192" s="247" t="s">
        <v>958</v>
      </c>
      <c r="F192" s="247" t="s">
        <v>1728</v>
      </c>
      <c r="G192" s="247" t="s">
        <v>996</v>
      </c>
      <c r="H192" s="247"/>
      <c r="I192" s="247" t="s">
        <v>1729</v>
      </c>
      <c r="J192" s="247">
        <v>5</v>
      </c>
      <c r="K192" s="247">
        <v>5</v>
      </c>
      <c r="L192" s="249" t="s">
        <v>940</v>
      </c>
      <c r="M192" s="249" t="s">
        <v>929</v>
      </c>
      <c r="N192" s="248">
        <v>-323.69</v>
      </c>
      <c r="O192" s="248">
        <v>-1919.47</v>
      </c>
      <c r="P192" s="247" t="s">
        <v>997</v>
      </c>
      <c r="Q192" s="247" t="s">
        <v>94</v>
      </c>
    </row>
    <row r="193" spans="1:17" x14ac:dyDescent="0.25">
      <c r="A193" s="247" t="s">
        <v>646</v>
      </c>
      <c r="B193" s="247" t="s">
        <v>25</v>
      </c>
      <c r="C193" s="247" t="s">
        <v>993</v>
      </c>
      <c r="D193" s="247" t="s">
        <v>926</v>
      </c>
      <c r="E193" s="247" t="s">
        <v>958</v>
      </c>
      <c r="F193" s="247" t="s">
        <v>1728</v>
      </c>
      <c r="G193" s="247" t="s">
        <v>996</v>
      </c>
      <c r="H193" s="247"/>
      <c r="I193" s="247" t="s">
        <v>1729</v>
      </c>
      <c r="J193" s="247">
        <v>5</v>
      </c>
      <c r="K193" s="247">
        <v>5</v>
      </c>
      <c r="L193" s="249" t="s">
        <v>642</v>
      </c>
      <c r="M193" s="249" t="s">
        <v>929</v>
      </c>
      <c r="N193" s="248">
        <v>-478.71</v>
      </c>
      <c r="O193" s="248">
        <v>-2398.1799999999998</v>
      </c>
      <c r="P193" s="247" t="s">
        <v>997</v>
      </c>
      <c r="Q193" s="247" t="s">
        <v>95</v>
      </c>
    </row>
    <row r="194" spans="1:17" x14ac:dyDescent="0.25">
      <c r="A194" s="247" t="s">
        <v>646</v>
      </c>
      <c r="B194" s="247" t="s">
        <v>25</v>
      </c>
      <c r="C194" s="247" t="s">
        <v>993</v>
      </c>
      <c r="D194" s="247" t="s">
        <v>926</v>
      </c>
      <c r="E194" s="247" t="s">
        <v>964</v>
      </c>
      <c r="F194" s="247" t="s">
        <v>1730</v>
      </c>
      <c r="G194" s="247" t="s">
        <v>998</v>
      </c>
      <c r="H194" s="247"/>
      <c r="I194" s="247" t="s">
        <v>1731</v>
      </c>
      <c r="J194" s="247">
        <v>16</v>
      </c>
      <c r="K194" s="247">
        <v>16</v>
      </c>
      <c r="L194" s="249" t="s">
        <v>646</v>
      </c>
      <c r="M194" s="249" t="s">
        <v>933</v>
      </c>
      <c r="N194" s="248">
        <v>-8.6199999999999992</v>
      </c>
      <c r="O194" s="248">
        <v>-27.31</v>
      </c>
      <c r="P194" s="247" t="s">
        <v>999</v>
      </c>
      <c r="Q194" s="247" t="s">
        <v>84</v>
      </c>
    </row>
    <row r="195" spans="1:17" x14ac:dyDescent="0.25">
      <c r="A195" s="247" t="s">
        <v>646</v>
      </c>
      <c r="B195" s="247" t="s">
        <v>25</v>
      </c>
      <c r="C195" s="247" t="s">
        <v>993</v>
      </c>
      <c r="D195" s="247" t="s">
        <v>926</v>
      </c>
      <c r="E195" s="247" t="s">
        <v>964</v>
      </c>
      <c r="F195" s="247" t="s">
        <v>1730</v>
      </c>
      <c r="G195" s="247" t="s">
        <v>998</v>
      </c>
      <c r="H195" s="247"/>
      <c r="I195" s="247" t="s">
        <v>1731</v>
      </c>
      <c r="J195" s="247">
        <v>16</v>
      </c>
      <c r="K195" s="247">
        <v>16</v>
      </c>
      <c r="L195" s="249" t="s">
        <v>650</v>
      </c>
      <c r="M195" s="249" t="s">
        <v>933</v>
      </c>
      <c r="N195" s="248">
        <v>-12.92</v>
      </c>
      <c r="O195" s="248">
        <v>-40.229999999999997</v>
      </c>
      <c r="P195" s="247" t="s">
        <v>999</v>
      </c>
      <c r="Q195" s="247" t="s">
        <v>85</v>
      </c>
    </row>
    <row r="196" spans="1:17" x14ac:dyDescent="0.25">
      <c r="A196" s="247" t="s">
        <v>646</v>
      </c>
      <c r="B196" s="247" t="s">
        <v>25</v>
      </c>
      <c r="C196" s="247" t="s">
        <v>993</v>
      </c>
      <c r="D196" s="247" t="s">
        <v>926</v>
      </c>
      <c r="E196" s="247" t="s">
        <v>964</v>
      </c>
      <c r="F196" s="247" t="s">
        <v>1730</v>
      </c>
      <c r="G196" s="247" t="s">
        <v>998</v>
      </c>
      <c r="H196" s="247"/>
      <c r="I196" s="247" t="s">
        <v>1731</v>
      </c>
      <c r="J196" s="247">
        <v>16</v>
      </c>
      <c r="K196" s="247">
        <v>16</v>
      </c>
      <c r="L196" s="249" t="s">
        <v>652</v>
      </c>
      <c r="M196" s="249" t="s">
        <v>933</v>
      </c>
      <c r="N196" s="248">
        <v>-5.71</v>
      </c>
      <c r="O196" s="248">
        <v>-45.94</v>
      </c>
      <c r="P196" s="247" t="s">
        <v>999</v>
      </c>
      <c r="Q196" s="247" t="s">
        <v>86</v>
      </c>
    </row>
    <row r="197" spans="1:17" x14ac:dyDescent="0.25">
      <c r="A197" s="247" t="s">
        <v>646</v>
      </c>
      <c r="B197" s="247" t="s">
        <v>25</v>
      </c>
      <c r="C197" s="247" t="s">
        <v>993</v>
      </c>
      <c r="D197" s="247" t="s">
        <v>926</v>
      </c>
      <c r="E197" s="247" t="s">
        <v>964</v>
      </c>
      <c r="F197" s="247" t="s">
        <v>1730</v>
      </c>
      <c r="G197" s="247" t="s">
        <v>998</v>
      </c>
      <c r="H197" s="247"/>
      <c r="I197" s="247" t="s">
        <v>1731</v>
      </c>
      <c r="J197" s="247">
        <v>16</v>
      </c>
      <c r="K197" s="247">
        <v>16</v>
      </c>
      <c r="L197" s="249" t="s">
        <v>789</v>
      </c>
      <c r="M197" s="249" t="s">
        <v>929</v>
      </c>
      <c r="N197" s="248">
        <v>-7.65</v>
      </c>
      <c r="O197" s="248">
        <v>-7.65</v>
      </c>
      <c r="P197" s="247" t="s">
        <v>999</v>
      </c>
      <c r="Q197" s="247" t="s">
        <v>87</v>
      </c>
    </row>
    <row r="198" spans="1:17" x14ac:dyDescent="0.25">
      <c r="A198" s="247" t="s">
        <v>646</v>
      </c>
      <c r="B198" s="247" t="s">
        <v>25</v>
      </c>
      <c r="C198" s="247" t="s">
        <v>993</v>
      </c>
      <c r="D198" s="247" t="s">
        <v>926</v>
      </c>
      <c r="E198" s="247" t="s">
        <v>964</v>
      </c>
      <c r="F198" s="247" t="s">
        <v>1730</v>
      </c>
      <c r="G198" s="247" t="s">
        <v>998</v>
      </c>
      <c r="H198" s="247"/>
      <c r="I198" s="247" t="s">
        <v>1731</v>
      </c>
      <c r="J198" s="247">
        <v>16</v>
      </c>
      <c r="K198" s="247">
        <v>16</v>
      </c>
      <c r="L198" s="249" t="s">
        <v>791</v>
      </c>
      <c r="M198" s="249" t="s">
        <v>929</v>
      </c>
      <c r="N198" s="248">
        <v>-8.69</v>
      </c>
      <c r="O198" s="248">
        <v>-16.34</v>
      </c>
      <c r="P198" s="247" t="s">
        <v>999</v>
      </c>
      <c r="Q198" s="247" t="s">
        <v>88</v>
      </c>
    </row>
    <row r="199" spans="1:17" x14ac:dyDescent="0.25">
      <c r="A199" s="247" t="s">
        <v>646</v>
      </c>
      <c r="B199" s="247" t="s">
        <v>25</v>
      </c>
      <c r="C199" s="247" t="s">
        <v>993</v>
      </c>
      <c r="D199" s="247" t="s">
        <v>926</v>
      </c>
      <c r="E199" s="247" t="s">
        <v>964</v>
      </c>
      <c r="F199" s="247" t="s">
        <v>1730</v>
      </c>
      <c r="G199" s="247" t="s">
        <v>998</v>
      </c>
      <c r="H199" s="247"/>
      <c r="I199" s="247" t="s">
        <v>1731</v>
      </c>
      <c r="J199" s="247">
        <v>16</v>
      </c>
      <c r="K199" s="247">
        <v>16</v>
      </c>
      <c r="L199" s="249" t="s">
        <v>935</v>
      </c>
      <c r="M199" s="249" t="s">
        <v>929</v>
      </c>
      <c r="N199" s="248">
        <v>-2.67</v>
      </c>
      <c r="O199" s="248">
        <v>-19.010000000000002</v>
      </c>
      <c r="P199" s="247" t="s">
        <v>999</v>
      </c>
      <c r="Q199" s="247" t="s">
        <v>89</v>
      </c>
    </row>
    <row r="200" spans="1:17" x14ac:dyDescent="0.25">
      <c r="A200" s="247" t="s">
        <v>646</v>
      </c>
      <c r="B200" s="247" t="s">
        <v>25</v>
      </c>
      <c r="C200" s="247" t="s">
        <v>993</v>
      </c>
      <c r="D200" s="247" t="s">
        <v>926</v>
      </c>
      <c r="E200" s="247" t="s">
        <v>964</v>
      </c>
      <c r="F200" s="247" t="s">
        <v>1730</v>
      </c>
      <c r="G200" s="247" t="s">
        <v>998</v>
      </c>
      <c r="H200" s="247"/>
      <c r="I200" s="247" t="s">
        <v>1731</v>
      </c>
      <c r="J200" s="247">
        <v>16</v>
      </c>
      <c r="K200" s="247">
        <v>16</v>
      </c>
      <c r="L200" s="249" t="s">
        <v>936</v>
      </c>
      <c r="M200" s="249" t="s">
        <v>929</v>
      </c>
      <c r="N200" s="248">
        <v>-9.65</v>
      </c>
      <c r="O200" s="248">
        <v>-28.66</v>
      </c>
      <c r="P200" s="247" t="s">
        <v>999</v>
      </c>
      <c r="Q200" s="247" t="s">
        <v>90</v>
      </c>
    </row>
    <row r="201" spans="1:17" x14ac:dyDescent="0.25">
      <c r="A201" s="247" t="s">
        <v>646</v>
      </c>
      <c r="B201" s="247" t="s">
        <v>25</v>
      </c>
      <c r="C201" s="247" t="s">
        <v>993</v>
      </c>
      <c r="D201" s="247" t="s">
        <v>926</v>
      </c>
      <c r="E201" s="247" t="s">
        <v>964</v>
      </c>
      <c r="F201" s="247" t="s">
        <v>1730</v>
      </c>
      <c r="G201" s="247" t="s">
        <v>998</v>
      </c>
      <c r="H201" s="247"/>
      <c r="I201" s="247" t="s">
        <v>1731</v>
      </c>
      <c r="J201" s="247">
        <v>16</v>
      </c>
      <c r="K201" s="247">
        <v>16</v>
      </c>
      <c r="L201" s="249" t="s">
        <v>937</v>
      </c>
      <c r="M201" s="249" t="s">
        <v>929</v>
      </c>
      <c r="N201" s="248">
        <v>-4.71</v>
      </c>
      <c r="O201" s="248">
        <v>-33.369999999999997</v>
      </c>
      <c r="P201" s="247" t="s">
        <v>999</v>
      </c>
      <c r="Q201" s="247" t="s">
        <v>91</v>
      </c>
    </row>
    <row r="202" spans="1:17" x14ac:dyDescent="0.25">
      <c r="A202" s="247" t="s">
        <v>646</v>
      </c>
      <c r="B202" s="247" t="s">
        <v>25</v>
      </c>
      <c r="C202" s="247" t="s">
        <v>993</v>
      </c>
      <c r="D202" s="247" t="s">
        <v>926</v>
      </c>
      <c r="E202" s="247" t="s">
        <v>964</v>
      </c>
      <c r="F202" s="247" t="s">
        <v>1730</v>
      </c>
      <c r="G202" s="247" t="s">
        <v>998</v>
      </c>
      <c r="H202" s="247"/>
      <c r="I202" s="247" t="s">
        <v>1731</v>
      </c>
      <c r="J202" s="247">
        <v>16</v>
      </c>
      <c r="K202" s="247">
        <v>16</v>
      </c>
      <c r="L202" s="249" t="s">
        <v>938</v>
      </c>
      <c r="M202" s="249" t="s">
        <v>929</v>
      </c>
      <c r="N202" s="248">
        <v>-6.67</v>
      </c>
      <c r="O202" s="248">
        <v>-40.04</v>
      </c>
      <c r="P202" s="247" t="s">
        <v>999</v>
      </c>
      <c r="Q202" s="247" t="s">
        <v>92</v>
      </c>
    </row>
    <row r="203" spans="1:17" x14ac:dyDescent="0.25">
      <c r="A203" s="247" t="s">
        <v>646</v>
      </c>
      <c r="B203" s="247" t="s">
        <v>25</v>
      </c>
      <c r="C203" s="247" t="s">
        <v>993</v>
      </c>
      <c r="D203" s="247" t="s">
        <v>926</v>
      </c>
      <c r="E203" s="247" t="s">
        <v>964</v>
      </c>
      <c r="F203" s="247" t="s">
        <v>1730</v>
      </c>
      <c r="G203" s="247" t="s">
        <v>998</v>
      </c>
      <c r="H203" s="247"/>
      <c r="I203" s="247" t="s">
        <v>1731</v>
      </c>
      <c r="J203" s="247">
        <v>16</v>
      </c>
      <c r="K203" s="247">
        <v>16</v>
      </c>
      <c r="L203" s="249" t="s">
        <v>939</v>
      </c>
      <c r="M203" s="249" t="s">
        <v>929</v>
      </c>
      <c r="N203" s="248">
        <v>-7.69</v>
      </c>
      <c r="O203" s="248">
        <v>-47.73</v>
      </c>
      <c r="P203" s="247" t="s">
        <v>999</v>
      </c>
      <c r="Q203" s="247" t="s">
        <v>93</v>
      </c>
    </row>
    <row r="204" spans="1:17" x14ac:dyDescent="0.25">
      <c r="A204" s="247" t="s">
        <v>646</v>
      </c>
      <c r="B204" s="247" t="s">
        <v>25</v>
      </c>
      <c r="C204" s="247" t="s">
        <v>993</v>
      </c>
      <c r="D204" s="247" t="s">
        <v>926</v>
      </c>
      <c r="E204" s="247" t="s">
        <v>964</v>
      </c>
      <c r="F204" s="247" t="s">
        <v>1730</v>
      </c>
      <c r="G204" s="247" t="s">
        <v>998</v>
      </c>
      <c r="H204" s="247"/>
      <c r="I204" s="247" t="s">
        <v>1731</v>
      </c>
      <c r="J204" s="247">
        <v>16</v>
      </c>
      <c r="K204" s="247">
        <v>16</v>
      </c>
      <c r="L204" s="249" t="s">
        <v>940</v>
      </c>
      <c r="M204" s="249" t="s">
        <v>929</v>
      </c>
      <c r="N204" s="248">
        <v>-10.69</v>
      </c>
      <c r="O204" s="248">
        <v>-58.42</v>
      </c>
      <c r="P204" s="247" t="s">
        <v>999</v>
      </c>
      <c r="Q204" s="247" t="s">
        <v>94</v>
      </c>
    </row>
    <row r="205" spans="1:17" x14ac:dyDescent="0.25">
      <c r="A205" s="247" t="s">
        <v>646</v>
      </c>
      <c r="B205" s="247" t="s">
        <v>25</v>
      </c>
      <c r="C205" s="247" t="s">
        <v>993</v>
      </c>
      <c r="D205" s="247" t="s">
        <v>926</v>
      </c>
      <c r="E205" s="247" t="s">
        <v>964</v>
      </c>
      <c r="F205" s="247" t="s">
        <v>1730</v>
      </c>
      <c r="G205" s="247" t="s">
        <v>998</v>
      </c>
      <c r="H205" s="247"/>
      <c r="I205" s="247" t="s">
        <v>1731</v>
      </c>
      <c r="J205" s="247">
        <v>16</v>
      </c>
      <c r="K205" s="247">
        <v>16</v>
      </c>
      <c r="L205" s="249" t="s">
        <v>642</v>
      </c>
      <c r="M205" s="249" t="s">
        <v>929</v>
      </c>
      <c r="N205" s="248">
        <v>-8.73</v>
      </c>
      <c r="O205" s="248">
        <v>-67.150000000000006</v>
      </c>
      <c r="P205" s="247" t="s">
        <v>999</v>
      </c>
      <c r="Q205" s="247" t="s">
        <v>95</v>
      </c>
    </row>
    <row r="206" spans="1:17" x14ac:dyDescent="0.25">
      <c r="A206" s="247" t="s">
        <v>646</v>
      </c>
      <c r="B206" s="247" t="s">
        <v>25</v>
      </c>
      <c r="C206" s="247" t="s">
        <v>993</v>
      </c>
      <c r="D206" s="247" t="s">
        <v>990</v>
      </c>
      <c r="E206" s="247" t="s">
        <v>981</v>
      </c>
      <c r="F206" s="247" t="s">
        <v>1732</v>
      </c>
      <c r="G206" s="247" t="s">
        <v>1000</v>
      </c>
      <c r="H206" s="247"/>
      <c r="I206" s="247" t="s">
        <v>1733</v>
      </c>
      <c r="J206" s="247">
        <v>5</v>
      </c>
      <c r="K206" s="247">
        <v>5</v>
      </c>
      <c r="L206" s="249" t="s">
        <v>646</v>
      </c>
      <c r="M206" s="249" t="s">
        <v>933</v>
      </c>
      <c r="N206" s="248">
        <v>-97.59</v>
      </c>
      <c r="O206" s="248">
        <v>-195.6</v>
      </c>
      <c r="P206" s="247" t="s">
        <v>1001</v>
      </c>
      <c r="Q206" s="247" t="s">
        <v>84</v>
      </c>
    </row>
    <row r="207" spans="1:17" x14ac:dyDescent="0.25">
      <c r="A207" s="247" t="s">
        <v>646</v>
      </c>
      <c r="B207" s="247" t="s">
        <v>25</v>
      </c>
      <c r="C207" s="247" t="s">
        <v>993</v>
      </c>
      <c r="D207" s="247" t="s">
        <v>990</v>
      </c>
      <c r="E207" s="247" t="s">
        <v>981</v>
      </c>
      <c r="F207" s="247" t="s">
        <v>1732</v>
      </c>
      <c r="G207" s="247" t="s">
        <v>1000</v>
      </c>
      <c r="H207" s="247"/>
      <c r="I207" s="247" t="s">
        <v>1733</v>
      </c>
      <c r="J207" s="247">
        <v>5</v>
      </c>
      <c r="K207" s="247">
        <v>5</v>
      </c>
      <c r="L207" s="249" t="s">
        <v>650</v>
      </c>
      <c r="M207" s="249" t="s">
        <v>933</v>
      </c>
      <c r="N207" s="248">
        <v>-142.91999999999999</v>
      </c>
      <c r="O207" s="248">
        <v>-338.52</v>
      </c>
      <c r="P207" s="247" t="s">
        <v>1001</v>
      </c>
      <c r="Q207" s="247" t="s">
        <v>85</v>
      </c>
    </row>
    <row r="208" spans="1:17" x14ac:dyDescent="0.25">
      <c r="A208" s="247" t="s">
        <v>646</v>
      </c>
      <c r="B208" s="247" t="s">
        <v>25</v>
      </c>
      <c r="C208" s="247" t="s">
        <v>993</v>
      </c>
      <c r="D208" s="247" t="s">
        <v>990</v>
      </c>
      <c r="E208" s="247" t="s">
        <v>981</v>
      </c>
      <c r="F208" s="247" t="s">
        <v>1732</v>
      </c>
      <c r="G208" s="247" t="s">
        <v>1000</v>
      </c>
      <c r="H208" s="247"/>
      <c r="I208" s="247" t="s">
        <v>1733</v>
      </c>
      <c r="J208" s="247">
        <v>5</v>
      </c>
      <c r="K208" s="247">
        <v>5</v>
      </c>
      <c r="L208" s="249" t="s">
        <v>652</v>
      </c>
      <c r="M208" s="249" t="s">
        <v>933</v>
      </c>
      <c r="N208" s="248">
        <v>-142.02000000000001</v>
      </c>
      <c r="O208" s="248">
        <v>-480.54</v>
      </c>
      <c r="P208" s="247" t="s">
        <v>1001</v>
      </c>
      <c r="Q208" s="247" t="s">
        <v>86</v>
      </c>
    </row>
    <row r="209" spans="1:17" x14ac:dyDescent="0.25">
      <c r="A209" s="247" t="s">
        <v>646</v>
      </c>
      <c r="B209" s="247" t="s">
        <v>25</v>
      </c>
      <c r="C209" s="247" t="s">
        <v>993</v>
      </c>
      <c r="D209" s="247" t="s">
        <v>990</v>
      </c>
      <c r="E209" s="247" t="s">
        <v>981</v>
      </c>
      <c r="F209" s="247" t="s">
        <v>1732</v>
      </c>
      <c r="G209" s="247" t="s">
        <v>1000</v>
      </c>
      <c r="H209" s="247"/>
      <c r="I209" s="247" t="s">
        <v>1733</v>
      </c>
      <c r="J209" s="247">
        <v>5</v>
      </c>
      <c r="K209" s="247">
        <v>5</v>
      </c>
      <c r="L209" s="249" t="s">
        <v>789</v>
      </c>
      <c r="M209" s="249" t="s">
        <v>929</v>
      </c>
      <c r="N209" s="248">
        <v>-224.21</v>
      </c>
      <c r="O209" s="248">
        <v>-224.21</v>
      </c>
      <c r="P209" s="247" t="s">
        <v>1001</v>
      </c>
      <c r="Q209" s="247" t="s">
        <v>87</v>
      </c>
    </row>
    <row r="210" spans="1:17" x14ac:dyDescent="0.25">
      <c r="A210" s="247" t="s">
        <v>646</v>
      </c>
      <c r="B210" s="247" t="s">
        <v>25</v>
      </c>
      <c r="C210" s="247" t="s">
        <v>993</v>
      </c>
      <c r="D210" s="247" t="s">
        <v>990</v>
      </c>
      <c r="E210" s="247" t="s">
        <v>981</v>
      </c>
      <c r="F210" s="247" t="s">
        <v>1732</v>
      </c>
      <c r="G210" s="247" t="s">
        <v>1000</v>
      </c>
      <c r="H210" s="247"/>
      <c r="I210" s="247" t="s">
        <v>1733</v>
      </c>
      <c r="J210" s="247">
        <v>5</v>
      </c>
      <c r="K210" s="247">
        <v>5</v>
      </c>
      <c r="L210" s="249" t="s">
        <v>791</v>
      </c>
      <c r="M210" s="249" t="s">
        <v>929</v>
      </c>
      <c r="N210" s="248">
        <v>-65.95</v>
      </c>
      <c r="O210" s="248">
        <v>-290.16000000000003</v>
      </c>
      <c r="P210" s="247" t="s">
        <v>1001</v>
      </c>
      <c r="Q210" s="247" t="s">
        <v>88</v>
      </c>
    </row>
    <row r="211" spans="1:17" x14ac:dyDescent="0.25">
      <c r="A211" s="247" t="s">
        <v>646</v>
      </c>
      <c r="B211" s="247" t="s">
        <v>25</v>
      </c>
      <c r="C211" s="247" t="s">
        <v>993</v>
      </c>
      <c r="D211" s="247" t="s">
        <v>990</v>
      </c>
      <c r="E211" s="247" t="s">
        <v>981</v>
      </c>
      <c r="F211" s="247" t="s">
        <v>1732</v>
      </c>
      <c r="G211" s="247" t="s">
        <v>1000</v>
      </c>
      <c r="H211" s="247"/>
      <c r="I211" s="247" t="s">
        <v>1733</v>
      </c>
      <c r="J211" s="247">
        <v>5</v>
      </c>
      <c r="K211" s="247">
        <v>5</v>
      </c>
      <c r="L211" s="249" t="s">
        <v>935</v>
      </c>
      <c r="M211" s="249" t="s">
        <v>929</v>
      </c>
      <c r="N211" s="248">
        <v>-103.38</v>
      </c>
      <c r="O211" s="248">
        <v>-393.54</v>
      </c>
      <c r="P211" s="247" t="s">
        <v>1001</v>
      </c>
      <c r="Q211" s="247" t="s">
        <v>89</v>
      </c>
    </row>
    <row r="212" spans="1:17" x14ac:dyDescent="0.25">
      <c r="A212" s="247" t="s">
        <v>646</v>
      </c>
      <c r="B212" s="247" t="s">
        <v>25</v>
      </c>
      <c r="C212" s="247" t="s">
        <v>993</v>
      </c>
      <c r="D212" s="247" t="s">
        <v>990</v>
      </c>
      <c r="E212" s="247" t="s">
        <v>981</v>
      </c>
      <c r="F212" s="247" t="s">
        <v>1732</v>
      </c>
      <c r="G212" s="247" t="s">
        <v>1000</v>
      </c>
      <c r="H212" s="247"/>
      <c r="I212" s="247" t="s">
        <v>1733</v>
      </c>
      <c r="J212" s="247">
        <v>5</v>
      </c>
      <c r="K212" s="247">
        <v>5</v>
      </c>
      <c r="L212" s="249" t="s">
        <v>936</v>
      </c>
      <c r="M212" s="249" t="s">
        <v>929</v>
      </c>
      <c r="N212" s="248">
        <v>-108.12</v>
      </c>
      <c r="O212" s="248">
        <v>-501.66</v>
      </c>
      <c r="P212" s="247" t="s">
        <v>1001</v>
      </c>
      <c r="Q212" s="247" t="s">
        <v>90</v>
      </c>
    </row>
    <row r="213" spans="1:17" x14ac:dyDescent="0.25">
      <c r="A213" s="247" t="s">
        <v>646</v>
      </c>
      <c r="B213" s="247" t="s">
        <v>25</v>
      </c>
      <c r="C213" s="247" t="s">
        <v>993</v>
      </c>
      <c r="D213" s="247" t="s">
        <v>990</v>
      </c>
      <c r="E213" s="247" t="s">
        <v>981</v>
      </c>
      <c r="F213" s="247" t="s">
        <v>1732</v>
      </c>
      <c r="G213" s="247" t="s">
        <v>1000</v>
      </c>
      <c r="H213" s="247"/>
      <c r="I213" s="247" t="s">
        <v>1733</v>
      </c>
      <c r="J213" s="247">
        <v>5</v>
      </c>
      <c r="K213" s="247">
        <v>5</v>
      </c>
      <c r="L213" s="249" t="s">
        <v>937</v>
      </c>
      <c r="M213" s="249" t="s">
        <v>929</v>
      </c>
      <c r="N213" s="248">
        <v>-92.72</v>
      </c>
      <c r="O213" s="248">
        <v>-594.38</v>
      </c>
      <c r="P213" s="247" t="s">
        <v>1001</v>
      </c>
      <c r="Q213" s="247" t="s">
        <v>91</v>
      </c>
    </row>
    <row r="214" spans="1:17" x14ac:dyDescent="0.25">
      <c r="A214" s="247" t="s">
        <v>646</v>
      </c>
      <c r="B214" s="247" t="s">
        <v>25</v>
      </c>
      <c r="C214" s="247" t="s">
        <v>993</v>
      </c>
      <c r="D214" s="247" t="s">
        <v>990</v>
      </c>
      <c r="E214" s="247" t="s">
        <v>981</v>
      </c>
      <c r="F214" s="247" t="s">
        <v>1732</v>
      </c>
      <c r="G214" s="247" t="s">
        <v>1000</v>
      </c>
      <c r="H214" s="247"/>
      <c r="I214" s="247" t="s">
        <v>1733</v>
      </c>
      <c r="J214" s="247">
        <v>5</v>
      </c>
      <c r="K214" s="247">
        <v>5</v>
      </c>
      <c r="L214" s="249" t="s">
        <v>938</v>
      </c>
      <c r="M214" s="249" t="s">
        <v>929</v>
      </c>
      <c r="N214" s="248">
        <v>-126.27</v>
      </c>
      <c r="O214" s="248">
        <v>-720.65</v>
      </c>
      <c r="P214" s="247" t="s">
        <v>1001</v>
      </c>
      <c r="Q214" s="247" t="s">
        <v>92</v>
      </c>
    </row>
    <row r="215" spans="1:17" x14ac:dyDescent="0.25">
      <c r="A215" s="247" t="s">
        <v>646</v>
      </c>
      <c r="B215" s="247" t="s">
        <v>25</v>
      </c>
      <c r="C215" s="247" t="s">
        <v>993</v>
      </c>
      <c r="D215" s="247" t="s">
        <v>990</v>
      </c>
      <c r="E215" s="247" t="s">
        <v>981</v>
      </c>
      <c r="F215" s="247" t="s">
        <v>1732</v>
      </c>
      <c r="G215" s="247" t="s">
        <v>1000</v>
      </c>
      <c r="H215" s="247"/>
      <c r="I215" s="247" t="s">
        <v>1733</v>
      </c>
      <c r="J215" s="247">
        <v>5</v>
      </c>
      <c r="K215" s="247">
        <v>5</v>
      </c>
      <c r="L215" s="249" t="s">
        <v>939</v>
      </c>
      <c r="M215" s="249" t="s">
        <v>929</v>
      </c>
      <c r="N215" s="248">
        <v>-162.93</v>
      </c>
      <c r="O215" s="248">
        <v>-883.58</v>
      </c>
      <c r="P215" s="247" t="s">
        <v>1001</v>
      </c>
      <c r="Q215" s="247" t="s">
        <v>93</v>
      </c>
    </row>
    <row r="216" spans="1:17" x14ac:dyDescent="0.25">
      <c r="A216" s="247" t="s">
        <v>646</v>
      </c>
      <c r="B216" s="247" t="s">
        <v>25</v>
      </c>
      <c r="C216" s="247" t="s">
        <v>993</v>
      </c>
      <c r="D216" s="247" t="s">
        <v>990</v>
      </c>
      <c r="E216" s="247" t="s">
        <v>981</v>
      </c>
      <c r="F216" s="247" t="s">
        <v>1732</v>
      </c>
      <c r="G216" s="247" t="s">
        <v>1000</v>
      </c>
      <c r="H216" s="247"/>
      <c r="I216" s="247" t="s">
        <v>1733</v>
      </c>
      <c r="J216" s="247">
        <v>5</v>
      </c>
      <c r="K216" s="247">
        <v>5</v>
      </c>
      <c r="L216" s="249" t="s">
        <v>940</v>
      </c>
      <c r="M216" s="249" t="s">
        <v>929</v>
      </c>
      <c r="N216" s="248">
        <v>-138.22</v>
      </c>
      <c r="O216" s="248">
        <v>-1021.8</v>
      </c>
      <c r="P216" s="247" t="s">
        <v>1001</v>
      </c>
      <c r="Q216" s="247" t="s">
        <v>94</v>
      </c>
    </row>
    <row r="217" spans="1:17" x14ac:dyDescent="0.25">
      <c r="A217" s="247" t="s">
        <v>646</v>
      </c>
      <c r="B217" s="247" t="s">
        <v>25</v>
      </c>
      <c r="C217" s="247" t="s">
        <v>993</v>
      </c>
      <c r="D217" s="247" t="s">
        <v>990</v>
      </c>
      <c r="E217" s="247" t="s">
        <v>981</v>
      </c>
      <c r="F217" s="247" t="s">
        <v>1732</v>
      </c>
      <c r="G217" s="247" t="s">
        <v>1000</v>
      </c>
      <c r="H217" s="247"/>
      <c r="I217" s="247" t="s">
        <v>1733</v>
      </c>
      <c r="J217" s="247">
        <v>5</v>
      </c>
      <c r="K217" s="247">
        <v>5</v>
      </c>
      <c r="L217" s="249" t="s">
        <v>642</v>
      </c>
      <c r="M217" s="249" t="s">
        <v>929</v>
      </c>
      <c r="N217" s="248">
        <v>-216.81</v>
      </c>
      <c r="O217" s="248">
        <v>-1238.6099999999999</v>
      </c>
      <c r="P217" s="247" t="s">
        <v>1001</v>
      </c>
      <c r="Q217" s="247" t="s">
        <v>95</v>
      </c>
    </row>
    <row r="218" spans="1:17" x14ac:dyDescent="0.25">
      <c r="A218" s="247" t="s">
        <v>646</v>
      </c>
      <c r="B218" s="247" t="s">
        <v>25</v>
      </c>
      <c r="C218" s="247" t="s">
        <v>993</v>
      </c>
      <c r="D218" s="247" t="s">
        <v>711</v>
      </c>
      <c r="E218" s="247" t="s">
        <v>955</v>
      </c>
      <c r="F218" s="247" t="s">
        <v>1734</v>
      </c>
      <c r="G218" s="247" t="s">
        <v>1002</v>
      </c>
      <c r="H218" s="247"/>
      <c r="I218" s="247" t="s">
        <v>1735</v>
      </c>
      <c r="J218" s="247">
        <v>18</v>
      </c>
      <c r="K218" s="247">
        <v>18</v>
      </c>
      <c r="L218" s="249" t="s">
        <v>646</v>
      </c>
      <c r="M218" s="249" t="s">
        <v>933</v>
      </c>
      <c r="N218" s="248">
        <v>-749.67</v>
      </c>
      <c r="O218" s="248">
        <v>-753.29</v>
      </c>
      <c r="P218" s="247" t="s">
        <v>1003</v>
      </c>
      <c r="Q218" s="247" t="s">
        <v>84</v>
      </c>
    </row>
    <row r="219" spans="1:17" x14ac:dyDescent="0.25">
      <c r="A219" s="247" t="s">
        <v>646</v>
      </c>
      <c r="B219" s="247" t="s">
        <v>25</v>
      </c>
      <c r="C219" s="247" t="s">
        <v>993</v>
      </c>
      <c r="D219" s="247" t="s">
        <v>711</v>
      </c>
      <c r="E219" s="247" t="s">
        <v>955</v>
      </c>
      <c r="F219" s="247" t="s">
        <v>1734</v>
      </c>
      <c r="G219" s="247" t="s">
        <v>1002</v>
      </c>
      <c r="H219" s="247"/>
      <c r="I219" s="247" t="s">
        <v>1735</v>
      </c>
      <c r="J219" s="247">
        <v>18</v>
      </c>
      <c r="K219" s="247">
        <v>18</v>
      </c>
      <c r="L219" s="249" t="s">
        <v>650</v>
      </c>
      <c r="M219" s="249" t="s">
        <v>933</v>
      </c>
      <c r="N219" s="248">
        <v>-1</v>
      </c>
      <c r="O219" s="248">
        <v>-754.29</v>
      </c>
      <c r="P219" s="247" t="s">
        <v>1003</v>
      </c>
      <c r="Q219" s="247" t="s">
        <v>85</v>
      </c>
    </row>
    <row r="220" spans="1:17" x14ac:dyDescent="0.25">
      <c r="A220" s="247" t="s">
        <v>646</v>
      </c>
      <c r="B220" s="247" t="s">
        <v>25</v>
      </c>
      <c r="C220" s="247" t="s">
        <v>993</v>
      </c>
      <c r="D220" s="247" t="s">
        <v>711</v>
      </c>
      <c r="E220" s="247" t="s">
        <v>955</v>
      </c>
      <c r="F220" s="247" t="s">
        <v>1734</v>
      </c>
      <c r="G220" s="247" t="s">
        <v>1002</v>
      </c>
      <c r="H220" s="247"/>
      <c r="I220" s="247" t="s">
        <v>1735</v>
      </c>
      <c r="J220" s="247">
        <v>18</v>
      </c>
      <c r="K220" s="247">
        <v>18</v>
      </c>
      <c r="L220" s="249" t="s">
        <v>652</v>
      </c>
      <c r="M220" s="249" t="s">
        <v>933</v>
      </c>
      <c r="N220" s="248">
        <v>-3</v>
      </c>
      <c r="O220" s="248">
        <v>-757.29</v>
      </c>
      <c r="P220" s="247" t="s">
        <v>1003</v>
      </c>
      <c r="Q220" s="247" t="s">
        <v>86</v>
      </c>
    </row>
    <row r="221" spans="1:17" x14ac:dyDescent="0.25">
      <c r="A221" s="247" t="s">
        <v>646</v>
      </c>
      <c r="B221" s="247" t="s">
        <v>25</v>
      </c>
      <c r="C221" s="247" t="s">
        <v>993</v>
      </c>
      <c r="D221" s="247" t="s">
        <v>711</v>
      </c>
      <c r="E221" s="247" t="s">
        <v>955</v>
      </c>
      <c r="F221" s="247" t="s">
        <v>1734</v>
      </c>
      <c r="G221" s="247" t="s">
        <v>1002</v>
      </c>
      <c r="H221" s="247"/>
      <c r="I221" s="247" t="s">
        <v>1735</v>
      </c>
      <c r="J221" s="247">
        <v>18</v>
      </c>
      <c r="K221" s="247">
        <v>18</v>
      </c>
      <c r="L221" s="249" t="s">
        <v>789</v>
      </c>
      <c r="M221" s="249" t="s">
        <v>929</v>
      </c>
      <c r="N221" s="248">
        <v>-727.4</v>
      </c>
      <c r="O221" s="248">
        <v>-727.4</v>
      </c>
      <c r="P221" s="247" t="s">
        <v>1003</v>
      </c>
      <c r="Q221" s="247" t="s">
        <v>87</v>
      </c>
    </row>
    <row r="222" spans="1:17" x14ac:dyDescent="0.25">
      <c r="A222" s="247" t="s">
        <v>646</v>
      </c>
      <c r="B222" s="247" t="s">
        <v>25</v>
      </c>
      <c r="C222" s="247" t="s">
        <v>993</v>
      </c>
      <c r="D222" s="247" t="s">
        <v>711</v>
      </c>
      <c r="E222" s="247" t="s">
        <v>955</v>
      </c>
      <c r="F222" s="247" t="s">
        <v>1734</v>
      </c>
      <c r="G222" s="247" t="s">
        <v>1002</v>
      </c>
      <c r="H222" s="247"/>
      <c r="I222" s="247" t="s">
        <v>1735</v>
      </c>
      <c r="J222" s="247">
        <v>18</v>
      </c>
      <c r="K222" s="247">
        <v>18</v>
      </c>
      <c r="L222" s="249" t="s">
        <v>791</v>
      </c>
      <c r="M222" s="249" t="s">
        <v>929</v>
      </c>
      <c r="N222" s="248">
        <v>723.05</v>
      </c>
      <c r="O222" s="248">
        <v>-4.3499999999999996</v>
      </c>
      <c r="P222" s="247" t="s">
        <v>1003</v>
      </c>
      <c r="Q222" s="247" t="s">
        <v>88</v>
      </c>
    </row>
    <row r="223" spans="1:17" x14ac:dyDescent="0.25">
      <c r="A223" s="247" t="s">
        <v>646</v>
      </c>
      <c r="B223" s="247" t="s">
        <v>25</v>
      </c>
      <c r="C223" s="247" t="s">
        <v>993</v>
      </c>
      <c r="D223" s="247" t="s">
        <v>711</v>
      </c>
      <c r="E223" s="247" t="s">
        <v>955</v>
      </c>
      <c r="F223" s="247" t="s">
        <v>1734</v>
      </c>
      <c r="G223" s="247" t="s">
        <v>1002</v>
      </c>
      <c r="H223" s="247"/>
      <c r="I223" s="247" t="s">
        <v>1735</v>
      </c>
      <c r="J223" s="247">
        <v>18</v>
      </c>
      <c r="K223" s="247">
        <v>18</v>
      </c>
      <c r="L223" s="249" t="s">
        <v>935</v>
      </c>
      <c r="M223" s="249" t="s">
        <v>929</v>
      </c>
      <c r="N223" s="248">
        <v>0</v>
      </c>
      <c r="O223" s="248">
        <v>-4.3499999999999996</v>
      </c>
      <c r="P223" s="247" t="s">
        <v>1003</v>
      </c>
      <c r="Q223" s="247" t="s">
        <v>89</v>
      </c>
    </row>
    <row r="224" spans="1:17" x14ac:dyDescent="0.25">
      <c r="A224" s="247" t="s">
        <v>646</v>
      </c>
      <c r="B224" s="247" t="s">
        <v>25</v>
      </c>
      <c r="C224" s="247" t="s">
        <v>993</v>
      </c>
      <c r="D224" s="247" t="s">
        <v>711</v>
      </c>
      <c r="E224" s="247" t="s">
        <v>955</v>
      </c>
      <c r="F224" s="247" t="s">
        <v>1734</v>
      </c>
      <c r="G224" s="247" t="s">
        <v>1002</v>
      </c>
      <c r="H224" s="247"/>
      <c r="I224" s="247" t="s">
        <v>1735</v>
      </c>
      <c r="J224" s="247">
        <v>18</v>
      </c>
      <c r="K224" s="247">
        <v>18</v>
      </c>
      <c r="L224" s="249" t="s">
        <v>936</v>
      </c>
      <c r="M224" s="249" t="s">
        <v>929</v>
      </c>
      <c r="N224" s="248">
        <v>-32.19</v>
      </c>
      <c r="O224" s="248">
        <v>-36.54</v>
      </c>
      <c r="P224" s="247" t="s">
        <v>1003</v>
      </c>
      <c r="Q224" s="247" t="s">
        <v>90</v>
      </c>
    </row>
    <row r="225" spans="1:17" x14ac:dyDescent="0.25">
      <c r="A225" s="247" t="s">
        <v>646</v>
      </c>
      <c r="B225" s="247" t="s">
        <v>25</v>
      </c>
      <c r="C225" s="247" t="s">
        <v>993</v>
      </c>
      <c r="D225" s="247" t="s">
        <v>711</v>
      </c>
      <c r="E225" s="247" t="s">
        <v>955</v>
      </c>
      <c r="F225" s="247" t="s">
        <v>1734</v>
      </c>
      <c r="G225" s="247" t="s">
        <v>1002</v>
      </c>
      <c r="H225" s="247"/>
      <c r="I225" s="247" t="s">
        <v>1735</v>
      </c>
      <c r="J225" s="247">
        <v>18</v>
      </c>
      <c r="K225" s="247">
        <v>18</v>
      </c>
      <c r="L225" s="249" t="s">
        <v>937</v>
      </c>
      <c r="M225" s="249" t="s">
        <v>929</v>
      </c>
      <c r="N225" s="248">
        <v>0</v>
      </c>
      <c r="O225" s="248">
        <v>-36.54</v>
      </c>
      <c r="P225" s="247" t="s">
        <v>1003</v>
      </c>
      <c r="Q225" s="247" t="s">
        <v>91</v>
      </c>
    </row>
    <row r="226" spans="1:17" x14ac:dyDescent="0.25">
      <c r="A226" s="247" t="s">
        <v>646</v>
      </c>
      <c r="B226" s="247" t="s">
        <v>25</v>
      </c>
      <c r="C226" s="247" t="s">
        <v>993</v>
      </c>
      <c r="D226" s="247" t="s">
        <v>711</v>
      </c>
      <c r="E226" s="247" t="s">
        <v>955</v>
      </c>
      <c r="F226" s="247" t="s">
        <v>1734</v>
      </c>
      <c r="G226" s="247" t="s">
        <v>1002</v>
      </c>
      <c r="H226" s="247"/>
      <c r="I226" s="247" t="s">
        <v>1735</v>
      </c>
      <c r="J226" s="247">
        <v>18</v>
      </c>
      <c r="K226" s="247">
        <v>18</v>
      </c>
      <c r="L226" s="249" t="s">
        <v>938</v>
      </c>
      <c r="M226" s="249" t="s">
        <v>929</v>
      </c>
      <c r="N226" s="248">
        <v>-2</v>
      </c>
      <c r="O226" s="248">
        <v>-38.54</v>
      </c>
      <c r="P226" s="247" t="s">
        <v>1003</v>
      </c>
      <c r="Q226" s="247" t="s">
        <v>92</v>
      </c>
    </row>
    <row r="227" spans="1:17" x14ac:dyDescent="0.25">
      <c r="A227" s="247" t="s">
        <v>646</v>
      </c>
      <c r="B227" s="247" t="s">
        <v>25</v>
      </c>
      <c r="C227" s="247" t="s">
        <v>993</v>
      </c>
      <c r="D227" s="247" t="s">
        <v>711</v>
      </c>
      <c r="E227" s="247" t="s">
        <v>955</v>
      </c>
      <c r="F227" s="247" t="s">
        <v>1734</v>
      </c>
      <c r="G227" s="247" t="s">
        <v>1002</v>
      </c>
      <c r="H227" s="247"/>
      <c r="I227" s="247" t="s">
        <v>1735</v>
      </c>
      <c r="J227" s="247">
        <v>18</v>
      </c>
      <c r="K227" s="247">
        <v>18</v>
      </c>
      <c r="L227" s="249" t="s">
        <v>939</v>
      </c>
      <c r="M227" s="249" t="s">
        <v>929</v>
      </c>
      <c r="N227" s="248">
        <v>0</v>
      </c>
      <c r="O227" s="248">
        <v>-38.54</v>
      </c>
      <c r="P227" s="247" t="s">
        <v>1003</v>
      </c>
      <c r="Q227" s="247" t="s">
        <v>93</v>
      </c>
    </row>
    <row r="228" spans="1:17" x14ac:dyDescent="0.25">
      <c r="A228" s="247" t="s">
        <v>646</v>
      </c>
      <c r="B228" s="247" t="s">
        <v>25</v>
      </c>
      <c r="C228" s="247" t="s">
        <v>993</v>
      </c>
      <c r="D228" s="247" t="s">
        <v>711</v>
      </c>
      <c r="E228" s="247" t="s">
        <v>955</v>
      </c>
      <c r="F228" s="247" t="s">
        <v>1734</v>
      </c>
      <c r="G228" s="247" t="s">
        <v>1002</v>
      </c>
      <c r="H228" s="247"/>
      <c r="I228" s="247" t="s">
        <v>1735</v>
      </c>
      <c r="J228" s="247">
        <v>18</v>
      </c>
      <c r="K228" s="247">
        <v>18</v>
      </c>
      <c r="L228" s="249" t="s">
        <v>940</v>
      </c>
      <c r="M228" s="249" t="s">
        <v>929</v>
      </c>
      <c r="N228" s="248">
        <v>-2</v>
      </c>
      <c r="O228" s="248">
        <v>-40.54</v>
      </c>
      <c r="P228" s="247" t="s">
        <v>1003</v>
      </c>
      <c r="Q228" s="247" t="s">
        <v>94</v>
      </c>
    </row>
    <row r="229" spans="1:17" x14ac:dyDescent="0.25">
      <c r="A229" s="247" t="s">
        <v>646</v>
      </c>
      <c r="B229" s="247" t="s">
        <v>25</v>
      </c>
      <c r="C229" s="247" t="s">
        <v>993</v>
      </c>
      <c r="D229" s="247" t="s">
        <v>711</v>
      </c>
      <c r="E229" s="247" t="s">
        <v>955</v>
      </c>
      <c r="F229" s="247" t="s">
        <v>1734</v>
      </c>
      <c r="G229" s="247" t="s">
        <v>1002</v>
      </c>
      <c r="H229" s="247"/>
      <c r="I229" s="247" t="s">
        <v>1735</v>
      </c>
      <c r="J229" s="247">
        <v>18</v>
      </c>
      <c r="K229" s="247">
        <v>18</v>
      </c>
      <c r="L229" s="249" t="s">
        <v>642</v>
      </c>
      <c r="M229" s="249" t="s">
        <v>929</v>
      </c>
      <c r="N229" s="248">
        <v>-1.6</v>
      </c>
      <c r="O229" s="248">
        <v>-42.14</v>
      </c>
      <c r="P229" s="247" t="s">
        <v>1003</v>
      </c>
      <c r="Q229" s="247" t="s">
        <v>95</v>
      </c>
    </row>
    <row r="230" spans="1:17" x14ac:dyDescent="0.25">
      <c r="A230" s="247" t="s">
        <v>646</v>
      </c>
      <c r="B230" s="247" t="s">
        <v>25</v>
      </c>
      <c r="C230" s="247" t="s">
        <v>993</v>
      </c>
      <c r="D230" s="247" t="s">
        <v>711</v>
      </c>
      <c r="E230" s="247" t="s">
        <v>958</v>
      </c>
      <c r="F230" s="247" t="s">
        <v>1736</v>
      </c>
      <c r="G230" s="247" t="s">
        <v>1004</v>
      </c>
      <c r="H230" s="247"/>
      <c r="I230" s="247" t="s">
        <v>1737</v>
      </c>
      <c r="J230" s="247">
        <v>18</v>
      </c>
      <c r="K230" s="247">
        <v>18</v>
      </c>
      <c r="L230" s="249" t="s">
        <v>646</v>
      </c>
      <c r="M230" s="249" t="s">
        <v>933</v>
      </c>
      <c r="N230" s="248">
        <v>-1</v>
      </c>
      <c r="O230" s="248">
        <v>-0.9</v>
      </c>
      <c r="P230" s="247" t="s">
        <v>1005</v>
      </c>
      <c r="Q230" s="247" t="s">
        <v>84</v>
      </c>
    </row>
    <row r="231" spans="1:17" x14ac:dyDescent="0.25">
      <c r="A231" s="247" t="s">
        <v>646</v>
      </c>
      <c r="B231" s="247" t="s">
        <v>25</v>
      </c>
      <c r="C231" s="247" t="s">
        <v>993</v>
      </c>
      <c r="D231" s="247" t="s">
        <v>711</v>
      </c>
      <c r="E231" s="247" t="s">
        <v>958</v>
      </c>
      <c r="F231" s="247" t="s">
        <v>1736</v>
      </c>
      <c r="G231" s="247" t="s">
        <v>1004</v>
      </c>
      <c r="H231" s="247"/>
      <c r="I231" s="247" t="s">
        <v>1737</v>
      </c>
      <c r="J231" s="247">
        <v>18</v>
      </c>
      <c r="K231" s="247">
        <v>18</v>
      </c>
      <c r="L231" s="249" t="s">
        <v>650</v>
      </c>
      <c r="M231" s="249" t="s">
        <v>933</v>
      </c>
      <c r="N231" s="248">
        <v>0</v>
      </c>
      <c r="O231" s="248">
        <v>-0.9</v>
      </c>
      <c r="P231" s="247" t="s">
        <v>1005</v>
      </c>
      <c r="Q231" s="247" t="s">
        <v>85</v>
      </c>
    </row>
    <row r="232" spans="1:17" x14ac:dyDescent="0.25">
      <c r="A232" s="247" t="s">
        <v>646</v>
      </c>
      <c r="B232" s="247" t="s">
        <v>25</v>
      </c>
      <c r="C232" s="247" t="s">
        <v>993</v>
      </c>
      <c r="D232" s="247" t="s">
        <v>711</v>
      </c>
      <c r="E232" s="247" t="s">
        <v>958</v>
      </c>
      <c r="F232" s="247" t="s">
        <v>1736</v>
      </c>
      <c r="G232" s="247" t="s">
        <v>1004</v>
      </c>
      <c r="H232" s="247"/>
      <c r="I232" s="247" t="s">
        <v>1737</v>
      </c>
      <c r="J232" s="247">
        <v>18</v>
      </c>
      <c r="K232" s="247">
        <v>18</v>
      </c>
      <c r="L232" s="249" t="s">
        <v>652</v>
      </c>
      <c r="M232" s="249" t="s">
        <v>933</v>
      </c>
      <c r="N232" s="248">
        <v>0</v>
      </c>
      <c r="O232" s="248">
        <v>-0.9</v>
      </c>
      <c r="P232" s="247" t="s">
        <v>1005</v>
      </c>
      <c r="Q232" s="247" t="s">
        <v>86</v>
      </c>
    </row>
    <row r="233" spans="1:17" x14ac:dyDescent="0.25">
      <c r="A233" s="247" t="s">
        <v>646</v>
      </c>
      <c r="B233" s="247" t="s">
        <v>25</v>
      </c>
      <c r="C233" s="247" t="s">
        <v>1006</v>
      </c>
      <c r="D233" s="247" t="s">
        <v>926</v>
      </c>
      <c r="E233" s="247" t="s">
        <v>970</v>
      </c>
      <c r="F233" s="247" t="s">
        <v>1738</v>
      </c>
      <c r="G233" s="247" t="s">
        <v>1007</v>
      </c>
      <c r="H233" s="247"/>
      <c r="I233" s="247" t="s">
        <v>1739</v>
      </c>
      <c r="J233" s="247">
        <v>18</v>
      </c>
      <c r="K233" s="247">
        <v>18</v>
      </c>
      <c r="L233" s="249" t="s">
        <v>646</v>
      </c>
      <c r="M233" s="249" t="s">
        <v>933</v>
      </c>
      <c r="N233" s="248">
        <v>-1</v>
      </c>
      <c r="O233" s="248">
        <v>-1</v>
      </c>
      <c r="P233" s="247" t="s">
        <v>1008</v>
      </c>
      <c r="Q233" s="247" t="s">
        <v>84</v>
      </c>
    </row>
    <row r="234" spans="1:17" x14ac:dyDescent="0.25">
      <c r="A234" s="247" t="s">
        <v>646</v>
      </c>
      <c r="B234" s="247" t="s">
        <v>25</v>
      </c>
      <c r="C234" s="247" t="s">
        <v>1006</v>
      </c>
      <c r="D234" s="247" t="s">
        <v>926</v>
      </c>
      <c r="E234" s="247" t="s">
        <v>970</v>
      </c>
      <c r="F234" s="247" t="s">
        <v>1738</v>
      </c>
      <c r="G234" s="247" t="s">
        <v>1007</v>
      </c>
      <c r="H234" s="247"/>
      <c r="I234" s="247" t="s">
        <v>1739</v>
      </c>
      <c r="J234" s="247">
        <v>18</v>
      </c>
      <c r="K234" s="247">
        <v>18</v>
      </c>
      <c r="L234" s="249" t="s">
        <v>650</v>
      </c>
      <c r="M234" s="249" t="s">
        <v>933</v>
      </c>
      <c r="N234" s="248">
        <v>-1</v>
      </c>
      <c r="O234" s="248">
        <v>-2</v>
      </c>
      <c r="P234" s="247" t="s">
        <v>1008</v>
      </c>
      <c r="Q234" s="247" t="s">
        <v>85</v>
      </c>
    </row>
    <row r="235" spans="1:17" x14ac:dyDescent="0.25">
      <c r="A235" s="247" t="s">
        <v>646</v>
      </c>
      <c r="B235" s="247" t="s">
        <v>25</v>
      </c>
      <c r="C235" s="247" t="s">
        <v>1006</v>
      </c>
      <c r="D235" s="247" t="s">
        <v>926</v>
      </c>
      <c r="E235" s="247" t="s">
        <v>970</v>
      </c>
      <c r="F235" s="247" t="s">
        <v>1738</v>
      </c>
      <c r="G235" s="247" t="s">
        <v>1007</v>
      </c>
      <c r="H235" s="247"/>
      <c r="I235" s="247" t="s">
        <v>1739</v>
      </c>
      <c r="J235" s="247">
        <v>18</v>
      </c>
      <c r="K235" s="247">
        <v>18</v>
      </c>
      <c r="L235" s="249" t="s">
        <v>652</v>
      </c>
      <c r="M235" s="249" t="s">
        <v>933</v>
      </c>
      <c r="N235" s="248">
        <v>-1</v>
      </c>
      <c r="O235" s="248">
        <v>-3</v>
      </c>
      <c r="P235" s="247" t="s">
        <v>1008</v>
      </c>
      <c r="Q235" s="247" t="s">
        <v>86</v>
      </c>
    </row>
    <row r="236" spans="1:17" x14ac:dyDescent="0.25">
      <c r="A236" s="247" t="s">
        <v>646</v>
      </c>
      <c r="B236" s="247" t="s">
        <v>25</v>
      </c>
      <c r="C236" s="247" t="s">
        <v>1006</v>
      </c>
      <c r="D236" s="247" t="s">
        <v>926</v>
      </c>
      <c r="E236" s="247" t="s">
        <v>970</v>
      </c>
      <c r="F236" s="247" t="s">
        <v>1738</v>
      </c>
      <c r="G236" s="247" t="s">
        <v>1007</v>
      </c>
      <c r="H236" s="247"/>
      <c r="I236" s="247" t="s">
        <v>1739</v>
      </c>
      <c r="J236" s="247">
        <v>18</v>
      </c>
      <c r="K236" s="247">
        <v>18</v>
      </c>
      <c r="L236" s="249" t="s">
        <v>935</v>
      </c>
      <c r="M236" s="249" t="s">
        <v>929</v>
      </c>
      <c r="N236" s="248">
        <v>-1</v>
      </c>
      <c r="O236" s="248">
        <v>-1</v>
      </c>
      <c r="P236" s="247" t="s">
        <v>1008</v>
      </c>
      <c r="Q236" s="247" t="s">
        <v>89</v>
      </c>
    </row>
    <row r="237" spans="1:17" x14ac:dyDescent="0.25">
      <c r="A237" s="247" t="s">
        <v>646</v>
      </c>
      <c r="B237" s="247" t="s">
        <v>25</v>
      </c>
      <c r="C237" s="247" t="s">
        <v>1006</v>
      </c>
      <c r="D237" s="247" t="s">
        <v>926</v>
      </c>
      <c r="E237" s="247" t="s">
        <v>970</v>
      </c>
      <c r="F237" s="247" t="s">
        <v>1738</v>
      </c>
      <c r="G237" s="247" t="s">
        <v>1007</v>
      </c>
      <c r="H237" s="247"/>
      <c r="I237" s="247" t="s">
        <v>1739</v>
      </c>
      <c r="J237" s="247">
        <v>18</v>
      </c>
      <c r="K237" s="247">
        <v>18</v>
      </c>
      <c r="L237" s="249" t="s">
        <v>936</v>
      </c>
      <c r="M237" s="249" t="s">
        <v>929</v>
      </c>
      <c r="N237" s="248">
        <v>0</v>
      </c>
      <c r="O237" s="248">
        <v>-1</v>
      </c>
      <c r="P237" s="247" t="s">
        <v>1008</v>
      </c>
      <c r="Q237" s="247" t="s">
        <v>90</v>
      </c>
    </row>
    <row r="238" spans="1:17" x14ac:dyDescent="0.25">
      <c r="A238" s="247" t="s">
        <v>646</v>
      </c>
      <c r="B238" s="247" t="s">
        <v>25</v>
      </c>
      <c r="C238" s="247" t="s">
        <v>1006</v>
      </c>
      <c r="D238" s="247" t="s">
        <v>926</v>
      </c>
      <c r="E238" s="247" t="s">
        <v>970</v>
      </c>
      <c r="F238" s="247" t="s">
        <v>1738</v>
      </c>
      <c r="G238" s="247" t="s">
        <v>1007</v>
      </c>
      <c r="H238" s="247"/>
      <c r="I238" s="247" t="s">
        <v>1739</v>
      </c>
      <c r="J238" s="247">
        <v>18</v>
      </c>
      <c r="K238" s="247">
        <v>18</v>
      </c>
      <c r="L238" s="249" t="s">
        <v>937</v>
      </c>
      <c r="M238" s="249" t="s">
        <v>929</v>
      </c>
      <c r="N238" s="248">
        <v>-1</v>
      </c>
      <c r="O238" s="248">
        <v>-2</v>
      </c>
      <c r="P238" s="247" t="s">
        <v>1008</v>
      </c>
      <c r="Q238" s="247" t="s">
        <v>91</v>
      </c>
    </row>
    <row r="239" spans="1:17" x14ac:dyDescent="0.25">
      <c r="A239" s="247" t="s">
        <v>646</v>
      </c>
      <c r="B239" s="247" t="s">
        <v>25</v>
      </c>
      <c r="C239" s="247" t="s">
        <v>1006</v>
      </c>
      <c r="D239" s="247" t="s">
        <v>926</v>
      </c>
      <c r="E239" s="247" t="s">
        <v>970</v>
      </c>
      <c r="F239" s="247" t="s">
        <v>1738</v>
      </c>
      <c r="G239" s="247" t="s">
        <v>1007</v>
      </c>
      <c r="H239" s="247"/>
      <c r="I239" s="247" t="s">
        <v>1739</v>
      </c>
      <c r="J239" s="247">
        <v>18</v>
      </c>
      <c r="K239" s="247">
        <v>18</v>
      </c>
      <c r="L239" s="249" t="s">
        <v>938</v>
      </c>
      <c r="M239" s="249" t="s">
        <v>929</v>
      </c>
      <c r="N239" s="248">
        <v>-1</v>
      </c>
      <c r="O239" s="248">
        <v>-3</v>
      </c>
      <c r="P239" s="247" t="s">
        <v>1008</v>
      </c>
      <c r="Q239" s="247" t="s">
        <v>92</v>
      </c>
    </row>
    <row r="240" spans="1:17" x14ac:dyDescent="0.25">
      <c r="A240" s="247" t="s">
        <v>646</v>
      </c>
      <c r="B240" s="247" t="s">
        <v>25</v>
      </c>
      <c r="C240" s="247" t="s">
        <v>1006</v>
      </c>
      <c r="D240" s="247" t="s">
        <v>926</v>
      </c>
      <c r="E240" s="247" t="s">
        <v>970</v>
      </c>
      <c r="F240" s="247" t="s">
        <v>1738</v>
      </c>
      <c r="G240" s="247" t="s">
        <v>1007</v>
      </c>
      <c r="H240" s="247"/>
      <c r="I240" s="247" t="s">
        <v>1739</v>
      </c>
      <c r="J240" s="247">
        <v>18</v>
      </c>
      <c r="K240" s="247">
        <v>18</v>
      </c>
      <c r="L240" s="249" t="s">
        <v>939</v>
      </c>
      <c r="M240" s="249" t="s">
        <v>929</v>
      </c>
      <c r="N240" s="248">
        <v>-1</v>
      </c>
      <c r="O240" s="248">
        <v>-4</v>
      </c>
      <c r="P240" s="247" t="s">
        <v>1008</v>
      </c>
      <c r="Q240" s="247" t="s">
        <v>93</v>
      </c>
    </row>
    <row r="241" spans="1:17" x14ac:dyDescent="0.25">
      <c r="A241" s="247" t="s">
        <v>646</v>
      </c>
      <c r="B241" s="247" t="s">
        <v>25</v>
      </c>
      <c r="C241" s="247" t="s">
        <v>1006</v>
      </c>
      <c r="D241" s="247" t="s">
        <v>926</v>
      </c>
      <c r="E241" s="247" t="s">
        <v>970</v>
      </c>
      <c r="F241" s="247" t="s">
        <v>1738</v>
      </c>
      <c r="G241" s="247" t="s">
        <v>1007</v>
      </c>
      <c r="H241" s="247"/>
      <c r="I241" s="247" t="s">
        <v>1739</v>
      </c>
      <c r="J241" s="247">
        <v>18</v>
      </c>
      <c r="K241" s="247">
        <v>18</v>
      </c>
      <c r="L241" s="249" t="s">
        <v>940</v>
      </c>
      <c r="M241" s="249" t="s">
        <v>929</v>
      </c>
      <c r="N241" s="248">
        <v>0</v>
      </c>
      <c r="O241" s="248">
        <v>-4</v>
      </c>
      <c r="P241" s="247" t="s">
        <v>1008</v>
      </c>
      <c r="Q241" s="247" t="s">
        <v>94</v>
      </c>
    </row>
    <row r="242" spans="1:17" x14ac:dyDescent="0.25">
      <c r="A242" s="247" t="s">
        <v>646</v>
      </c>
      <c r="B242" s="247" t="s">
        <v>25</v>
      </c>
      <c r="C242" s="247" t="s">
        <v>1006</v>
      </c>
      <c r="D242" s="247" t="s">
        <v>926</v>
      </c>
      <c r="E242" s="247" t="s">
        <v>970</v>
      </c>
      <c r="F242" s="247" t="s">
        <v>1738</v>
      </c>
      <c r="G242" s="247" t="s">
        <v>1007</v>
      </c>
      <c r="H242" s="247"/>
      <c r="I242" s="247" t="s">
        <v>1739</v>
      </c>
      <c r="J242" s="247">
        <v>18</v>
      </c>
      <c r="K242" s="247">
        <v>18</v>
      </c>
      <c r="L242" s="249" t="s">
        <v>642</v>
      </c>
      <c r="M242" s="249" t="s">
        <v>929</v>
      </c>
      <c r="N242" s="248">
        <v>-3</v>
      </c>
      <c r="O242" s="248">
        <v>-7</v>
      </c>
      <c r="P242" s="247" t="s">
        <v>1008</v>
      </c>
      <c r="Q242" s="247" t="s">
        <v>95</v>
      </c>
    </row>
    <row r="243" spans="1:17" x14ac:dyDescent="0.25">
      <c r="A243" s="247" t="s">
        <v>646</v>
      </c>
      <c r="B243" s="247" t="s">
        <v>25</v>
      </c>
      <c r="C243" s="247" t="s">
        <v>949</v>
      </c>
      <c r="D243" s="247" t="s">
        <v>926</v>
      </c>
      <c r="E243" s="247" t="s">
        <v>1009</v>
      </c>
      <c r="F243" s="247" t="s">
        <v>1740</v>
      </c>
      <c r="G243" s="247" t="s">
        <v>1010</v>
      </c>
      <c r="H243" s="247"/>
      <c r="I243" s="247" t="s">
        <v>1741</v>
      </c>
      <c r="J243" s="247">
        <v>9</v>
      </c>
      <c r="K243" s="247">
        <v>9</v>
      </c>
      <c r="L243" s="249" t="s">
        <v>646</v>
      </c>
      <c r="M243" s="249" t="s">
        <v>933</v>
      </c>
      <c r="N243" s="248">
        <v>0</v>
      </c>
      <c r="O243" s="248">
        <v>-18</v>
      </c>
      <c r="P243" s="247" t="s">
        <v>1011</v>
      </c>
      <c r="Q243" s="247" t="s">
        <v>84</v>
      </c>
    </row>
    <row r="244" spans="1:17" x14ac:dyDescent="0.25">
      <c r="A244" s="247" t="s">
        <v>646</v>
      </c>
      <c r="B244" s="247" t="s">
        <v>25</v>
      </c>
      <c r="C244" s="247" t="s">
        <v>949</v>
      </c>
      <c r="D244" s="247" t="s">
        <v>926</v>
      </c>
      <c r="E244" s="247" t="s">
        <v>1009</v>
      </c>
      <c r="F244" s="247" t="s">
        <v>1740</v>
      </c>
      <c r="G244" s="247" t="s">
        <v>1010</v>
      </c>
      <c r="H244" s="247"/>
      <c r="I244" s="247" t="s">
        <v>1741</v>
      </c>
      <c r="J244" s="247">
        <v>9</v>
      </c>
      <c r="K244" s="247">
        <v>9</v>
      </c>
      <c r="L244" s="249" t="s">
        <v>650</v>
      </c>
      <c r="M244" s="249" t="s">
        <v>933</v>
      </c>
      <c r="N244" s="248">
        <v>0</v>
      </c>
      <c r="O244" s="248">
        <v>-18</v>
      </c>
      <c r="P244" s="247" t="s">
        <v>1011</v>
      </c>
      <c r="Q244" s="247" t="s">
        <v>85</v>
      </c>
    </row>
    <row r="245" spans="1:17" x14ac:dyDescent="0.25">
      <c r="A245" s="247" t="s">
        <v>646</v>
      </c>
      <c r="B245" s="247" t="s">
        <v>25</v>
      </c>
      <c r="C245" s="247" t="s">
        <v>949</v>
      </c>
      <c r="D245" s="247" t="s">
        <v>926</v>
      </c>
      <c r="E245" s="247" t="s">
        <v>1009</v>
      </c>
      <c r="F245" s="247" t="s">
        <v>1740</v>
      </c>
      <c r="G245" s="247" t="s">
        <v>1010</v>
      </c>
      <c r="H245" s="247"/>
      <c r="I245" s="247" t="s">
        <v>1741</v>
      </c>
      <c r="J245" s="247">
        <v>9</v>
      </c>
      <c r="K245" s="247">
        <v>9</v>
      </c>
      <c r="L245" s="249" t="s">
        <v>652</v>
      </c>
      <c r="M245" s="249" t="s">
        <v>933</v>
      </c>
      <c r="N245" s="248">
        <v>0</v>
      </c>
      <c r="O245" s="248">
        <v>-18</v>
      </c>
      <c r="P245" s="247" t="s">
        <v>1011</v>
      </c>
      <c r="Q245" s="247" t="s">
        <v>86</v>
      </c>
    </row>
    <row r="246" spans="1:17" x14ac:dyDescent="0.25">
      <c r="A246" s="247" t="s">
        <v>646</v>
      </c>
      <c r="B246" s="247" t="s">
        <v>25</v>
      </c>
      <c r="C246" s="247" t="s">
        <v>1012</v>
      </c>
      <c r="D246" s="247" t="s">
        <v>926</v>
      </c>
      <c r="E246" s="247" t="s">
        <v>926</v>
      </c>
      <c r="F246" s="247" t="s">
        <v>1742</v>
      </c>
      <c r="G246" s="247" t="s">
        <v>1013</v>
      </c>
      <c r="H246" s="247"/>
      <c r="I246" s="247" t="s">
        <v>1743</v>
      </c>
      <c r="J246" s="247">
        <v>20</v>
      </c>
      <c r="K246" s="247">
        <v>20</v>
      </c>
      <c r="L246" s="249" t="s">
        <v>646</v>
      </c>
      <c r="M246" s="249" t="s">
        <v>933</v>
      </c>
      <c r="N246" s="248">
        <v>-1558.41</v>
      </c>
      <c r="O246" s="248">
        <v>-17864.7</v>
      </c>
      <c r="P246" s="247" t="s">
        <v>1014</v>
      </c>
      <c r="Q246" s="247" t="s">
        <v>84</v>
      </c>
    </row>
    <row r="247" spans="1:17" x14ac:dyDescent="0.25">
      <c r="A247" s="247" t="s">
        <v>646</v>
      </c>
      <c r="B247" s="247" t="s">
        <v>25</v>
      </c>
      <c r="C247" s="247" t="s">
        <v>1012</v>
      </c>
      <c r="D247" s="247" t="s">
        <v>926</v>
      </c>
      <c r="E247" s="247" t="s">
        <v>926</v>
      </c>
      <c r="F247" s="247" t="s">
        <v>1742</v>
      </c>
      <c r="G247" s="247" t="s">
        <v>1013</v>
      </c>
      <c r="H247" s="247"/>
      <c r="I247" s="247" t="s">
        <v>1743</v>
      </c>
      <c r="J247" s="247">
        <v>20</v>
      </c>
      <c r="K247" s="247">
        <v>20</v>
      </c>
      <c r="L247" s="249" t="s">
        <v>650</v>
      </c>
      <c r="M247" s="249" t="s">
        <v>933</v>
      </c>
      <c r="N247" s="248">
        <v>-532.14</v>
      </c>
      <c r="O247" s="248">
        <v>-18396.84</v>
      </c>
      <c r="P247" s="247" t="s">
        <v>1014</v>
      </c>
      <c r="Q247" s="247" t="s">
        <v>85</v>
      </c>
    </row>
    <row r="248" spans="1:17" x14ac:dyDescent="0.25">
      <c r="A248" s="247" t="s">
        <v>646</v>
      </c>
      <c r="B248" s="247" t="s">
        <v>25</v>
      </c>
      <c r="C248" s="247" t="s">
        <v>1012</v>
      </c>
      <c r="D248" s="247" t="s">
        <v>926</v>
      </c>
      <c r="E248" s="247" t="s">
        <v>926</v>
      </c>
      <c r="F248" s="247" t="s">
        <v>1742</v>
      </c>
      <c r="G248" s="247" t="s">
        <v>1013</v>
      </c>
      <c r="H248" s="247"/>
      <c r="I248" s="247" t="s">
        <v>1743</v>
      </c>
      <c r="J248" s="247">
        <v>20</v>
      </c>
      <c r="K248" s="247">
        <v>20</v>
      </c>
      <c r="L248" s="249" t="s">
        <v>652</v>
      </c>
      <c r="M248" s="249" t="s">
        <v>933</v>
      </c>
      <c r="N248" s="248">
        <v>-912.24</v>
      </c>
      <c r="O248" s="248">
        <v>-19309.080000000002</v>
      </c>
      <c r="P248" s="247" t="s">
        <v>1014</v>
      </c>
      <c r="Q248" s="247" t="s">
        <v>86</v>
      </c>
    </row>
    <row r="249" spans="1:17" x14ac:dyDescent="0.25">
      <c r="A249" s="247" t="s">
        <v>646</v>
      </c>
      <c r="B249" s="247" t="s">
        <v>25</v>
      </c>
      <c r="C249" s="247" t="s">
        <v>1012</v>
      </c>
      <c r="D249" s="247" t="s">
        <v>926</v>
      </c>
      <c r="E249" s="247" t="s">
        <v>926</v>
      </c>
      <c r="F249" s="247" t="s">
        <v>1742</v>
      </c>
      <c r="G249" s="247" t="s">
        <v>1013</v>
      </c>
      <c r="H249" s="247"/>
      <c r="I249" s="247" t="s">
        <v>1743</v>
      </c>
      <c r="J249" s="247">
        <v>20</v>
      </c>
      <c r="K249" s="247">
        <v>20</v>
      </c>
      <c r="L249" s="249" t="s">
        <v>789</v>
      </c>
      <c r="M249" s="249" t="s">
        <v>929</v>
      </c>
      <c r="N249" s="248">
        <v>-2280.6</v>
      </c>
      <c r="O249" s="248">
        <v>-2280.6</v>
      </c>
      <c r="P249" s="247" t="s">
        <v>1014</v>
      </c>
      <c r="Q249" s="247" t="s">
        <v>87</v>
      </c>
    </row>
    <row r="250" spans="1:17" x14ac:dyDescent="0.25">
      <c r="A250" s="247" t="s">
        <v>646</v>
      </c>
      <c r="B250" s="247" t="s">
        <v>25</v>
      </c>
      <c r="C250" s="247" t="s">
        <v>1012</v>
      </c>
      <c r="D250" s="247" t="s">
        <v>926</v>
      </c>
      <c r="E250" s="247" t="s">
        <v>926</v>
      </c>
      <c r="F250" s="247" t="s">
        <v>1742</v>
      </c>
      <c r="G250" s="247" t="s">
        <v>1013</v>
      </c>
      <c r="H250" s="247"/>
      <c r="I250" s="247" t="s">
        <v>1743</v>
      </c>
      <c r="J250" s="247">
        <v>20</v>
      </c>
      <c r="K250" s="247">
        <v>20</v>
      </c>
      <c r="L250" s="249" t="s">
        <v>791</v>
      </c>
      <c r="M250" s="249" t="s">
        <v>929</v>
      </c>
      <c r="N250" s="248">
        <v>-1178.31</v>
      </c>
      <c r="O250" s="248">
        <v>-3458.91</v>
      </c>
      <c r="P250" s="247" t="s">
        <v>1014</v>
      </c>
      <c r="Q250" s="247" t="s">
        <v>88</v>
      </c>
    </row>
    <row r="251" spans="1:17" x14ac:dyDescent="0.25">
      <c r="A251" s="247" t="s">
        <v>646</v>
      </c>
      <c r="B251" s="247" t="s">
        <v>25</v>
      </c>
      <c r="C251" s="247" t="s">
        <v>1012</v>
      </c>
      <c r="D251" s="247" t="s">
        <v>926</v>
      </c>
      <c r="E251" s="247" t="s">
        <v>926</v>
      </c>
      <c r="F251" s="247" t="s">
        <v>1742</v>
      </c>
      <c r="G251" s="247" t="s">
        <v>1013</v>
      </c>
      <c r="H251" s="247"/>
      <c r="I251" s="247" t="s">
        <v>1743</v>
      </c>
      <c r="J251" s="247">
        <v>20</v>
      </c>
      <c r="K251" s="247">
        <v>20</v>
      </c>
      <c r="L251" s="249" t="s">
        <v>935</v>
      </c>
      <c r="M251" s="249" t="s">
        <v>929</v>
      </c>
      <c r="N251" s="248">
        <v>-836.22</v>
      </c>
      <c r="O251" s="248">
        <v>-4295.13</v>
      </c>
      <c r="P251" s="247" t="s">
        <v>1014</v>
      </c>
      <c r="Q251" s="247" t="s">
        <v>89</v>
      </c>
    </row>
    <row r="252" spans="1:17" x14ac:dyDescent="0.25">
      <c r="A252" s="247" t="s">
        <v>646</v>
      </c>
      <c r="B252" s="247" t="s">
        <v>25</v>
      </c>
      <c r="C252" s="247" t="s">
        <v>1012</v>
      </c>
      <c r="D252" s="247" t="s">
        <v>926</v>
      </c>
      <c r="E252" s="247" t="s">
        <v>926</v>
      </c>
      <c r="F252" s="247" t="s">
        <v>1742</v>
      </c>
      <c r="G252" s="247" t="s">
        <v>1013</v>
      </c>
      <c r="H252" s="247"/>
      <c r="I252" s="247" t="s">
        <v>1743</v>
      </c>
      <c r="J252" s="247">
        <v>20</v>
      </c>
      <c r="K252" s="247">
        <v>20</v>
      </c>
      <c r="L252" s="249" t="s">
        <v>936</v>
      </c>
      <c r="M252" s="249" t="s">
        <v>929</v>
      </c>
      <c r="N252" s="248">
        <v>-1178.31</v>
      </c>
      <c r="O252" s="248">
        <v>-5473.44</v>
      </c>
      <c r="P252" s="247" t="s">
        <v>1014</v>
      </c>
      <c r="Q252" s="247" t="s">
        <v>90</v>
      </c>
    </row>
    <row r="253" spans="1:17" x14ac:dyDescent="0.25">
      <c r="A253" s="247" t="s">
        <v>646</v>
      </c>
      <c r="B253" s="247" t="s">
        <v>25</v>
      </c>
      <c r="C253" s="247" t="s">
        <v>1012</v>
      </c>
      <c r="D253" s="247" t="s">
        <v>926</v>
      </c>
      <c r="E253" s="247" t="s">
        <v>926</v>
      </c>
      <c r="F253" s="247" t="s">
        <v>1742</v>
      </c>
      <c r="G253" s="247" t="s">
        <v>1013</v>
      </c>
      <c r="H253" s="247"/>
      <c r="I253" s="247" t="s">
        <v>1743</v>
      </c>
      <c r="J253" s="247">
        <v>20</v>
      </c>
      <c r="K253" s="247">
        <v>20</v>
      </c>
      <c r="L253" s="249" t="s">
        <v>937</v>
      </c>
      <c r="M253" s="249" t="s">
        <v>929</v>
      </c>
      <c r="N253" s="248">
        <v>-1672.44</v>
      </c>
      <c r="O253" s="248">
        <v>-7145.88</v>
      </c>
      <c r="P253" s="247" t="s">
        <v>1014</v>
      </c>
      <c r="Q253" s="247" t="s">
        <v>91</v>
      </c>
    </row>
    <row r="254" spans="1:17" x14ac:dyDescent="0.25">
      <c r="A254" s="247" t="s">
        <v>646</v>
      </c>
      <c r="B254" s="247" t="s">
        <v>25</v>
      </c>
      <c r="C254" s="247" t="s">
        <v>1012</v>
      </c>
      <c r="D254" s="247" t="s">
        <v>926</v>
      </c>
      <c r="E254" s="247" t="s">
        <v>926</v>
      </c>
      <c r="F254" s="247" t="s">
        <v>1742</v>
      </c>
      <c r="G254" s="247" t="s">
        <v>1013</v>
      </c>
      <c r="H254" s="247"/>
      <c r="I254" s="247" t="s">
        <v>1743</v>
      </c>
      <c r="J254" s="247">
        <v>20</v>
      </c>
      <c r="K254" s="247">
        <v>20</v>
      </c>
      <c r="L254" s="249" t="s">
        <v>938</v>
      </c>
      <c r="M254" s="249" t="s">
        <v>929</v>
      </c>
      <c r="N254" s="248">
        <v>-950.25</v>
      </c>
      <c r="O254" s="248">
        <v>-8096.13</v>
      </c>
      <c r="P254" s="247" t="s">
        <v>1014</v>
      </c>
      <c r="Q254" s="247" t="s">
        <v>92</v>
      </c>
    </row>
    <row r="255" spans="1:17" x14ac:dyDescent="0.25">
      <c r="A255" s="247" t="s">
        <v>646</v>
      </c>
      <c r="B255" s="247" t="s">
        <v>25</v>
      </c>
      <c r="C255" s="247" t="s">
        <v>1012</v>
      </c>
      <c r="D255" s="247" t="s">
        <v>926</v>
      </c>
      <c r="E255" s="247" t="s">
        <v>926</v>
      </c>
      <c r="F255" s="247" t="s">
        <v>1742</v>
      </c>
      <c r="G255" s="247" t="s">
        <v>1013</v>
      </c>
      <c r="H255" s="247"/>
      <c r="I255" s="247" t="s">
        <v>1743</v>
      </c>
      <c r="J255" s="247">
        <v>20</v>
      </c>
      <c r="K255" s="247">
        <v>20</v>
      </c>
      <c r="L255" s="249" t="s">
        <v>939</v>
      </c>
      <c r="M255" s="249" t="s">
        <v>929</v>
      </c>
      <c r="N255" s="248">
        <v>-380.1</v>
      </c>
      <c r="O255" s="248">
        <v>-8476.23</v>
      </c>
      <c r="P255" s="247" t="s">
        <v>1014</v>
      </c>
      <c r="Q255" s="247" t="s">
        <v>93</v>
      </c>
    </row>
    <row r="256" spans="1:17" x14ac:dyDescent="0.25">
      <c r="A256" s="247" t="s">
        <v>646</v>
      </c>
      <c r="B256" s="247" t="s">
        <v>25</v>
      </c>
      <c r="C256" s="247" t="s">
        <v>1012</v>
      </c>
      <c r="D256" s="247" t="s">
        <v>926</v>
      </c>
      <c r="E256" s="247" t="s">
        <v>926</v>
      </c>
      <c r="F256" s="247" t="s">
        <v>1742</v>
      </c>
      <c r="G256" s="247" t="s">
        <v>1013</v>
      </c>
      <c r="H256" s="247"/>
      <c r="I256" s="247" t="s">
        <v>1743</v>
      </c>
      <c r="J256" s="247">
        <v>20</v>
      </c>
      <c r="K256" s="247">
        <v>20</v>
      </c>
      <c r="L256" s="249" t="s">
        <v>940</v>
      </c>
      <c r="M256" s="249" t="s">
        <v>929</v>
      </c>
      <c r="N256" s="248">
        <v>-646.16999999999996</v>
      </c>
      <c r="O256" s="248">
        <v>-9122.4</v>
      </c>
      <c r="P256" s="247" t="s">
        <v>1014</v>
      </c>
      <c r="Q256" s="247" t="s">
        <v>94</v>
      </c>
    </row>
    <row r="257" spans="1:17" x14ac:dyDescent="0.25">
      <c r="A257" s="247" t="s">
        <v>646</v>
      </c>
      <c r="B257" s="247" t="s">
        <v>25</v>
      </c>
      <c r="C257" s="247" t="s">
        <v>1012</v>
      </c>
      <c r="D257" s="247" t="s">
        <v>926</v>
      </c>
      <c r="E257" s="247" t="s">
        <v>926</v>
      </c>
      <c r="F257" s="247" t="s">
        <v>1742</v>
      </c>
      <c r="G257" s="247" t="s">
        <v>1013</v>
      </c>
      <c r="H257" s="247"/>
      <c r="I257" s="247" t="s">
        <v>1743</v>
      </c>
      <c r="J257" s="247">
        <v>20</v>
      </c>
      <c r="K257" s="247">
        <v>20</v>
      </c>
      <c r="L257" s="249" t="s">
        <v>642</v>
      </c>
      <c r="M257" s="249" t="s">
        <v>929</v>
      </c>
      <c r="N257" s="248">
        <v>-646.16999999999996</v>
      </c>
      <c r="O257" s="248">
        <v>-9768.57</v>
      </c>
      <c r="P257" s="247" t="s">
        <v>1014</v>
      </c>
      <c r="Q257" s="247" t="s">
        <v>95</v>
      </c>
    </row>
    <row r="258" spans="1:17" x14ac:dyDescent="0.25">
      <c r="A258" s="247" t="s">
        <v>646</v>
      </c>
      <c r="B258" s="247" t="s">
        <v>25</v>
      </c>
      <c r="C258" s="247" t="s">
        <v>1015</v>
      </c>
      <c r="D258" s="247" t="s">
        <v>711</v>
      </c>
      <c r="E258" s="247" t="s">
        <v>926</v>
      </c>
      <c r="F258" s="247" t="s">
        <v>1744</v>
      </c>
      <c r="G258" s="247" t="s">
        <v>1016</v>
      </c>
      <c r="H258" s="247"/>
      <c r="I258" s="247" t="s">
        <v>1745</v>
      </c>
      <c r="J258" s="247">
        <v>19</v>
      </c>
      <c r="K258" s="247">
        <v>19</v>
      </c>
      <c r="L258" s="249" t="s">
        <v>646</v>
      </c>
      <c r="M258" s="249" t="s">
        <v>933</v>
      </c>
      <c r="N258" s="248">
        <v>-41603.08</v>
      </c>
      <c r="O258" s="248">
        <v>-454292.63</v>
      </c>
      <c r="P258" s="247" t="s">
        <v>1017</v>
      </c>
      <c r="Q258" s="247" t="s">
        <v>84</v>
      </c>
    </row>
    <row r="259" spans="1:17" x14ac:dyDescent="0.25">
      <c r="A259" s="247" t="s">
        <v>646</v>
      </c>
      <c r="B259" s="247" t="s">
        <v>25</v>
      </c>
      <c r="C259" s="247" t="s">
        <v>1015</v>
      </c>
      <c r="D259" s="247" t="s">
        <v>711</v>
      </c>
      <c r="E259" s="247" t="s">
        <v>926</v>
      </c>
      <c r="F259" s="247" t="s">
        <v>1744</v>
      </c>
      <c r="G259" s="247" t="s">
        <v>1016</v>
      </c>
      <c r="H259" s="247"/>
      <c r="I259" s="247" t="s">
        <v>1745</v>
      </c>
      <c r="J259" s="247">
        <v>19</v>
      </c>
      <c r="K259" s="247">
        <v>19</v>
      </c>
      <c r="L259" s="249" t="s">
        <v>650</v>
      </c>
      <c r="M259" s="249" t="s">
        <v>933</v>
      </c>
      <c r="N259" s="248">
        <v>-37781.69</v>
      </c>
      <c r="O259" s="248">
        <v>-492074.32</v>
      </c>
      <c r="P259" s="247" t="s">
        <v>1017</v>
      </c>
      <c r="Q259" s="247" t="s">
        <v>85</v>
      </c>
    </row>
    <row r="260" spans="1:17" x14ac:dyDescent="0.25">
      <c r="A260" s="247" t="s">
        <v>646</v>
      </c>
      <c r="B260" s="247" t="s">
        <v>25</v>
      </c>
      <c r="C260" s="247" t="s">
        <v>1015</v>
      </c>
      <c r="D260" s="247" t="s">
        <v>711</v>
      </c>
      <c r="E260" s="247" t="s">
        <v>926</v>
      </c>
      <c r="F260" s="247" t="s">
        <v>1744</v>
      </c>
      <c r="G260" s="247" t="s">
        <v>1016</v>
      </c>
      <c r="H260" s="247"/>
      <c r="I260" s="247" t="s">
        <v>1745</v>
      </c>
      <c r="J260" s="247">
        <v>19</v>
      </c>
      <c r="K260" s="247">
        <v>19</v>
      </c>
      <c r="L260" s="249" t="s">
        <v>652</v>
      </c>
      <c r="M260" s="249" t="s">
        <v>933</v>
      </c>
      <c r="N260" s="248">
        <v>-35169.42</v>
      </c>
      <c r="O260" s="248">
        <v>-527243.74</v>
      </c>
      <c r="P260" s="247" t="s">
        <v>1017</v>
      </c>
      <c r="Q260" s="247" t="s">
        <v>86</v>
      </c>
    </row>
    <row r="261" spans="1:17" x14ac:dyDescent="0.25">
      <c r="A261" s="247" t="s">
        <v>646</v>
      </c>
      <c r="B261" s="247" t="s">
        <v>25</v>
      </c>
      <c r="C261" s="247" t="s">
        <v>1015</v>
      </c>
      <c r="D261" s="247" t="s">
        <v>711</v>
      </c>
      <c r="E261" s="247" t="s">
        <v>926</v>
      </c>
      <c r="F261" s="247" t="s">
        <v>1744</v>
      </c>
      <c r="G261" s="247" t="s">
        <v>1016</v>
      </c>
      <c r="H261" s="247"/>
      <c r="I261" s="247" t="s">
        <v>1745</v>
      </c>
      <c r="J261" s="247">
        <v>19</v>
      </c>
      <c r="K261" s="247">
        <v>19</v>
      </c>
      <c r="L261" s="249" t="s">
        <v>789</v>
      </c>
      <c r="M261" s="249" t="s">
        <v>929</v>
      </c>
      <c r="N261" s="248">
        <v>-26919.47</v>
      </c>
      <c r="O261" s="248">
        <v>-26919.47</v>
      </c>
      <c r="P261" s="247" t="s">
        <v>1017</v>
      </c>
      <c r="Q261" s="247" t="s">
        <v>87</v>
      </c>
    </row>
    <row r="262" spans="1:17" x14ac:dyDescent="0.25">
      <c r="A262" s="247" t="s">
        <v>646</v>
      </c>
      <c r="B262" s="247" t="s">
        <v>25</v>
      </c>
      <c r="C262" s="247" t="s">
        <v>1015</v>
      </c>
      <c r="D262" s="247" t="s">
        <v>711</v>
      </c>
      <c r="E262" s="247" t="s">
        <v>926</v>
      </c>
      <c r="F262" s="247" t="s">
        <v>1744</v>
      </c>
      <c r="G262" s="247" t="s">
        <v>1016</v>
      </c>
      <c r="H262" s="247"/>
      <c r="I262" s="247" t="s">
        <v>1745</v>
      </c>
      <c r="J262" s="247">
        <v>19</v>
      </c>
      <c r="K262" s="247">
        <v>19</v>
      </c>
      <c r="L262" s="249" t="s">
        <v>791</v>
      </c>
      <c r="M262" s="249" t="s">
        <v>929</v>
      </c>
      <c r="N262" s="248">
        <v>-26327.82</v>
      </c>
      <c r="O262" s="248">
        <v>-53247.29</v>
      </c>
      <c r="P262" s="247" t="s">
        <v>1017</v>
      </c>
      <c r="Q262" s="247" t="s">
        <v>88</v>
      </c>
    </row>
    <row r="263" spans="1:17" x14ac:dyDescent="0.25">
      <c r="A263" s="247" t="s">
        <v>646</v>
      </c>
      <c r="B263" s="247" t="s">
        <v>25</v>
      </c>
      <c r="C263" s="247" t="s">
        <v>1015</v>
      </c>
      <c r="D263" s="247" t="s">
        <v>711</v>
      </c>
      <c r="E263" s="247" t="s">
        <v>926</v>
      </c>
      <c r="F263" s="247" t="s">
        <v>1744</v>
      </c>
      <c r="G263" s="247" t="s">
        <v>1016</v>
      </c>
      <c r="H263" s="247"/>
      <c r="I263" s="247" t="s">
        <v>1745</v>
      </c>
      <c r="J263" s="247">
        <v>19</v>
      </c>
      <c r="K263" s="247">
        <v>19</v>
      </c>
      <c r="L263" s="249" t="s">
        <v>935</v>
      </c>
      <c r="M263" s="249" t="s">
        <v>929</v>
      </c>
      <c r="N263" s="248">
        <v>-31548.31</v>
      </c>
      <c r="O263" s="248">
        <v>-84795.6</v>
      </c>
      <c r="P263" s="247" t="s">
        <v>1017</v>
      </c>
      <c r="Q263" s="247" t="s">
        <v>89</v>
      </c>
    </row>
    <row r="264" spans="1:17" x14ac:dyDescent="0.25">
      <c r="A264" s="247" t="s">
        <v>646</v>
      </c>
      <c r="B264" s="247" t="s">
        <v>25</v>
      </c>
      <c r="C264" s="247" t="s">
        <v>1015</v>
      </c>
      <c r="D264" s="247" t="s">
        <v>711</v>
      </c>
      <c r="E264" s="247" t="s">
        <v>926</v>
      </c>
      <c r="F264" s="247" t="s">
        <v>1744</v>
      </c>
      <c r="G264" s="247" t="s">
        <v>1016</v>
      </c>
      <c r="H264" s="247"/>
      <c r="I264" s="247" t="s">
        <v>1745</v>
      </c>
      <c r="J264" s="247">
        <v>19</v>
      </c>
      <c r="K264" s="247">
        <v>19</v>
      </c>
      <c r="L264" s="249" t="s">
        <v>936</v>
      </c>
      <c r="M264" s="249" t="s">
        <v>929</v>
      </c>
      <c r="N264" s="248">
        <v>-33648.39</v>
      </c>
      <c r="O264" s="248">
        <v>-118443.99</v>
      </c>
      <c r="P264" s="247" t="s">
        <v>1017</v>
      </c>
      <c r="Q264" s="247" t="s">
        <v>90</v>
      </c>
    </row>
    <row r="265" spans="1:17" x14ac:dyDescent="0.25">
      <c r="A265" s="247" t="s">
        <v>646</v>
      </c>
      <c r="B265" s="247" t="s">
        <v>25</v>
      </c>
      <c r="C265" s="247" t="s">
        <v>1015</v>
      </c>
      <c r="D265" s="247" t="s">
        <v>711</v>
      </c>
      <c r="E265" s="247" t="s">
        <v>926</v>
      </c>
      <c r="F265" s="247" t="s">
        <v>1744</v>
      </c>
      <c r="G265" s="247" t="s">
        <v>1016</v>
      </c>
      <c r="H265" s="247"/>
      <c r="I265" s="247" t="s">
        <v>1745</v>
      </c>
      <c r="J265" s="247">
        <v>19</v>
      </c>
      <c r="K265" s="247">
        <v>19</v>
      </c>
      <c r="L265" s="249" t="s">
        <v>937</v>
      </c>
      <c r="M265" s="249" t="s">
        <v>929</v>
      </c>
      <c r="N265" s="248">
        <v>-36391.69</v>
      </c>
      <c r="O265" s="248">
        <v>-154835.68</v>
      </c>
      <c r="P265" s="247" t="s">
        <v>1017</v>
      </c>
      <c r="Q265" s="247" t="s">
        <v>91</v>
      </c>
    </row>
    <row r="266" spans="1:17" x14ac:dyDescent="0.25">
      <c r="A266" s="247" t="s">
        <v>646</v>
      </c>
      <c r="B266" s="247" t="s">
        <v>25</v>
      </c>
      <c r="C266" s="247" t="s">
        <v>1015</v>
      </c>
      <c r="D266" s="247" t="s">
        <v>711</v>
      </c>
      <c r="E266" s="247" t="s">
        <v>926</v>
      </c>
      <c r="F266" s="247" t="s">
        <v>1744</v>
      </c>
      <c r="G266" s="247" t="s">
        <v>1016</v>
      </c>
      <c r="H266" s="247"/>
      <c r="I266" s="247" t="s">
        <v>1745</v>
      </c>
      <c r="J266" s="247">
        <v>19</v>
      </c>
      <c r="K266" s="247">
        <v>19</v>
      </c>
      <c r="L266" s="249" t="s">
        <v>938</v>
      </c>
      <c r="M266" s="249" t="s">
        <v>929</v>
      </c>
      <c r="N266" s="248">
        <v>-43493.02</v>
      </c>
      <c r="O266" s="248">
        <v>-198328.7</v>
      </c>
      <c r="P266" s="247" t="s">
        <v>1017</v>
      </c>
      <c r="Q266" s="247" t="s">
        <v>92</v>
      </c>
    </row>
    <row r="267" spans="1:17" x14ac:dyDescent="0.25">
      <c r="A267" s="247" t="s">
        <v>646</v>
      </c>
      <c r="B267" s="247" t="s">
        <v>25</v>
      </c>
      <c r="C267" s="247" t="s">
        <v>1015</v>
      </c>
      <c r="D267" s="247" t="s">
        <v>711</v>
      </c>
      <c r="E267" s="247" t="s">
        <v>926</v>
      </c>
      <c r="F267" s="247" t="s">
        <v>1744</v>
      </c>
      <c r="G267" s="247" t="s">
        <v>1016</v>
      </c>
      <c r="H267" s="247"/>
      <c r="I267" s="247" t="s">
        <v>1745</v>
      </c>
      <c r="J267" s="247">
        <v>19</v>
      </c>
      <c r="K267" s="247">
        <v>19</v>
      </c>
      <c r="L267" s="249" t="s">
        <v>939</v>
      </c>
      <c r="M267" s="249" t="s">
        <v>929</v>
      </c>
      <c r="N267" s="248">
        <v>-37340.559999999998</v>
      </c>
      <c r="O267" s="248">
        <v>-235669.26</v>
      </c>
      <c r="P267" s="247" t="s">
        <v>1017</v>
      </c>
      <c r="Q267" s="247" t="s">
        <v>93</v>
      </c>
    </row>
    <row r="268" spans="1:17" x14ac:dyDescent="0.25">
      <c r="A268" s="247" t="s">
        <v>646</v>
      </c>
      <c r="B268" s="247" t="s">
        <v>25</v>
      </c>
      <c r="C268" s="247" t="s">
        <v>1015</v>
      </c>
      <c r="D268" s="247" t="s">
        <v>711</v>
      </c>
      <c r="E268" s="247" t="s">
        <v>926</v>
      </c>
      <c r="F268" s="247" t="s">
        <v>1744</v>
      </c>
      <c r="G268" s="247" t="s">
        <v>1016</v>
      </c>
      <c r="H268" s="247"/>
      <c r="I268" s="247" t="s">
        <v>1745</v>
      </c>
      <c r="J268" s="247">
        <v>19</v>
      </c>
      <c r="K268" s="247">
        <v>19</v>
      </c>
      <c r="L268" s="249" t="s">
        <v>940</v>
      </c>
      <c r="M268" s="249" t="s">
        <v>929</v>
      </c>
      <c r="N268" s="248">
        <v>-40959.57</v>
      </c>
      <c r="O268" s="248">
        <v>-276628.83</v>
      </c>
      <c r="P268" s="247" t="s">
        <v>1017</v>
      </c>
      <c r="Q268" s="247" t="s">
        <v>94</v>
      </c>
    </row>
    <row r="269" spans="1:17" x14ac:dyDescent="0.25">
      <c r="A269" s="247" t="s">
        <v>646</v>
      </c>
      <c r="B269" s="247" t="s">
        <v>25</v>
      </c>
      <c r="C269" s="247" t="s">
        <v>1015</v>
      </c>
      <c r="D269" s="247" t="s">
        <v>711</v>
      </c>
      <c r="E269" s="247" t="s">
        <v>926</v>
      </c>
      <c r="F269" s="247" t="s">
        <v>1744</v>
      </c>
      <c r="G269" s="247" t="s">
        <v>1016</v>
      </c>
      <c r="H269" s="247"/>
      <c r="I269" s="247" t="s">
        <v>1745</v>
      </c>
      <c r="J269" s="247">
        <v>19</v>
      </c>
      <c r="K269" s="247">
        <v>19</v>
      </c>
      <c r="L269" s="249" t="s">
        <v>642</v>
      </c>
      <c r="M269" s="249" t="s">
        <v>929</v>
      </c>
      <c r="N269" s="248">
        <v>-37538.9</v>
      </c>
      <c r="O269" s="248">
        <v>-314167.73</v>
      </c>
      <c r="P269" s="247" t="s">
        <v>1017</v>
      </c>
      <c r="Q269" s="247" t="s">
        <v>95</v>
      </c>
    </row>
    <row r="270" spans="1:17" x14ac:dyDescent="0.25">
      <c r="A270" s="247" t="s">
        <v>646</v>
      </c>
      <c r="B270" s="247" t="s">
        <v>25</v>
      </c>
      <c r="C270" s="247" t="s">
        <v>1015</v>
      </c>
      <c r="D270" s="247" t="s">
        <v>569</v>
      </c>
      <c r="E270" s="247" t="s">
        <v>926</v>
      </c>
      <c r="F270" s="247" t="s">
        <v>1746</v>
      </c>
      <c r="G270" s="247" t="s">
        <v>1018</v>
      </c>
      <c r="H270" s="247"/>
      <c r="I270" s="247" t="s">
        <v>1747</v>
      </c>
      <c r="J270" s="247">
        <v>19</v>
      </c>
      <c r="K270" s="247">
        <v>19</v>
      </c>
      <c r="L270" s="249" t="s">
        <v>646</v>
      </c>
      <c r="M270" s="249" t="s">
        <v>933</v>
      </c>
      <c r="N270" s="248">
        <v>-9713.8700000000008</v>
      </c>
      <c r="O270" s="248">
        <v>-105916.4</v>
      </c>
      <c r="P270" s="247" t="s">
        <v>1019</v>
      </c>
      <c r="Q270" s="247" t="s">
        <v>84</v>
      </c>
    </row>
    <row r="271" spans="1:17" x14ac:dyDescent="0.25">
      <c r="A271" s="247" t="s">
        <v>646</v>
      </c>
      <c r="B271" s="247" t="s">
        <v>25</v>
      </c>
      <c r="C271" s="247" t="s">
        <v>1015</v>
      </c>
      <c r="D271" s="247" t="s">
        <v>569</v>
      </c>
      <c r="E271" s="247" t="s">
        <v>926</v>
      </c>
      <c r="F271" s="247" t="s">
        <v>1746</v>
      </c>
      <c r="G271" s="247" t="s">
        <v>1018</v>
      </c>
      <c r="H271" s="247"/>
      <c r="I271" s="247" t="s">
        <v>1747</v>
      </c>
      <c r="J271" s="247">
        <v>19</v>
      </c>
      <c r="K271" s="247">
        <v>19</v>
      </c>
      <c r="L271" s="249" t="s">
        <v>650</v>
      </c>
      <c r="M271" s="249" t="s">
        <v>933</v>
      </c>
      <c r="N271" s="248">
        <v>-9654.4599999999991</v>
      </c>
      <c r="O271" s="248">
        <v>-115570.86</v>
      </c>
      <c r="P271" s="247" t="s">
        <v>1019</v>
      </c>
      <c r="Q271" s="247" t="s">
        <v>85</v>
      </c>
    </row>
    <row r="272" spans="1:17" x14ac:dyDescent="0.25">
      <c r="A272" s="247" t="s">
        <v>646</v>
      </c>
      <c r="B272" s="247" t="s">
        <v>25</v>
      </c>
      <c r="C272" s="247" t="s">
        <v>1015</v>
      </c>
      <c r="D272" s="247" t="s">
        <v>569</v>
      </c>
      <c r="E272" s="247" t="s">
        <v>926</v>
      </c>
      <c r="F272" s="247" t="s">
        <v>1746</v>
      </c>
      <c r="G272" s="247" t="s">
        <v>1018</v>
      </c>
      <c r="H272" s="247"/>
      <c r="I272" s="247" t="s">
        <v>1747</v>
      </c>
      <c r="J272" s="247">
        <v>19</v>
      </c>
      <c r="K272" s="247">
        <v>19</v>
      </c>
      <c r="L272" s="249" t="s">
        <v>652</v>
      </c>
      <c r="M272" s="249" t="s">
        <v>933</v>
      </c>
      <c r="N272" s="248">
        <v>-9356.89</v>
      </c>
      <c r="O272" s="248">
        <v>-124927.75</v>
      </c>
      <c r="P272" s="247" t="s">
        <v>1019</v>
      </c>
      <c r="Q272" s="247" t="s">
        <v>86</v>
      </c>
    </row>
    <row r="273" spans="1:17" x14ac:dyDescent="0.25">
      <c r="A273" s="247" t="s">
        <v>646</v>
      </c>
      <c r="B273" s="247" t="s">
        <v>25</v>
      </c>
      <c r="C273" s="247" t="s">
        <v>1015</v>
      </c>
      <c r="D273" s="247" t="s">
        <v>569</v>
      </c>
      <c r="E273" s="247" t="s">
        <v>926</v>
      </c>
      <c r="F273" s="247" t="s">
        <v>1746</v>
      </c>
      <c r="G273" s="247" t="s">
        <v>1018</v>
      </c>
      <c r="H273" s="247"/>
      <c r="I273" s="247" t="s">
        <v>1747</v>
      </c>
      <c r="J273" s="247">
        <v>19</v>
      </c>
      <c r="K273" s="247">
        <v>19</v>
      </c>
      <c r="L273" s="249" t="s">
        <v>789</v>
      </c>
      <c r="M273" s="249" t="s">
        <v>929</v>
      </c>
      <c r="N273" s="248">
        <v>-6610.59</v>
      </c>
      <c r="O273" s="248">
        <v>-6610.59</v>
      </c>
      <c r="P273" s="247" t="s">
        <v>1019</v>
      </c>
      <c r="Q273" s="247" t="s">
        <v>87</v>
      </c>
    </row>
    <row r="274" spans="1:17" x14ac:dyDescent="0.25">
      <c r="A274" s="247" t="s">
        <v>646</v>
      </c>
      <c r="B274" s="247" t="s">
        <v>25</v>
      </c>
      <c r="C274" s="247" t="s">
        <v>1015</v>
      </c>
      <c r="D274" s="247" t="s">
        <v>569</v>
      </c>
      <c r="E274" s="247" t="s">
        <v>926</v>
      </c>
      <c r="F274" s="247" t="s">
        <v>1746</v>
      </c>
      <c r="G274" s="247" t="s">
        <v>1018</v>
      </c>
      <c r="H274" s="247"/>
      <c r="I274" s="247" t="s">
        <v>1747</v>
      </c>
      <c r="J274" s="247">
        <v>19</v>
      </c>
      <c r="K274" s="247">
        <v>19</v>
      </c>
      <c r="L274" s="249" t="s">
        <v>791</v>
      </c>
      <c r="M274" s="249" t="s">
        <v>929</v>
      </c>
      <c r="N274" s="248">
        <v>-7480.62</v>
      </c>
      <c r="O274" s="248">
        <v>-14091.21</v>
      </c>
      <c r="P274" s="247" t="s">
        <v>1019</v>
      </c>
      <c r="Q274" s="247" t="s">
        <v>88</v>
      </c>
    </row>
    <row r="275" spans="1:17" x14ac:dyDescent="0.25">
      <c r="A275" s="247" t="s">
        <v>646</v>
      </c>
      <c r="B275" s="247" t="s">
        <v>25</v>
      </c>
      <c r="C275" s="247" t="s">
        <v>1015</v>
      </c>
      <c r="D275" s="247" t="s">
        <v>569</v>
      </c>
      <c r="E275" s="247" t="s">
        <v>926</v>
      </c>
      <c r="F275" s="247" t="s">
        <v>1746</v>
      </c>
      <c r="G275" s="247" t="s">
        <v>1018</v>
      </c>
      <c r="H275" s="247"/>
      <c r="I275" s="247" t="s">
        <v>1747</v>
      </c>
      <c r="J275" s="247">
        <v>19</v>
      </c>
      <c r="K275" s="247">
        <v>19</v>
      </c>
      <c r="L275" s="249" t="s">
        <v>935</v>
      </c>
      <c r="M275" s="249" t="s">
        <v>929</v>
      </c>
      <c r="N275" s="248">
        <v>-9756.2999999999993</v>
      </c>
      <c r="O275" s="248">
        <v>-23847.51</v>
      </c>
      <c r="P275" s="247" t="s">
        <v>1019</v>
      </c>
      <c r="Q275" s="247" t="s">
        <v>89</v>
      </c>
    </row>
    <row r="276" spans="1:17" x14ac:dyDescent="0.25">
      <c r="A276" s="247" t="s">
        <v>646</v>
      </c>
      <c r="B276" s="247" t="s">
        <v>25</v>
      </c>
      <c r="C276" s="247" t="s">
        <v>1015</v>
      </c>
      <c r="D276" s="247" t="s">
        <v>569</v>
      </c>
      <c r="E276" s="247" t="s">
        <v>926</v>
      </c>
      <c r="F276" s="247" t="s">
        <v>1746</v>
      </c>
      <c r="G276" s="247" t="s">
        <v>1018</v>
      </c>
      <c r="H276" s="247"/>
      <c r="I276" s="247" t="s">
        <v>1747</v>
      </c>
      <c r="J276" s="247">
        <v>19</v>
      </c>
      <c r="K276" s="247">
        <v>19</v>
      </c>
      <c r="L276" s="249" t="s">
        <v>936</v>
      </c>
      <c r="M276" s="249" t="s">
        <v>929</v>
      </c>
      <c r="N276" s="248">
        <v>-7939.85</v>
      </c>
      <c r="O276" s="248">
        <v>-31787.360000000001</v>
      </c>
      <c r="P276" s="247" t="s">
        <v>1019</v>
      </c>
      <c r="Q276" s="247" t="s">
        <v>90</v>
      </c>
    </row>
    <row r="277" spans="1:17" x14ac:dyDescent="0.25">
      <c r="A277" s="247" t="s">
        <v>646</v>
      </c>
      <c r="B277" s="247" t="s">
        <v>25</v>
      </c>
      <c r="C277" s="247" t="s">
        <v>1015</v>
      </c>
      <c r="D277" s="247" t="s">
        <v>569</v>
      </c>
      <c r="E277" s="247" t="s">
        <v>926</v>
      </c>
      <c r="F277" s="247" t="s">
        <v>1746</v>
      </c>
      <c r="G277" s="247" t="s">
        <v>1018</v>
      </c>
      <c r="H277" s="247"/>
      <c r="I277" s="247" t="s">
        <v>1747</v>
      </c>
      <c r="J277" s="247">
        <v>19</v>
      </c>
      <c r="K277" s="247">
        <v>19</v>
      </c>
      <c r="L277" s="249" t="s">
        <v>937</v>
      </c>
      <c r="M277" s="249" t="s">
        <v>929</v>
      </c>
      <c r="N277" s="248">
        <v>-11782.63</v>
      </c>
      <c r="O277" s="248">
        <v>-43569.99</v>
      </c>
      <c r="P277" s="247" t="s">
        <v>1019</v>
      </c>
      <c r="Q277" s="247" t="s">
        <v>91</v>
      </c>
    </row>
    <row r="278" spans="1:17" x14ac:dyDescent="0.25">
      <c r="A278" s="247" t="s">
        <v>646</v>
      </c>
      <c r="B278" s="247" t="s">
        <v>25</v>
      </c>
      <c r="C278" s="247" t="s">
        <v>1015</v>
      </c>
      <c r="D278" s="247" t="s">
        <v>569</v>
      </c>
      <c r="E278" s="247" t="s">
        <v>926</v>
      </c>
      <c r="F278" s="247" t="s">
        <v>1746</v>
      </c>
      <c r="G278" s="247" t="s">
        <v>1018</v>
      </c>
      <c r="H278" s="247"/>
      <c r="I278" s="247" t="s">
        <v>1747</v>
      </c>
      <c r="J278" s="247">
        <v>19</v>
      </c>
      <c r="K278" s="247">
        <v>19</v>
      </c>
      <c r="L278" s="249" t="s">
        <v>938</v>
      </c>
      <c r="M278" s="249" t="s">
        <v>929</v>
      </c>
      <c r="N278" s="248">
        <v>-8555.92</v>
      </c>
      <c r="O278" s="248">
        <v>-52125.91</v>
      </c>
      <c r="P278" s="247" t="s">
        <v>1019</v>
      </c>
      <c r="Q278" s="247" t="s">
        <v>92</v>
      </c>
    </row>
    <row r="279" spans="1:17" x14ac:dyDescent="0.25">
      <c r="A279" s="247" t="s">
        <v>646</v>
      </c>
      <c r="B279" s="247" t="s">
        <v>25</v>
      </c>
      <c r="C279" s="247" t="s">
        <v>1015</v>
      </c>
      <c r="D279" s="247" t="s">
        <v>569</v>
      </c>
      <c r="E279" s="247" t="s">
        <v>926</v>
      </c>
      <c r="F279" s="247" t="s">
        <v>1746</v>
      </c>
      <c r="G279" s="247" t="s">
        <v>1018</v>
      </c>
      <c r="H279" s="247"/>
      <c r="I279" s="247" t="s">
        <v>1747</v>
      </c>
      <c r="J279" s="247">
        <v>19</v>
      </c>
      <c r="K279" s="247">
        <v>19</v>
      </c>
      <c r="L279" s="249" t="s">
        <v>939</v>
      </c>
      <c r="M279" s="249" t="s">
        <v>929</v>
      </c>
      <c r="N279" s="248">
        <v>-6834.5</v>
      </c>
      <c r="O279" s="248">
        <v>-58960.41</v>
      </c>
      <c r="P279" s="247" t="s">
        <v>1019</v>
      </c>
      <c r="Q279" s="247" t="s">
        <v>93</v>
      </c>
    </row>
    <row r="280" spans="1:17" x14ac:dyDescent="0.25">
      <c r="A280" s="247" t="s">
        <v>646</v>
      </c>
      <c r="B280" s="247" t="s">
        <v>25</v>
      </c>
      <c r="C280" s="247" t="s">
        <v>1015</v>
      </c>
      <c r="D280" s="247" t="s">
        <v>569</v>
      </c>
      <c r="E280" s="247" t="s">
        <v>926</v>
      </c>
      <c r="F280" s="247" t="s">
        <v>1746</v>
      </c>
      <c r="G280" s="247" t="s">
        <v>1018</v>
      </c>
      <c r="H280" s="247"/>
      <c r="I280" s="247" t="s">
        <v>1747</v>
      </c>
      <c r="J280" s="247">
        <v>19</v>
      </c>
      <c r="K280" s="247">
        <v>19</v>
      </c>
      <c r="L280" s="249" t="s">
        <v>940</v>
      </c>
      <c r="M280" s="249" t="s">
        <v>929</v>
      </c>
      <c r="N280" s="248">
        <v>-10251.85</v>
      </c>
      <c r="O280" s="248">
        <v>-69212.259999999995</v>
      </c>
      <c r="P280" s="247" t="s">
        <v>1019</v>
      </c>
      <c r="Q280" s="247" t="s">
        <v>94</v>
      </c>
    </row>
    <row r="281" spans="1:17" x14ac:dyDescent="0.25">
      <c r="A281" s="247" t="s">
        <v>646</v>
      </c>
      <c r="B281" s="247" t="s">
        <v>25</v>
      </c>
      <c r="C281" s="247" t="s">
        <v>1015</v>
      </c>
      <c r="D281" s="247" t="s">
        <v>569</v>
      </c>
      <c r="E281" s="247" t="s">
        <v>926</v>
      </c>
      <c r="F281" s="247" t="s">
        <v>1746</v>
      </c>
      <c r="G281" s="247" t="s">
        <v>1018</v>
      </c>
      <c r="H281" s="247"/>
      <c r="I281" s="247" t="s">
        <v>1747</v>
      </c>
      <c r="J281" s="247">
        <v>19</v>
      </c>
      <c r="K281" s="247">
        <v>19</v>
      </c>
      <c r="L281" s="249" t="s">
        <v>642</v>
      </c>
      <c r="M281" s="249" t="s">
        <v>929</v>
      </c>
      <c r="N281" s="248">
        <v>-10723.34</v>
      </c>
      <c r="O281" s="248">
        <v>-79935.600000000006</v>
      </c>
      <c r="P281" s="247" t="s">
        <v>1019</v>
      </c>
      <c r="Q281" s="247" t="s">
        <v>95</v>
      </c>
    </row>
    <row r="282" spans="1:17" x14ac:dyDescent="0.25">
      <c r="A282" s="247" t="s">
        <v>646</v>
      </c>
      <c r="B282" s="247" t="s">
        <v>25</v>
      </c>
      <c r="C282" s="247" t="s">
        <v>1015</v>
      </c>
      <c r="D282" s="247" t="s">
        <v>946</v>
      </c>
      <c r="E282" s="247" t="s">
        <v>926</v>
      </c>
      <c r="F282" s="247" t="s">
        <v>1748</v>
      </c>
      <c r="G282" s="247" t="s">
        <v>1020</v>
      </c>
      <c r="H282" s="247"/>
      <c r="I282" s="247" t="s">
        <v>1749</v>
      </c>
      <c r="J282" s="247">
        <v>19</v>
      </c>
      <c r="K282" s="247">
        <v>19</v>
      </c>
      <c r="L282" s="249" t="s">
        <v>646</v>
      </c>
      <c r="M282" s="249" t="s">
        <v>933</v>
      </c>
      <c r="N282" s="248">
        <v>-40517.21</v>
      </c>
      <c r="O282" s="248">
        <v>-412927.68</v>
      </c>
      <c r="P282" s="247" t="s">
        <v>1021</v>
      </c>
      <c r="Q282" s="247" t="s">
        <v>84</v>
      </c>
    </row>
    <row r="283" spans="1:17" x14ac:dyDescent="0.25">
      <c r="A283" s="247" t="s">
        <v>646</v>
      </c>
      <c r="B283" s="247" t="s">
        <v>25</v>
      </c>
      <c r="C283" s="247" t="s">
        <v>1015</v>
      </c>
      <c r="D283" s="247" t="s">
        <v>946</v>
      </c>
      <c r="E283" s="247" t="s">
        <v>926</v>
      </c>
      <c r="F283" s="247" t="s">
        <v>1748</v>
      </c>
      <c r="G283" s="247" t="s">
        <v>1020</v>
      </c>
      <c r="H283" s="247"/>
      <c r="I283" s="247" t="s">
        <v>1749</v>
      </c>
      <c r="J283" s="247">
        <v>19</v>
      </c>
      <c r="K283" s="247">
        <v>19</v>
      </c>
      <c r="L283" s="249" t="s">
        <v>650</v>
      </c>
      <c r="M283" s="249" t="s">
        <v>933</v>
      </c>
      <c r="N283" s="248">
        <v>-36030.379999999997</v>
      </c>
      <c r="O283" s="248">
        <v>-448958.06</v>
      </c>
      <c r="P283" s="247" t="s">
        <v>1021</v>
      </c>
      <c r="Q283" s="247" t="s">
        <v>85</v>
      </c>
    </row>
    <row r="284" spans="1:17" x14ac:dyDescent="0.25">
      <c r="A284" s="247" t="s">
        <v>646</v>
      </c>
      <c r="B284" s="247" t="s">
        <v>25</v>
      </c>
      <c r="C284" s="247" t="s">
        <v>1015</v>
      </c>
      <c r="D284" s="247" t="s">
        <v>946</v>
      </c>
      <c r="E284" s="247" t="s">
        <v>926</v>
      </c>
      <c r="F284" s="247" t="s">
        <v>1748</v>
      </c>
      <c r="G284" s="247" t="s">
        <v>1020</v>
      </c>
      <c r="H284" s="247"/>
      <c r="I284" s="247" t="s">
        <v>1749</v>
      </c>
      <c r="J284" s="247">
        <v>19</v>
      </c>
      <c r="K284" s="247">
        <v>19</v>
      </c>
      <c r="L284" s="249" t="s">
        <v>652</v>
      </c>
      <c r="M284" s="249" t="s">
        <v>933</v>
      </c>
      <c r="N284" s="248">
        <v>-31486.73</v>
      </c>
      <c r="O284" s="248">
        <v>-480444.79</v>
      </c>
      <c r="P284" s="247" t="s">
        <v>1021</v>
      </c>
      <c r="Q284" s="247" t="s">
        <v>86</v>
      </c>
    </row>
    <row r="285" spans="1:17" x14ac:dyDescent="0.25">
      <c r="A285" s="247" t="s">
        <v>646</v>
      </c>
      <c r="B285" s="247" t="s">
        <v>25</v>
      </c>
      <c r="C285" s="247" t="s">
        <v>1015</v>
      </c>
      <c r="D285" s="247" t="s">
        <v>946</v>
      </c>
      <c r="E285" s="247" t="s">
        <v>926</v>
      </c>
      <c r="F285" s="247" t="s">
        <v>1748</v>
      </c>
      <c r="G285" s="247" t="s">
        <v>1020</v>
      </c>
      <c r="H285" s="247"/>
      <c r="I285" s="247" t="s">
        <v>1749</v>
      </c>
      <c r="J285" s="247">
        <v>19</v>
      </c>
      <c r="K285" s="247">
        <v>19</v>
      </c>
      <c r="L285" s="249" t="s">
        <v>789</v>
      </c>
      <c r="M285" s="249" t="s">
        <v>929</v>
      </c>
      <c r="N285" s="248">
        <v>-24370.080000000002</v>
      </c>
      <c r="O285" s="248">
        <v>-24370.080000000002</v>
      </c>
      <c r="P285" s="247" t="s">
        <v>1021</v>
      </c>
      <c r="Q285" s="247" t="s">
        <v>87</v>
      </c>
    </row>
    <row r="286" spans="1:17" x14ac:dyDescent="0.25">
      <c r="A286" s="247" t="s">
        <v>646</v>
      </c>
      <c r="B286" s="247" t="s">
        <v>25</v>
      </c>
      <c r="C286" s="247" t="s">
        <v>1015</v>
      </c>
      <c r="D286" s="247" t="s">
        <v>946</v>
      </c>
      <c r="E286" s="247" t="s">
        <v>926</v>
      </c>
      <c r="F286" s="247" t="s">
        <v>1748</v>
      </c>
      <c r="G286" s="247" t="s">
        <v>1020</v>
      </c>
      <c r="H286" s="247"/>
      <c r="I286" s="247" t="s">
        <v>1749</v>
      </c>
      <c r="J286" s="247">
        <v>19</v>
      </c>
      <c r="K286" s="247">
        <v>19</v>
      </c>
      <c r="L286" s="249" t="s">
        <v>791</v>
      </c>
      <c r="M286" s="249" t="s">
        <v>929</v>
      </c>
      <c r="N286" s="248">
        <v>-26508.86</v>
      </c>
      <c r="O286" s="248">
        <v>-50878.94</v>
      </c>
      <c r="P286" s="247" t="s">
        <v>1021</v>
      </c>
      <c r="Q286" s="247" t="s">
        <v>88</v>
      </c>
    </row>
    <row r="287" spans="1:17" x14ac:dyDescent="0.25">
      <c r="A287" s="247" t="s">
        <v>646</v>
      </c>
      <c r="B287" s="247" t="s">
        <v>25</v>
      </c>
      <c r="C287" s="247" t="s">
        <v>1015</v>
      </c>
      <c r="D287" s="247" t="s">
        <v>946</v>
      </c>
      <c r="E287" s="247" t="s">
        <v>926</v>
      </c>
      <c r="F287" s="247" t="s">
        <v>1748</v>
      </c>
      <c r="G287" s="247" t="s">
        <v>1020</v>
      </c>
      <c r="H287" s="247"/>
      <c r="I287" s="247" t="s">
        <v>1749</v>
      </c>
      <c r="J287" s="247">
        <v>19</v>
      </c>
      <c r="K287" s="247">
        <v>19</v>
      </c>
      <c r="L287" s="249" t="s">
        <v>935</v>
      </c>
      <c r="M287" s="249" t="s">
        <v>929</v>
      </c>
      <c r="N287" s="248">
        <v>-35078.879999999997</v>
      </c>
      <c r="O287" s="248">
        <v>-85957.82</v>
      </c>
      <c r="P287" s="247" t="s">
        <v>1021</v>
      </c>
      <c r="Q287" s="247" t="s">
        <v>89</v>
      </c>
    </row>
    <row r="288" spans="1:17" x14ac:dyDescent="0.25">
      <c r="A288" s="247" t="s">
        <v>646</v>
      </c>
      <c r="B288" s="247" t="s">
        <v>25</v>
      </c>
      <c r="C288" s="247" t="s">
        <v>1015</v>
      </c>
      <c r="D288" s="247" t="s">
        <v>946</v>
      </c>
      <c r="E288" s="247" t="s">
        <v>926</v>
      </c>
      <c r="F288" s="247" t="s">
        <v>1748</v>
      </c>
      <c r="G288" s="247" t="s">
        <v>1020</v>
      </c>
      <c r="H288" s="247"/>
      <c r="I288" s="247" t="s">
        <v>1749</v>
      </c>
      <c r="J288" s="247">
        <v>19</v>
      </c>
      <c r="K288" s="247">
        <v>19</v>
      </c>
      <c r="L288" s="249" t="s">
        <v>936</v>
      </c>
      <c r="M288" s="249" t="s">
        <v>929</v>
      </c>
      <c r="N288" s="248">
        <v>-35658.83</v>
      </c>
      <c r="O288" s="248">
        <v>-121616.65</v>
      </c>
      <c r="P288" s="247" t="s">
        <v>1021</v>
      </c>
      <c r="Q288" s="247" t="s">
        <v>90</v>
      </c>
    </row>
    <row r="289" spans="1:17" x14ac:dyDescent="0.25">
      <c r="A289" s="247" t="s">
        <v>646</v>
      </c>
      <c r="B289" s="247" t="s">
        <v>25</v>
      </c>
      <c r="C289" s="247" t="s">
        <v>1015</v>
      </c>
      <c r="D289" s="247" t="s">
        <v>946</v>
      </c>
      <c r="E289" s="247" t="s">
        <v>926</v>
      </c>
      <c r="F289" s="247" t="s">
        <v>1748</v>
      </c>
      <c r="G289" s="247" t="s">
        <v>1020</v>
      </c>
      <c r="H289" s="247"/>
      <c r="I289" s="247" t="s">
        <v>1749</v>
      </c>
      <c r="J289" s="247">
        <v>19</v>
      </c>
      <c r="K289" s="247">
        <v>19</v>
      </c>
      <c r="L289" s="249" t="s">
        <v>937</v>
      </c>
      <c r="M289" s="249" t="s">
        <v>929</v>
      </c>
      <c r="N289" s="248">
        <v>-42611.22</v>
      </c>
      <c r="O289" s="248">
        <v>-164227.87</v>
      </c>
      <c r="P289" s="247" t="s">
        <v>1021</v>
      </c>
      <c r="Q289" s="247" t="s">
        <v>91</v>
      </c>
    </row>
    <row r="290" spans="1:17" x14ac:dyDescent="0.25">
      <c r="A290" s="247" t="s">
        <v>646</v>
      </c>
      <c r="B290" s="247" t="s">
        <v>25</v>
      </c>
      <c r="C290" s="247" t="s">
        <v>1015</v>
      </c>
      <c r="D290" s="247" t="s">
        <v>946</v>
      </c>
      <c r="E290" s="247" t="s">
        <v>926</v>
      </c>
      <c r="F290" s="247" t="s">
        <v>1748</v>
      </c>
      <c r="G290" s="247" t="s">
        <v>1020</v>
      </c>
      <c r="H290" s="247"/>
      <c r="I290" s="247" t="s">
        <v>1749</v>
      </c>
      <c r="J290" s="247">
        <v>19</v>
      </c>
      <c r="K290" s="247">
        <v>19</v>
      </c>
      <c r="L290" s="249" t="s">
        <v>938</v>
      </c>
      <c r="M290" s="249" t="s">
        <v>929</v>
      </c>
      <c r="N290" s="248">
        <v>-46802.5</v>
      </c>
      <c r="O290" s="248">
        <v>-211030.37</v>
      </c>
      <c r="P290" s="247" t="s">
        <v>1021</v>
      </c>
      <c r="Q290" s="247" t="s">
        <v>92</v>
      </c>
    </row>
    <row r="291" spans="1:17" x14ac:dyDescent="0.25">
      <c r="A291" s="247" t="s">
        <v>646</v>
      </c>
      <c r="B291" s="247" t="s">
        <v>25</v>
      </c>
      <c r="C291" s="247" t="s">
        <v>1015</v>
      </c>
      <c r="D291" s="247" t="s">
        <v>946</v>
      </c>
      <c r="E291" s="247" t="s">
        <v>926</v>
      </c>
      <c r="F291" s="247" t="s">
        <v>1748</v>
      </c>
      <c r="G291" s="247" t="s">
        <v>1020</v>
      </c>
      <c r="H291" s="247"/>
      <c r="I291" s="247" t="s">
        <v>1749</v>
      </c>
      <c r="J291" s="247">
        <v>19</v>
      </c>
      <c r="K291" s="247">
        <v>19</v>
      </c>
      <c r="L291" s="249" t="s">
        <v>939</v>
      </c>
      <c r="M291" s="249" t="s">
        <v>929</v>
      </c>
      <c r="N291" s="248">
        <v>-42267.49</v>
      </c>
      <c r="O291" s="248">
        <v>-253297.86</v>
      </c>
      <c r="P291" s="247" t="s">
        <v>1021</v>
      </c>
      <c r="Q291" s="247" t="s">
        <v>93</v>
      </c>
    </row>
    <row r="292" spans="1:17" x14ac:dyDescent="0.25">
      <c r="A292" s="247" t="s">
        <v>646</v>
      </c>
      <c r="B292" s="247" t="s">
        <v>25</v>
      </c>
      <c r="C292" s="247" t="s">
        <v>1015</v>
      </c>
      <c r="D292" s="247" t="s">
        <v>946</v>
      </c>
      <c r="E292" s="247" t="s">
        <v>926</v>
      </c>
      <c r="F292" s="247" t="s">
        <v>1748</v>
      </c>
      <c r="G292" s="247" t="s">
        <v>1020</v>
      </c>
      <c r="H292" s="247"/>
      <c r="I292" s="247" t="s">
        <v>1749</v>
      </c>
      <c r="J292" s="247">
        <v>19</v>
      </c>
      <c r="K292" s="247">
        <v>19</v>
      </c>
      <c r="L292" s="249" t="s">
        <v>940</v>
      </c>
      <c r="M292" s="249" t="s">
        <v>929</v>
      </c>
      <c r="N292" s="248">
        <v>-42945.91</v>
      </c>
      <c r="O292" s="248">
        <v>-296243.77</v>
      </c>
      <c r="P292" s="247" t="s">
        <v>1021</v>
      </c>
      <c r="Q292" s="247" t="s">
        <v>94</v>
      </c>
    </row>
    <row r="293" spans="1:17" x14ac:dyDescent="0.25">
      <c r="A293" s="247" t="s">
        <v>646</v>
      </c>
      <c r="B293" s="247" t="s">
        <v>25</v>
      </c>
      <c r="C293" s="247" t="s">
        <v>1015</v>
      </c>
      <c r="D293" s="247" t="s">
        <v>946</v>
      </c>
      <c r="E293" s="247" t="s">
        <v>926</v>
      </c>
      <c r="F293" s="247" t="s">
        <v>1748</v>
      </c>
      <c r="G293" s="247" t="s">
        <v>1020</v>
      </c>
      <c r="H293" s="247"/>
      <c r="I293" s="247" t="s">
        <v>1749</v>
      </c>
      <c r="J293" s="247">
        <v>19</v>
      </c>
      <c r="K293" s="247">
        <v>19</v>
      </c>
      <c r="L293" s="249" t="s">
        <v>642</v>
      </c>
      <c r="M293" s="249" t="s">
        <v>929</v>
      </c>
      <c r="N293" s="248">
        <v>-40891.89</v>
      </c>
      <c r="O293" s="248">
        <v>-337135.66</v>
      </c>
      <c r="P293" s="247" t="s">
        <v>1021</v>
      </c>
      <c r="Q293" s="247" t="s">
        <v>95</v>
      </c>
    </row>
    <row r="294" spans="1:17" x14ac:dyDescent="0.25">
      <c r="A294" s="247" t="s">
        <v>646</v>
      </c>
      <c r="B294" s="247" t="s">
        <v>25</v>
      </c>
      <c r="C294" s="247" t="s">
        <v>1015</v>
      </c>
      <c r="D294" s="247" t="s">
        <v>1022</v>
      </c>
      <c r="E294" s="247" t="s">
        <v>926</v>
      </c>
      <c r="F294" s="247" t="s">
        <v>1750</v>
      </c>
      <c r="G294" s="247" t="s">
        <v>1023</v>
      </c>
      <c r="H294" s="247"/>
      <c r="I294" s="247" t="s">
        <v>1751</v>
      </c>
      <c r="J294" s="247">
        <v>19</v>
      </c>
      <c r="K294" s="247">
        <v>19</v>
      </c>
      <c r="L294" s="249" t="s">
        <v>646</v>
      </c>
      <c r="M294" s="249" t="s">
        <v>933</v>
      </c>
      <c r="N294" s="248">
        <v>-3880.92</v>
      </c>
      <c r="O294" s="248">
        <v>-38829.440000000002</v>
      </c>
      <c r="P294" s="247" t="s">
        <v>1024</v>
      </c>
      <c r="Q294" s="247" t="s">
        <v>84</v>
      </c>
    </row>
    <row r="295" spans="1:17" x14ac:dyDescent="0.25">
      <c r="A295" s="247" t="s">
        <v>646</v>
      </c>
      <c r="B295" s="247" t="s">
        <v>25</v>
      </c>
      <c r="C295" s="247" t="s">
        <v>1015</v>
      </c>
      <c r="D295" s="247" t="s">
        <v>1022</v>
      </c>
      <c r="E295" s="247" t="s">
        <v>926</v>
      </c>
      <c r="F295" s="247" t="s">
        <v>1750</v>
      </c>
      <c r="G295" s="247" t="s">
        <v>1023</v>
      </c>
      <c r="H295" s="247"/>
      <c r="I295" s="247" t="s">
        <v>1751</v>
      </c>
      <c r="J295" s="247">
        <v>19</v>
      </c>
      <c r="K295" s="247">
        <v>19</v>
      </c>
      <c r="L295" s="249" t="s">
        <v>650</v>
      </c>
      <c r="M295" s="249" t="s">
        <v>933</v>
      </c>
      <c r="N295" s="248">
        <v>-3084.92</v>
      </c>
      <c r="O295" s="248">
        <v>-41914.36</v>
      </c>
      <c r="P295" s="247" t="s">
        <v>1024</v>
      </c>
      <c r="Q295" s="247" t="s">
        <v>85</v>
      </c>
    </row>
    <row r="296" spans="1:17" x14ac:dyDescent="0.25">
      <c r="A296" s="247" t="s">
        <v>646</v>
      </c>
      <c r="B296" s="247" t="s">
        <v>25</v>
      </c>
      <c r="C296" s="247" t="s">
        <v>1015</v>
      </c>
      <c r="D296" s="247" t="s">
        <v>1022</v>
      </c>
      <c r="E296" s="247" t="s">
        <v>926</v>
      </c>
      <c r="F296" s="247" t="s">
        <v>1750</v>
      </c>
      <c r="G296" s="247" t="s">
        <v>1023</v>
      </c>
      <c r="H296" s="247"/>
      <c r="I296" s="247" t="s">
        <v>1751</v>
      </c>
      <c r="J296" s="247">
        <v>19</v>
      </c>
      <c r="K296" s="247">
        <v>19</v>
      </c>
      <c r="L296" s="249" t="s">
        <v>652</v>
      </c>
      <c r="M296" s="249" t="s">
        <v>933</v>
      </c>
      <c r="N296" s="248">
        <v>-2730.25</v>
      </c>
      <c r="O296" s="248">
        <v>-44644.61</v>
      </c>
      <c r="P296" s="247" t="s">
        <v>1024</v>
      </c>
      <c r="Q296" s="247" t="s">
        <v>86</v>
      </c>
    </row>
    <row r="297" spans="1:17" x14ac:dyDescent="0.25">
      <c r="A297" s="247" t="s">
        <v>646</v>
      </c>
      <c r="B297" s="247" t="s">
        <v>25</v>
      </c>
      <c r="C297" s="247" t="s">
        <v>1015</v>
      </c>
      <c r="D297" s="247" t="s">
        <v>1022</v>
      </c>
      <c r="E297" s="247" t="s">
        <v>926</v>
      </c>
      <c r="F297" s="247" t="s">
        <v>1750</v>
      </c>
      <c r="G297" s="247" t="s">
        <v>1023</v>
      </c>
      <c r="H297" s="247"/>
      <c r="I297" s="247" t="s">
        <v>1751</v>
      </c>
      <c r="J297" s="247">
        <v>19</v>
      </c>
      <c r="K297" s="247">
        <v>19</v>
      </c>
      <c r="L297" s="249" t="s">
        <v>789</v>
      </c>
      <c r="M297" s="249" t="s">
        <v>929</v>
      </c>
      <c r="N297" s="248">
        <v>-1979.25</v>
      </c>
      <c r="O297" s="248">
        <v>-1979.25</v>
      </c>
      <c r="P297" s="247" t="s">
        <v>1024</v>
      </c>
      <c r="Q297" s="247" t="s">
        <v>87</v>
      </c>
    </row>
    <row r="298" spans="1:17" x14ac:dyDescent="0.25">
      <c r="A298" s="247" t="s">
        <v>646</v>
      </c>
      <c r="B298" s="247" t="s">
        <v>25</v>
      </c>
      <c r="C298" s="247" t="s">
        <v>1015</v>
      </c>
      <c r="D298" s="247" t="s">
        <v>1022</v>
      </c>
      <c r="E298" s="247" t="s">
        <v>926</v>
      </c>
      <c r="F298" s="247" t="s">
        <v>1750</v>
      </c>
      <c r="G298" s="247" t="s">
        <v>1023</v>
      </c>
      <c r="H298" s="247"/>
      <c r="I298" s="247" t="s">
        <v>1751</v>
      </c>
      <c r="J298" s="247">
        <v>19</v>
      </c>
      <c r="K298" s="247">
        <v>19</v>
      </c>
      <c r="L298" s="249" t="s">
        <v>791</v>
      </c>
      <c r="M298" s="249" t="s">
        <v>929</v>
      </c>
      <c r="N298" s="248">
        <v>-2073.39</v>
      </c>
      <c r="O298" s="248">
        <v>-4052.64</v>
      </c>
      <c r="P298" s="247" t="s">
        <v>1024</v>
      </c>
      <c r="Q298" s="247" t="s">
        <v>88</v>
      </c>
    </row>
    <row r="299" spans="1:17" x14ac:dyDescent="0.25">
      <c r="A299" s="247" t="s">
        <v>646</v>
      </c>
      <c r="B299" s="247" t="s">
        <v>25</v>
      </c>
      <c r="C299" s="247" t="s">
        <v>1015</v>
      </c>
      <c r="D299" s="247" t="s">
        <v>1022</v>
      </c>
      <c r="E299" s="247" t="s">
        <v>926</v>
      </c>
      <c r="F299" s="247" t="s">
        <v>1750</v>
      </c>
      <c r="G299" s="247" t="s">
        <v>1023</v>
      </c>
      <c r="H299" s="247"/>
      <c r="I299" s="247" t="s">
        <v>1751</v>
      </c>
      <c r="J299" s="247">
        <v>19</v>
      </c>
      <c r="K299" s="247">
        <v>19</v>
      </c>
      <c r="L299" s="249" t="s">
        <v>935</v>
      </c>
      <c r="M299" s="249" t="s">
        <v>929</v>
      </c>
      <c r="N299" s="248">
        <v>-2654.46</v>
      </c>
      <c r="O299" s="248">
        <v>-6707.1</v>
      </c>
      <c r="P299" s="247" t="s">
        <v>1024</v>
      </c>
      <c r="Q299" s="247" t="s">
        <v>89</v>
      </c>
    </row>
    <row r="300" spans="1:17" x14ac:dyDescent="0.25">
      <c r="A300" s="247" t="s">
        <v>646</v>
      </c>
      <c r="B300" s="247" t="s">
        <v>25</v>
      </c>
      <c r="C300" s="247" t="s">
        <v>1015</v>
      </c>
      <c r="D300" s="247" t="s">
        <v>1022</v>
      </c>
      <c r="E300" s="247" t="s">
        <v>926</v>
      </c>
      <c r="F300" s="247" t="s">
        <v>1750</v>
      </c>
      <c r="G300" s="247" t="s">
        <v>1023</v>
      </c>
      <c r="H300" s="247"/>
      <c r="I300" s="247" t="s">
        <v>1751</v>
      </c>
      <c r="J300" s="247">
        <v>19</v>
      </c>
      <c r="K300" s="247">
        <v>19</v>
      </c>
      <c r="L300" s="249" t="s">
        <v>936</v>
      </c>
      <c r="M300" s="249" t="s">
        <v>929</v>
      </c>
      <c r="N300" s="248">
        <v>-3032.36</v>
      </c>
      <c r="O300" s="248">
        <v>-9739.4599999999991</v>
      </c>
      <c r="P300" s="247" t="s">
        <v>1024</v>
      </c>
      <c r="Q300" s="247" t="s">
        <v>90</v>
      </c>
    </row>
    <row r="301" spans="1:17" x14ac:dyDescent="0.25">
      <c r="A301" s="247" t="s">
        <v>646</v>
      </c>
      <c r="B301" s="247" t="s">
        <v>25</v>
      </c>
      <c r="C301" s="247" t="s">
        <v>1015</v>
      </c>
      <c r="D301" s="247" t="s">
        <v>1022</v>
      </c>
      <c r="E301" s="247" t="s">
        <v>926</v>
      </c>
      <c r="F301" s="247" t="s">
        <v>1750</v>
      </c>
      <c r="G301" s="247" t="s">
        <v>1023</v>
      </c>
      <c r="H301" s="247"/>
      <c r="I301" s="247" t="s">
        <v>1751</v>
      </c>
      <c r="J301" s="247">
        <v>19</v>
      </c>
      <c r="K301" s="247">
        <v>19</v>
      </c>
      <c r="L301" s="249" t="s">
        <v>937</v>
      </c>
      <c r="M301" s="249" t="s">
        <v>929</v>
      </c>
      <c r="N301" s="248">
        <v>-3836.11</v>
      </c>
      <c r="O301" s="248">
        <v>-13575.57</v>
      </c>
      <c r="P301" s="247" t="s">
        <v>1024</v>
      </c>
      <c r="Q301" s="247" t="s">
        <v>91</v>
      </c>
    </row>
    <row r="302" spans="1:17" x14ac:dyDescent="0.25">
      <c r="A302" s="247" t="s">
        <v>646</v>
      </c>
      <c r="B302" s="247" t="s">
        <v>25</v>
      </c>
      <c r="C302" s="247" t="s">
        <v>1015</v>
      </c>
      <c r="D302" s="247" t="s">
        <v>1022</v>
      </c>
      <c r="E302" s="247" t="s">
        <v>926</v>
      </c>
      <c r="F302" s="247" t="s">
        <v>1750</v>
      </c>
      <c r="G302" s="247" t="s">
        <v>1023</v>
      </c>
      <c r="H302" s="247"/>
      <c r="I302" s="247" t="s">
        <v>1751</v>
      </c>
      <c r="J302" s="247">
        <v>19</v>
      </c>
      <c r="K302" s="247">
        <v>19</v>
      </c>
      <c r="L302" s="249" t="s">
        <v>938</v>
      </c>
      <c r="M302" s="249" t="s">
        <v>929</v>
      </c>
      <c r="N302" s="248">
        <v>-5980.53</v>
      </c>
      <c r="O302" s="248">
        <v>-19556.099999999999</v>
      </c>
      <c r="P302" s="247" t="s">
        <v>1024</v>
      </c>
      <c r="Q302" s="247" t="s">
        <v>92</v>
      </c>
    </row>
    <row r="303" spans="1:17" x14ac:dyDescent="0.25">
      <c r="A303" s="247" t="s">
        <v>646</v>
      </c>
      <c r="B303" s="247" t="s">
        <v>25</v>
      </c>
      <c r="C303" s="247" t="s">
        <v>1015</v>
      </c>
      <c r="D303" s="247" t="s">
        <v>1022</v>
      </c>
      <c r="E303" s="247" t="s">
        <v>926</v>
      </c>
      <c r="F303" s="247" t="s">
        <v>1750</v>
      </c>
      <c r="G303" s="247" t="s">
        <v>1023</v>
      </c>
      <c r="H303" s="247"/>
      <c r="I303" s="247" t="s">
        <v>1751</v>
      </c>
      <c r="J303" s="247">
        <v>19</v>
      </c>
      <c r="K303" s="247">
        <v>19</v>
      </c>
      <c r="L303" s="249" t="s">
        <v>939</v>
      </c>
      <c r="M303" s="249" t="s">
        <v>929</v>
      </c>
      <c r="N303" s="248">
        <v>-4737.32</v>
      </c>
      <c r="O303" s="248">
        <v>-24293.42</v>
      </c>
      <c r="P303" s="247" t="s">
        <v>1024</v>
      </c>
      <c r="Q303" s="247" t="s">
        <v>93</v>
      </c>
    </row>
    <row r="304" spans="1:17" x14ac:dyDescent="0.25">
      <c r="A304" s="247" t="s">
        <v>646</v>
      </c>
      <c r="B304" s="247" t="s">
        <v>25</v>
      </c>
      <c r="C304" s="247" t="s">
        <v>1015</v>
      </c>
      <c r="D304" s="247" t="s">
        <v>1022</v>
      </c>
      <c r="E304" s="247" t="s">
        <v>926</v>
      </c>
      <c r="F304" s="247" t="s">
        <v>1750</v>
      </c>
      <c r="G304" s="247" t="s">
        <v>1023</v>
      </c>
      <c r="H304" s="247"/>
      <c r="I304" s="247" t="s">
        <v>1751</v>
      </c>
      <c r="J304" s="247">
        <v>19</v>
      </c>
      <c r="K304" s="247">
        <v>19</v>
      </c>
      <c r="L304" s="249" t="s">
        <v>940</v>
      </c>
      <c r="M304" s="249" t="s">
        <v>929</v>
      </c>
      <c r="N304" s="248">
        <v>-5499.33</v>
      </c>
      <c r="O304" s="248">
        <v>-29792.75</v>
      </c>
      <c r="P304" s="247" t="s">
        <v>1024</v>
      </c>
      <c r="Q304" s="247" t="s">
        <v>94</v>
      </c>
    </row>
    <row r="305" spans="1:17" x14ac:dyDescent="0.25">
      <c r="A305" s="247" t="s">
        <v>646</v>
      </c>
      <c r="B305" s="247" t="s">
        <v>25</v>
      </c>
      <c r="C305" s="247" t="s">
        <v>1015</v>
      </c>
      <c r="D305" s="247" t="s">
        <v>1022</v>
      </c>
      <c r="E305" s="247" t="s">
        <v>926</v>
      </c>
      <c r="F305" s="247" t="s">
        <v>1750</v>
      </c>
      <c r="G305" s="247" t="s">
        <v>1023</v>
      </c>
      <c r="H305" s="247"/>
      <c r="I305" s="247" t="s">
        <v>1751</v>
      </c>
      <c r="J305" s="247">
        <v>19</v>
      </c>
      <c r="K305" s="247">
        <v>19</v>
      </c>
      <c r="L305" s="249" t="s">
        <v>642</v>
      </c>
      <c r="M305" s="249" t="s">
        <v>929</v>
      </c>
      <c r="N305" s="248">
        <v>0</v>
      </c>
      <c r="O305" s="248">
        <v>-29792.75</v>
      </c>
      <c r="P305" s="247" t="s">
        <v>1024</v>
      </c>
      <c r="Q305" s="247" t="s">
        <v>95</v>
      </c>
    </row>
    <row r="306" spans="1:17" x14ac:dyDescent="0.25">
      <c r="A306" s="247" t="s">
        <v>646</v>
      </c>
      <c r="B306" s="247" t="s">
        <v>25</v>
      </c>
      <c r="C306" s="247" t="s">
        <v>1015</v>
      </c>
      <c r="D306" s="247" t="s">
        <v>1025</v>
      </c>
      <c r="E306" s="247" t="s">
        <v>926</v>
      </c>
      <c r="F306" s="247" t="s">
        <v>1752</v>
      </c>
      <c r="G306" s="247" t="s">
        <v>1026</v>
      </c>
      <c r="H306" s="247"/>
      <c r="I306" s="247" t="s">
        <v>1753</v>
      </c>
      <c r="J306" s="247">
        <v>19</v>
      </c>
      <c r="K306" s="247">
        <v>19</v>
      </c>
      <c r="L306" s="249" t="s">
        <v>936</v>
      </c>
      <c r="M306" s="249" t="s">
        <v>929</v>
      </c>
      <c r="N306" s="248">
        <v>-1706.36</v>
      </c>
      <c r="O306" s="248">
        <v>-1706.36</v>
      </c>
      <c r="P306" s="247" t="s">
        <v>1027</v>
      </c>
      <c r="Q306" s="247" t="s">
        <v>90</v>
      </c>
    </row>
    <row r="307" spans="1:17" x14ac:dyDescent="0.25">
      <c r="A307" s="247" t="s">
        <v>646</v>
      </c>
      <c r="B307" s="247" t="s">
        <v>25</v>
      </c>
      <c r="C307" s="247" t="s">
        <v>1015</v>
      </c>
      <c r="D307" s="247" t="s">
        <v>1025</v>
      </c>
      <c r="E307" s="247" t="s">
        <v>926</v>
      </c>
      <c r="F307" s="247" t="s">
        <v>1752</v>
      </c>
      <c r="G307" s="247" t="s">
        <v>1026</v>
      </c>
      <c r="H307" s="247"/>
      <c r="I307" s="247" t="s">
        <v>1753</v>
      </c>
      <c r="J307" s="247">
        <v>19</v>
      </c>
      <c r="K307" s="247">
        <v>19</v>
      </c>
      <c r="L307" s="249" t="s">
        <v>937</v>
      </c>
      <c r="M307" s="249" t="s">
        <v>929</v>
      </c>
      <c r="N307" s="248">
        <v>-2494.64</v>
      </c>
      <c r="O307" s="248">
        <v>-4201</v>
      </c>
      <c r="P307" s="247" t="s">
        <v>1027</v>
      </c>
      <c r="Q307" s="247" t="s">
        <v>91</v>
      </c>
    </row>
    <row r="308" spans="1:17" x14ac:dyDescent="0.25">
      <c r="A308" s="247" t="s">
        <v>646</v>
      </c>
      <c r="B308" s="247" t="s">
        <v>25</v>
      </c>
      <c r="C308" s="247" t="s">
        <v>1015</v>
      </c>
      <c r="D308" s="247" t="s">
        <v>1025</v>
      </c>
      <c r="E308" s="247" t="s">
        <v>926</v>
      </c>
      <c r="F308" s="247" t="s">
        <v>1752</v>
      </c>
      <c r="G308" s="247" t="s">
        <v>1026</v>
      </c>
      <c r="H308" s="247"/>
      <c r="I308" s="247" t="s">
        <v>1753</v>
      </c>
      <c r="J308" s="247">
        <v>19</v>
      </c>
      <c r="K308" s="247">
        <v>19</v>
      </c>
      <c r="L308" s="249" t="s">
        <v>938</v>
      </c>
      <c r="M308" s="249" t="s">
        <v>929</v>
      </c>
      <c r="N308" s="248">
        <v>-1257.18</v>
      </c>
      <c r="O308" s="248">
        <v>-5458.18</v>
      </c>
      <c r="P308" s="247" t="s">
        <v>1027</v>
      </c>
      <c r="Q308" s="247" t="s">
        <v>92</v>
      </c>
    </row>
    <row r="309" spans="1:17" x14ac:dyDescent="0.25">
      <c r="A309" s="247" t="s">
        <v>646</v>
      </c>
      <c r="B309" s="247" t="s">
        <v>25</v>
      </c>
      <c r="C309" s="247" t="s">
        <v>1015</v>
      </c>
      <c r="D309" s="247" t="s">
        <v>1025</v>
      </c>
      <c r="E309" s="247" t="s">
        <v>926</v>
      </c>
      <c r="F309" s="247" t="s">
        <v>1752</v>
      </c>
      <c r="G309" s="247" t="s">
        <v>1026</v>
      </c>
      <c r="H309" s="247"/>
      <c r="I309" s="247" t="s">
        <v>1753</v>
      </c>
      <c r="J309" s="247">
        <v>19</v>
      </c>
      <c r="K309" s="247">
        <v>19</v>
      </c>
      <c r="L309" s="249" t="s">
        <v>939</v>
      </c>
      <c r="M309" s="249" t="s">
        <v>929</v>
      </c>
      <c r="N309" s="248">
        <v>-1233.0999999999999</v>
      </c>
      <c r="O309" s="248">
        <v>-6691.28</v>
      </c>
      <c r="P309" s="247" t="s">
        <v>1027</v>
      </c>
      <c r="Q309" s="247" t="s">
        <v>93</v>
      </c>
    </row>
    <row r="310" spans="1:17" x14ac:dyDescent="0.25">
      <c r="A310" s="247" t="s">
        <v>646</v>
      </c>
      <c r="B310" s="247" t="s">
        <v>25</v>
      </c>
      <c r="C310" s="247" t="s">
        <v>1015</v>
      </c>
      <c r="D310" s="247" t="s">
        <v>1025</v>
      </c>
      <c r="E310" s="247" t="s">
        <v>926</v>
      </c>
      <c r="F310" s="247" t="s">
        <v>1752</v>
      </c>
      <c r="G310" s="247" t="s">
        <v>1026</v>
      </c>
      <c r="H310" s="247"/>
      <c r="I310" s="247" t="s">
        <v>1753</v>
      </c>
      <c r="J310" s="247">
        <v>19</v>
      </c>
      <c r="K310" s="247">
        <v>19</v>
      </c>
      <c r="L310" s="249" t="s">
        <v>940</v>
      </c>
      <c r="M310" s="249" t="s">
        <v>929</v>
      </c>
      <c r="N310" s="248">
        <v>-1143.27</v>
      </c>
      <c r="O310" s="248">
        <v>-7834.55</v>
      </c>
      <c r="P310" s="247" t="s">
        <v>1027</v>
      </c>
      <c r="Q310" s="247" t="s">
        <v>94</v>
      </c>
    </row>
    <row r="311" spans="1:17" x14ac:dyDescent="0.25">
      <c r="A311" s="247" t="s">
        <v>646</v>
      </c>
      <c r="B311" s="247" t="s">
        <v>25</v>
      </c>
      <c r="C311" s="247" t="s">
        <v>1015</v>
      </c>
      <c r="D311" s="247" t="s">
        <v>1025</v>
      </c>
      <c r="E311" s="247" t="s">
        <v>926</v>
      </c>
      <c r="F311" s="247" t="s">
        <v>1752</v>
      </c>
      <c r="G311" s="247" t="s">
        <v>1026</v>
      </c>
      <c r="H311" s="247"/>
      <c r="I311" s="247" t="s">
        <v>1753</v>
      </c>
      <c r="J311" s="247">
        <v>19</v>
      </c>
      <c r="K311" s="247">
        <v>19</v>
      </c>
      <c r="L311" s="249" t="s">
        <v>642</v>
      </c>
      <c r="M311" s="249" t="s">
        <v>929</v>
      </c>
      <c r="N311" s="248">
        <v>-5229.84</v>
      </c>
      <c r="O311" s="248">
        <v>-13064.39</v>
      </c>
      <c r="P311" s="247" t="s">
        <v>1027</v>
      </c>
      <c r="Q311" s="247" t="s">
        <v>95</v>
      </c>
    </row>
    <row r="312" spans="1:17" x14ac:dyDescent="0.25">
      <c r="A312" s="247" t="s">
        <v>646</v>
      </c>
      <c r="B312" s="247" t="s">
        <v>265</v>
      </c>
      <c r="C312" s="247" t="s">
        <v>1028</v>
      </c>
      <c r="D312" s="247" t="s">
        <v>926</v>
      </c>
      <c r="E312" s="247" t="s">
        <v>926</v>
      </c>
      <c r="F312" s="247" t="s">
        <v>1754</v>
      </c>
      <c r="G312" s="247" t="s">
        <v>1029</v>
      </c>
      <c r="H312" s="247"/>
      <c r="I312" s="247" t="s">
        <v>1755</v>
      </c>
      <c r="J312" s="247">
        <v>22</v>
      </c>
      <c r="K312" s="247">
        <v>22</v>
      </c>
      <c r="L312" s="249" t="s">
        <v>789</v>
      </c>
      <c r="M312" s="249" t="s">
        <v>929</v>
      </c>
      <c r="N312" s="248">
        <v>1332.16</v>
      </c>
      <c r="O312" s="248">
        <v>1332.16</v>
      </c>
      <c r="P312" s="247" t="s">
        <v>1030</v>
      </c>
      <c r="Q312" s="247" t="s">
        <v>87</v>
      </c>
    </row>
    <row r="313" spans="1:17" x14ac:dyDescent="0.25">
      <c r="A313" s="247" t="s">
        <v>646</v>
      </c>
      <c r="B313" s="247" t="s">
        <v>265</v>
      </c>
      <c r="C313" s="247" t="s">
        <v>1028</v>
      </c>
      <c r="D313" s="247" t="s">
        <v>926</v>
      </c>
      <c r="E313" s="247" t="s">
        <v>926</v>
      </c>
      <c r="F313" s="247" t="s">
        <v>1754</v>
      </c>
      <c r="G313" s="247" t="s">
        <v>1029</v>
      </c>
      <c r="H313" s="247"/>
      <c r="I313" s="247" t="s">
        <v>1755</v>
      </c>
      <c r="J313" s="247">
        <v>22</v>
      </c>
      <c r="K313" s="247">
        <v>22</v>
      </c>
      <c r="L313" s="249" t="s">
        <v>791</v>
      </c>
      <c r="M313" s="249" t="s">
        <v>929</v>
      </c>
      <c r="N313" s="248">
        <v>0</v>
      </c>
      <c r="O313" s="248">
        <v>1332.16</v>
      </c>
      <c r="P313" s="247" t="s">
        <v>1030</v>
      </c>
      <c r="Q313" s="247" t="s">
        <v>88</v>
      </c>
    </row>
    <row r="314" spans="1:17" x14ac:dyDescent="0.25">
      <c r="A314" s="247" t="s">
        <v>646</v>
      </c>
      <c r="B314" s="247" t="s">
        <v>265</v>
      </c>
      <c r="C314" s="247" t="s">
        <v>1028</v>
      </c>
      <c r="D314" s="247" t="s">
        <v>926</v>
      </c>
      <c r="E314" s="247" t="s">
        <v>926</v>
      </c>
      <c r="F314" s="247" t="s">
        <v>1754</v>
      </c>
      <c r="G314" s="247" t="s">
        <v>1029</v>
      </c>
      <c r="H314" s="247"/>
      <c r="I314" s="247" t="s">
        <v>1755</v>
      </c>
      <c r="J314" s="247">
        <v>22</v>
      </c>
      <c r="K314" s="247">
        <v>22</v>
      </c>
      <c r="L314" s="249" t="s">
        <v>935</v>
      </c>
      <c r="M314" s="249" t="s">
        <v>929</v>
      </c>
      <c r="N314" s="248">
        <v>0</v>
      </c>
      <c r="O314" s="248">
        <v>1332.16</v>
      </c>
      <c r="P314" s="247" t="s">
        <v>1030</v>
      </c>
      <c r="Q314" s="247" t="s">
        <v>89</v>
      </c>
    </row>
    <row r="315" spans="1:17" x14ac:dyDescent="0.25">
      <c r="A315" s="247" t="s">
        <v>646</v>
      </c>
      <c r="B315" s="247" t="s">
        <v>265</v>
      </c>
      <c r="C315" s="247" t="s">
        <v>1028</v>
      </c>
      <c r="D315" s="247" t="s">
        <v>926</v>
      </c>
      <c r="E315" s="247" t="s">
        <v>926</v>
      </c>
      <c r="F315" s="247" t="s">
        <v>1754</v>
      </c>
      <c r="G315" s="247" t="s">
        <v>1029</v>
      </c>
      <c r="H315" s="247"/>
      <c r="I315" s="247" t="s">
        <v>1755</v>
      </c>
      <c r="J315" s="247">
        <v>22</v>
      </c>
      <c r="K315" s="247">
        <v>22</v>
      </c>
      <c r="L315" s="249" t="s">
        <v>936</v>
      </c>
      <c r="M315" s="249" t="s">
        <v>929</v>
      </c>
      <c r="N315" s="248">
        <v>6300</v>
      </c>
      <c r="O315" s="248">
        <v>7632.16</v>
      </c>
      <c r="P315" s="247" t="s">
        <v>1030</v>
      </c>
      <c r="Q315" s="247" t="s">
        <v>90</v>
      </c>
    </row>
    <row r="316" spans="1:17" x14ac:dyDescent="0.25">
      <c r="A316" s="247" t="s">
        <v>646</v>
      </c>
      <c r="B316" s="247" t="s">
        <v>265</v>
      </c>
      <c r="C316" s="247" t="s">
        <v>1028</v>
      </c>
      <c r="D316" s="247" t="s">
        <v>926</v>
      </c>
      <c r="E316" s="247" t="s">
        <v>926</v>
      </c>
      <c r="F316" s="247" t="s">
        <v>1754</v>
      </c>
      <c r="G316" s="247" t="s">
        <v>1029</v>
      </c>
      <c r="H316" s="247"/>
      <c r="I316" s="247" t="s">
        <v>1755</v>
      </c>
      <c r="J316" s="247">
        <v>22</v>
      </c>
      <c r="K316" s="247">
        <v>22</v>
      </c>
      <c r="L316" s="249" t="s">
        <v>937</v>
      </c>
      <c r="M316" s="249" t="s">
        <v>929</v>
      </c>
      <c r="N316" s="248">
        <v>0</v>
      </c>
      <c r="O316" s="248">
        <v>7632.16</v>
      </c>
      <c r="P316" s="247" t="s">
        <v>1030</v>
      </c>
      <c r="Q316" s="247" t="s">
        <v>91</v>
      </c>
    </row>
    <row r="317" spans="1:17" x14ac:dyDescent="0.25">
      <c r="A317" s="247" t="s">
        <v>646</v>
      </c>
      <c r="B317" s="247" t="s">
        <v>265</v>
      </c>
      <c r="C317" s="247" t="s">
        <v>1028</v>
      </c>
      <c r="D317" s="247" t="s">
        <v>926</v>
      </c>
      <c r="E317" s="247" t="s">
        <v>926</v>
      </c>
      <c r="F317" s="247" t="s">
        <v>1754</v>
      </c>
      <c r="G317" s="247" t="s">
        <v>1029</v>
      </c>
      <c r="H317" s="247"/>
      <c r="I317" s="247" t="s">
        <v>1755</v>
      </c>
      <c r="J317" s="247">
        <v>22</v>
      </c>
      <c r="K317" s="247">
        <v>22</v>
      </c>
      <c r="L317" s="249" t="s">
        <v>938</v>
      </c>
      <c r="M317" s="249" t="s">
        <v>929</v>
      </c>
      <c r="N317" s="248">
        <v>0</v>
      </c>
      <c r="O317" s="248">
        <v>7632.16</v>
      </c>
      <c r="P317" s="247" t="s">
        <v>1030</v>
      </c>
      <c r="Q317" s="247" t="s">
        <v>92</v>
      </c>
    </row>
    <row r="318" spans="1:17" x14ac:dyDescent="0.25">
      <c r="A318" s="247" t="s">
        <v>646</v>
      </c>
      <c r="B318" s="247" t="s">
        <v>265</v>
      </c>
      <c r="C318" s="247" t="s">
        <v>1028</v>
      </c>
      <c r="D318" s="247" t="s">
        <v>926</v>
      </c>
      <c r="E318" s="247" t="s">
        <v>926</v>
      </c>
      <c r="F318" s="247" t="s">
        <v>1754</v>
      </c>
      <c r="G318" s="247" t="s">
        <v>1029</v>
      </c>
      <c r="H318" s="247"/>
      <c r="I318" s="247" t="s">
        <v>1755</v>
      </c>
      <c r="J318" s="247">
        <v>22</v>
      </c>
      <c r="K318" s="247">
        <v>22</v>
      </c>
      <c r="L318" s="249" t="s">
        <v>939</v>
      </c>
      <c r="M318" s="249" t="s">
        <v>929</v>
      </c>
      <c r="N318" s="248">
        <v>0</v>
      </c>
      <c r="O318" s="248">
        <v>7632.16</v>
      </c>
      <c r="P318" s="247" t="s">
        <v>1030</v>
      </c>
      <c r="Q318" s="247" t="s">
        <v>93</v>
      </c>
    </row>
    <row r="319" spans="1:17" x14ac:dyDescent="0.25">
      <c r="A319" s="247" t="s">
        <v>646</v>
      </c>
      <c r="B319" s="247" t="s">
        <v>265</v>
      </c>
      <c r="C319" s="247" t="s">
        <v>1028</v>
      </c>
      <c r="D319" s="247" t="s">
        <v>926</v>
      </c>
      <c r="E319" s="247" t="s">
        <v>926</v>
      </c>
      <c r="F319" s="247" t="s">
        <v>1754</v>
      </c>
      <c r="G319" s="247" t="s">
        <v>1029</v>
      </c>
      <c r="H319" s="247"/>
      <c r="I319" s="247" t="s">
        <v>1755</v>
      </c>
      <c r="J319" s="247">
        <v>22</v>
      </c>
      <c r="K319" s="247">
        <v>22</v>
      </c>
      <c r="L319" s="249" t="s">
        <v>940</v>
      </c>
      <c r="M319" s="249" t="s">
        <v>929</v>
      </c>
      <c r="N319" s="248">
        <v>14160</v>
      </c>
      <c r="O319" s="248">
        <v>21792.16</v>
      </c>
      <c r="P319" s="247" t="s">
        <v>1030</v>
      </c>
      <c r="Q319" s="247" t="s">
        <v>94</v>
      </c>
    </row>
    <row r="320" spans="1:17" x14ac:dyDescent="0.25">
      <c r="A320" s="247" t="s">
        <v>646</v>
      </c>
      <c r="B320" s="247" t="s">
        <v>265</v>
      </c>
      <c r="C320" s="247" t="s">
        <v>1028</v>
      </c>
      <c r="D320" s="247" t="s">
        <v>926</v>
      </c>
      <c r="E320" s="247" t="s">
        <v>926</v>
      </c>
      <c r="F320" s="247" t="s">
        <v>1754</v>
      </c>
      <c r="G320" s="247" t="s">
        <v>1029</v>
      </c>
      <c r="H320" s="247"/>
      <c r="I320" s="247" t="s">
        <v>1755</v>
      </c>
      <c r="J320" s="247">
        <v>22</v>
      </c>
      <c r="K320" s="247">
        <v>22</v>
      </c>
      <c r="L320" s="249" t="s">
        <v>642</v>
      </c>
      <c r="M320" s="249" t="s">
        <v>929</v>
      </c>
      <c r="N320" s="248">
        <v>0</v>
      </c>
      <c r="O320" s="248">
        <v>21792.16</v>
      </c>
      <c r="P320" s="247" t="s">
        <v>1030</v>
      </c>
      <c r="Q320" s="247" t="s">
        <v>95</v>
      </c>
    </row>
    <row r="321" spans="1:17" x14ac:dyDescent="0.25">
      <c r="A321" s="247" t="s">
        <v>646</v>
      </c>
      <c r="B321" s="247" t="s">
        <v>265</v>
      </c>
      <c r="C321" s="247" t="s">
        <v>1028</v>
      </c>
      <c r="D321" s="247" t="s">
        <v>711</v>
      </c>
      <c r="E321" s="247" t="s">
        <v>926</v>
      </c>
      <c r="F321" s="247" t="s">
        <v>1756</v>
      </c>
      <c r="G321" s="247" t="s">
        <v>1031</v>
      </c>
      <c r="H321" s="247"/>
      <c r="I321" s="247" t="s">
        <v>1757</v>
      </c>
      <c r="J321" s="247">
        <v>22</v>
      </c>
      <c r="K321" s="247">
        <v>22</v>
      </c>
      <c r="L321" s="249" t="s">
        <v>646</v>
      </c>
      <c r="M321" s="249" t="s">
        <v>933</v>
      </c>
      <c r="N321" s="248">
        <v>215.43</v>
      </c>
      <c r="O321" s="248">
        <v>3203.58</v>
      </c>
      <c r="P321" s="247" t="s">
        <v>1032</v>
      </c>
      <c r="Q321" s="247" t="s">
        <v>84</v>
      </c>
    </row>
    <row r="322" spans="1:17" x14ac:dyDescent="0.25">
      <c r="A322" s="247" t="s">
        <v>646</v>
      </c>
      <c r="B322" s="247" t="s">
        <v>265</v>
      </c>
      <c r="C322" s="247" t="s">
        <v>1028</v>
      </c>
      <c r="D322" s="247" t="s">
        <v>711</v>
      </c>
      <c r="E322" s="247" t="s">
        <v>926</v>
      </c>
      <c r="F322" s="247" t="s">
        <v>1756</v>
      </c>
      <c r="G322" s="247" t="s">
        <v>1031</v>
      </c>
      <c r="H322" s="247"/>
      <c r="I322" s="247" t="s">
        <v>1757</v>
      </c>
      <c r="J322" s="247">
        <v>22</v>
      </c>
      <c r="K322" s="247">
        <v>22</v>
      </c>
      <c r="L322" s="249" t="s">
        <v>650</v>
      </c>
      <c r="M322" s="249" t="s">
        <v>933</v>
      </c>
      <c r="N322" s="248">
        <v>192.12</v>
      </c>
      <c r="O322" s="248">
        <v>3395.7</v>
      </c>
      <c r="P322" s="247" t="s">
        <v>1032</v>
      </c>
      <c r="Q322" s="247" t="s">
        <v>85</v>
      </c>
    </row>
    <row r="323" spans="1:17" x14ac:dyDescent="0.25">
      <c r="A323" s="247" t="s">
        <v>646</v>
      </c>
      <c r="B323" s="247" t="s">
        <v>265</v>
      </c>
      <c r="C323" s="247" t="s">
        <v>1028</v>
      </c>
      <c r="D323" s="247" t="s">
        <v>711</v>
      </c>
      <c r="E323" s="247" t="s">
        <v>926</v>
      </c>
      <c r="F323" s="247" t="s">
        <v>1756</v>
      </c>
      <c r="G323" s="247" t="s">
        <v>1031</v>
      </c>
      <c r="H323" s="247"/>
      <c r="I323" s="247" t="s">
        <v>1757</v>
      </c>
      <c r="J323" s="247">
        <v>22</v>
      </c>
      <c r="K323" s="247">
        <v>22</v>
      </c>
      <c r="L323" s="249" t="s">
        <v>652</v>
      </c>
      <c r="M323" s="249" t="s">
        <v>933</v>
      </c>
      <c r="N323" s="248">
        <v>0</v>
      </c>
      <c r="O323" s="248">
        <v>3395.7</v>
      </c>
      <c r="P323" s="247" t="s">
        <v>1032</v>
      </c>
      <c r="Q323" s="247" t="s">
        <v>86</v>
      </c>
    </row>
    <row r="324" spans="1:17" x14ac:dyDescent="0.25">
      <c r="A324" s="247" t="s">
        <v>646</v>
      </c>
      <c r="B324" s="247" t="s">
        <v>265</v>
      </c>
      <c r="C324" s="247" t="s">
        <v>1028</v>
      </c>
      <c r="D324" s="247" t="s">
        <v>711</v>
      </c>
      <c r="E324" s="247" t="s">
        <v>926</v>
      </c>
      <c r="F324" s="247" t="s">
        <v>1756</v>
      </c>
      <c r="G324" s="247" t="s">
        <v>1031</v>
      </c>
      <c r="H324" s="247"/>
      <c r="I324" s="247" t="s">
        <v>1757</v>
      </c>
      <c r="J324" s="247">
        <v>22</v>
      </c>
      <c r="K324" s="247">
        <v>22</v>
      </c>
      <c r="L324" s="249" t="s">
        <v>789</v>
      </c>
      <c r="M324" s="249" t="s">
        <v>929</v>
      </c>
      <c r="N324" s="248">
        <v>3480.5</v>
      </c>
      <c r="O324" s="248">
        <v>3480.5</v>
      </c>
      <c r="P324" s="247" t="s">
        <v>1032</v>
      </c>
      <c r="Q324" s="247" t="s">
        <v>87</v>
      </c>
    </row>
    <row r="325" spans="1:17" x14ac:dyDescent="0.25">
      <c r="A325" s="247" t="s">
        <v>646</v>
      </c>
      <c r="B325" s="247" t="s">
        <v>265</v>
      </c>
      <c r="C325" s="247" t="s">
        <v>1028</v>
      </c>
      <c r="D325" s="247" t="s">
        <v>711</v>
      </c>
      <c r="E325" s="247" t="s">
        <v>926</v>
      </c>
      <c r="F325" s="247" t="s">
        <v>1756</v>
      </c>
      <c r="G325" s="247" t="s">
        <v>1031</v>
      </c>
      <c r="H325" s="247"/>
      <c r="I325" s="247" t="s">
        <v>1757</v>
      </c>
      <c r="J325" s="247">
        <v>22</v>
      </c>
      <c r="K325" s="247">
        <v>22</v>
      </c>
      <c r="L325" s="249" t="s">
        <v>791</v>
      </c>
      <c r="M325" s="249" t="s">
        <v>929</v>
      </c>
      <c r="N325" s="248">
        <v>3340.55</v>
      </c>
      <c r="O325" s="248">
        <v>6821.05</v>
      </c>
      <c r="P325" s="247" t="s">
        <v>1032</v>
      </c>
      <c r="Q325" s="247" t="s">
        <v>88</v>
      </c>
    </row>
    <row r="326" spans="1:17" x14ac:dyDescent="0.25">
      <c r="A326" s="247" t="s">
        <v>646</v>
      </c>
      <c r="B326" s="247" t="s">
        <v>265</v>
      </c>
      <c r="C326" s="247" t="s">
        <v>1028</v>
      </c>
      <c r="D326" s="247" t="s">
        <v>711</v>
      </c>
      <c r="E326" s="247" t="s">
        <v>926</v>
      </c>
      <c r="F326" s="247" t="s">
        <v>1756</v>
      </c>
      <c r="G326" s="247" t="s">
        <v>1031</v>
      </c>
      <c r="H326" s="247"/>
      <c r="I326" s="247" t="s">
        <v>1757</v>
      </c>
      <c r="J326" s="247">
        <v>22</v>
      </c>
      <c r="K326" s="247">
        <v>22</v>
      </c>
      <c r="L326" s="249" t="s">
        <v>935</v>
      </c>
      <c r="M326" s="249" t="s">
        <v>929</v>
      </c>
      <c r="N326" s="248">
        <v>2634.06</v>
      </c>
      <c r="O326" s="248">
        <v>9455.11</v>
      </c>
      <c r="P326" s="247" t="s">
        <v>1032</v>
      </c>
      <c r="Q326" s="247" t="s">
        <v>89</v>
      </c>
    </row>
    <row r="327" spans="1:17" x14ac:dyDescent="0.25">
      <c r="A327" s="247" t="s">
        <v>646</v>
      </c>
      <c r="B327" s="247" t="s">
        <v>265</v>
      </c>
      <c r="C327" s="247" t="s">
        <v>1028</v>
      </c>
      <c r="D327" s="247" t="s">
        <v>711</v>
      </c>
      <c r="E327" s="247" t="s">
        <v>926</v>
      </c>
      <c r="F327" s="247" t="s">
        <v>1756</v>
      </c>
      <c r="G327" s="247" t="s">
        <v>1031</v>
      </c>
      <c r="H327" s="247"/>
      <c r="I327" s="247" t="s">
        <v>1757</v>
      </c>
      <c r="J327" s="247">
        <v>22</v>
      </c>
      <c r="K327" s="247">
        <v>22</v>
      </c>
      <c r="L327" s="249" t="s">
        <v>936</v>
      </c>
      <c r="M327" s="249" t="s">
        <v>929</v>
      </c>
      <c r="N327" s="248">
        <v>48.42</v>
      </c>
      <c r="O327" s="248">
        <v>9503.5300000000007</v>
      </c>
      <c r="P327" s="247" t="s">
        <v>1032</v>
      </c>
      <c r="Q327" s="247" t="s">
        <v>90</v>
      </c>
    </row>
    <row r="328" spans="1:17" x14ac:dyDescent="0.25">
      <c r="A328" s="247" t="s">
        <v>646</v>
      </c>
      <c r="B328" s="247" t="s">
        <v>265</v>
      </c>
      <c r="C328" s="247" t="s">
        <v>1028</v>
      </c>
      <c r="D328" s="247" t="s">
        <v>711</v>
      </c>
      <c r="E328" s="247" t="s">
        <v>926</v>
      </c>
      <c r="F328" s="247" t="s">
        <v>1756</v>
      </c>
      <c r="G328" s="247" t="s">
        <v>1031</v>
      </c>
      <c r="H328" s="247"/>
      <c r="I328" s="247" t="s">
        <v>1757</v>
      </c>
      <c r="J328" s="247">
        <v>22</v>
      </c>
      <c r="K328" s="247">
        <v>22</v>
      </c>
      <c r="L328" s="249" t="s">
        <v>937</v>
      </c>
      <c r="M328" s="249" t="s">
        <v>929</v>
      </c>
      <c r="N328" s="248">
        <v>3200</v>
      </c>
      <c r="O328" s="248">
        <v>12703.53</v>
      </c>
      <c r="P328" s="247" t="s">
        <v>1032</v>
      </c>
      <c r="Q328" s="247" t="s">
        <v>91</v>
      </c>
    </row>
    <row r="329" spans="1:17" x14ac:dyDescent="0.25">
      <c r="A329" s="247" t="s">
        <v>646</v>
      </c>
      <c r="B329" s="247" t="s">
        <v>265</v>
      </c>
      <c r="C329" s="247" t="s">
        <v>1028</v>
      </c>
      <c r="D329" s="247" t="s">
        <v>711</v>
      </c>
      <c r="E329" s="247" t="s">
        <v>926</v>
      </c>
      <c r="F329" s="247" t="s">
        <v>1756</v>
      </c>
      <c r="G329" s="247" t="s">
        <v>1031</v>
      </c>
      <c r="H329" s="247"/>
      <c r="I329" s="247" t="s">
        <v>1757</v>
      </c>
      <c r="J329" s="247">
        <v>22</v>
      </c>
      <c r="K329" s="247">
        <v>22</v>
      </c>
      <c r="L329" s="249" t="s">
        <v>938</v>
      </c>
      <c r="M329" s="249" t="s">
        <v>929</v>
      </c>
      <c r="N329" s="248">
        <v>143.13</v>
      </c>
      <c r="O329" s="248">
        <v>12846.66</v>
      </c>
      <c r="P329" s="247" t="s">
        <v>1032</v>
      </c>
      <c r="Q329" s="247" t="s">
        <v>92</v>
      </c>
    </row>
    <row r="330" spans="1:17" x14ac:dyDescent="0.25">
      <c r="A330" s="247" t="s">
        <v>646</v>
      </c>
      <c r="B330" s="247" t="s">
        <v>265</v>
      </c>
      <c r="C330" s="247" t="s">
        <v>1028</v>
      </c>
      <c r="D330" s="247" t="s">
        <v>711</v>
      </c>
      <c r="E330" s="247" t="s">
        <v>926</v>
      </c>
      <c r="F330" s="247" t="s">
        <v>1756</v>
      </c>
      <c r="G330" s="247" t="s">
        <v>1031</v>
      </c>
      <c r="H330" s="247"/>
      <c r="I330" s="247" t="s">
        <v>1757</v>
      </c>
      <c r="J330" s="247">
        <v>22</v>
      </c>
      <c r="K330" s="247">
        <v>22</v>
      </c>
      <c r="L330" s="249" t="s">
        <v>939</v>
      </c>
      <c r="M330" s="249" t="s">
        <v>929</v>
      </c>
      <c r="N330" s="248">
        <v>1760.95</v>
      </c>
      <c r="O330" s="248">
        <v>14607.61</v>
      </c>
      <c r="P330" s="247" t="s">
        <v>1032</v>
      </c>
      <c r="Q330" s="247" t="s">
        <v>93</v>
      </c>
    </row>
    <row r="331" spans="1:17" x14ac:dyDescent="0.25">
      <c r="A331" s="247" t="s">
        <v>646</v>
      </c>
      <c r="B331" s="247" t="s">
        <v>265</v>
      </c>
      <c r="C331" s="247" t="s">
        <v>1028</v>
      </c>
      <c r="D331" s="247" t="s">
        <v>711</v>
      </c>
      <c r="E331" s="247" t="s">
        <v>926</v>
      </c>
      <c r="F331" s="247" t="s">
        <v>1756</v>
      </c>
      <c r="G331" s="247" t="s">
        <v>1031</v>
      </c>
      <c r="H331" s="247"/>
      <c r="I331" s="247" t="s">
        <v>1757</v>
      </c>
      <c r="J331" s="247">
        <v>22</v>
      </c>
      <c r="K331" s="247">
        <v>22</v>
      </c>
      <c r="L331" s="249" t="s">
        <v>940</v>
      </c>
      <c r="M331" s="249" t="s">
        <v>929</v>
      </c>
      <c r="N331" s="248">
        <v>0</v>
      </c>
      <c r="O331" s="248">
        <v>14607.61</v>
      </c>
      <c r="P331" s="247" t="s">
        <v>1032</v>
      </c>
      <c r="Q331" s="247" t="s">
        <v>94</v>
      </c>
    </row>
    <row r="332" spans="1:17" x14ac:dyDescent="0.25">
      <c r="A332" s="247" t="s">
        <v>646</v>
      </c>
      <c r="B332" s="247" t="s">
        <v>265</v>
      </c>
      <c r="C332" s="247" t="s">
        <v>1028</v>
      </c>
      <c r="D332" s="247" t="s">
        <v>711</v>
      </c>
      <c r="E332" s="247" t="s">
        <v>926</v>
      </c>
      <c r="F332" s="247" t="s">
        <v>1756</v>
      </c>
      <c r="G332" s="247" t="s">
        <v>1031</v>
      </c>
      <c r="H332" s="247"/>
      <c r="I332" s="247" t="s">
        <v>1757</v>
      </c>
      <c r="J332" s="247">
        <v>22</v>
      </c>
      <c r="K332" s="247">
        <v>22</v>
      </c>
      <c r="L332" s="249" t="s">
        <v>642</v>
      </c>
      <c r="M332" s="249" t="s">
        <v>929</v>
      </c>
      <c r="N332" s="248">
        <v>2519.8200000000002</v>
      </c>
      <c r="O332" s="248">
        <v>17127.43</v>
      </c>
      <c r="P332" s="247" t="s">
        <v>1032</v>
      </c>
      <c r="Q332" s="247" t="s">
        <v>95</v>
      </c>
    </row>
    <row r="333" spans="1:17" x14ac:dyDescent="0.25">
      <c r="A333" s="247" t="s">
        <v>646</v>
      </c>
      <c r="B333" s="247" t="s">
        <v>25</v>
      </c>
      <c r="C333" s="247" t="s">
        <v>1033</v>
      </c>
      <c r="D333" s="247" t="s">
        <v>926</v>
      </c>
      <c r="E333" s="247" t="s">
        <v>711</v>
      </c>
      <c r="F333" s="247" t="s">
        <v>1758</v>
      </c>
      <c r="G333" s="247" t="s">
        <v>1034</v>
      </c>
      <c r="H333" s="247"/>
      <c r="I333" s="247" t="s">
        <v>1759</v>
      </c>
      <c r="J333" s="247">
        <v>15</v>
      </c>
      <c r="K333" s="247">
        <v>15</v>
      </c>
      <c r="L333" s="249" t="s">
        <v>646</v>
      </c>
      <c r="M333" s="249" t="s">
        <v>933</v>
      </c>
      <c r="N333" s="248">
        <v>0</v>
      </c>
      <c r="O333" s="248">
        <v>-3200</v>
      </c>
      <c r="P333" s="247" t="s">
        <v>1035</v>
      </c>
      <c r="Q333" s="247" t="s">
        <v>84</v>
      </c>
    </row>
    <row r="334" spans="1:17" x14ac:dyDescent="0.25">
      <c r="A334" s="247" t="s">
        <v>646</v>
      </c>
      <c r="B334" s="247" t="s">
        <v>25</v>
      </c>
      <c r="C334" s="247" t="s">
        <v>1033</v>
      </c>
      <c r="D334" s="247" t="s">
        <v>926</v>
      </c>
      <c r="E334" s="247" t="s">
        <v>711</v>
      </c>
      <c r="F334" s="247" t="s">
        <v>1758</v>
      </c>
      <c r="G334" s="247" t="s">
        <v>1034</v>
      </c>
      <c r="H334" s="247"/>
      <c r="I334" s="247" t="s">
        <v>1759</v>
      </c>
      <c r="J334" s="247">
        <v>15</v>
      </c>
      <c r="K334" s="247">
        <v>15</v>
      </c>
      <c r="L334" s="249" t="s">
        <v>650</v>
      </c>
      <c r="M334" s="249" t="s">
        <v>933</v>
      </c>
      <c r="N334" s="248">
        <v>0</v>
      </c>
      <c r="O334" s="248">
        <v>-3200</v>
      </c>
      <c r="P334" s="247" t="s">
        <v>1035</v>
      </c>
      <c r="Q334" s="247" t="s">
        <v>85</v>
      </c>
    </row>
    <row r="335" spans="1:17" x14ac:dyDescent="0.25">
      <c r="A335" s="247" t="s">
        <v>646</v>
      </c>
      <c r="B335" s="247" t="s">
        <v>25</v>
      </c>
      <c r="C335" s="247" t="s">
        <v>1033</v>
      </c>
      <c r="D335" s="247" t="s">
        <v>926</v>
      </c>
      <c r="E335" s="247" t="s">
        <v>711</v>
      </c>
      <c r="F335" s="247" t="s">
        <v>1758</v>
      </c>
      <c r="G335" s="247" t="s">
        <v>1034</v>
      </c>
      <c r="H335" s="247"/>
      <c r="I335" s="247" t="s">
        <v>1759</v>
      </c>
      <c r="J335" s="247">
        <v>15</v>
      </c>
      <c r="K335" s="247">
        <v>15</v>
      </c>
      <c r="L335" s="249" t="s">
        <v>652</v>
      </c>
      <c r="M335" s="249" t="s">
        <v>933</v>
      </c>
      <c r="N335" s="248">
        <v>0</v>
      </c>
      <c r="O335" s="248">
        <v>-3200</v>
      </c>
      <c r="P335" s="247" t="s">
        <v>1035</v>
      </c>
      <c r="Q335" s="247" t="s">
        <v>86</v>
      </c>
    </row>
    <row r="336" spans="1:17" x14ac:dyDescent="0.25">
      <c r="A336" s="247" t="s">
        <v>646</v>
      </c>
      <c r="B336" s="247" t="s">
        <v>25</v>
      </c>
      <c r="C336" s="247" t="s">
        <v>1033</v>
      </c>
      <c r="D336" s="247" t="s">
        <v>926</v>
      </c>
      <c r="E336" s="247" t="s">
        <v>735</v>
      </c>
      <c r="F336" s="247" t="s">
        <v>1760</v>
      </c>
      <c r="G336" s="247" t="s">
        <v>1036</v>
      </c>
      <c r="H336" s="247"/>
      <c r="I336" s="247" t="s">
        <v>1761</v>
      </c>
      <c r="J336" s="247">
        <v>15</v>
      </c>
      <c r="K336" s="247">
        <v>15</v>
      </c>
      <c r="L336" s="249" t="s">
        <v>646</v>
      </c>
      <c r="M336" s="249" t="s">
        <v>933</v>
      </c>
      <c r="N336" s="248">
        <v>-400</v>
      </c>
      <c r="O336" s="248">
        <v>-800</v>
      </c>
      <c r="P336" s="247" t="s">
        <v>1037</v>
      </c>
      <c r="Q336" s="247" t="s">
        <v>84</v>
      </c>
    </row>
    <row r="337" spans="1:17" x14ac:dyDescent="0.25">
      <c r="A337" s="247" t="s">
        <v>646</v>
      </c>
      <c r="B337" s="247" t="s">
        <v>25</v>
      </c>
      <c r="C337" s="247" t="s">
        <v>1033</v>
      </c>
      <c r="D337" s="247" t="s">
        <v>926</v>
      </c>
      <c r="E337" s="247" t="s">
        <v>735</v>
      </c>
      <c r="F337" s="247" t="s">
        <v>1760</v>
      </c>
      <c r="G337" s="247" t="s">
        <v>1036</v>
      </c>
      <c r="H337" s="247"/>
      <c r="I337" s="247" t="s">
        <v>1761</v>
      </c>
      <c r="J337" s="247">
        <v>15</v>
      </c>
      <c r="K337" s="247">
        <v>15</v>
      </c>
      <c r="L337" s="249" t="s">
        <v>650</v>
      </c>
      <c r="M337" s="249" t="s">
        <v>933</v>
      </c>
      <c r="N337" s="248">
        <v>-400</v>
      </c>
      <c r="O337" s="248">
        <v>-1200</v>
      </c>
      <c r="P337" s="247" t="s">
        <v>1037</v>
      </c>
      <c r="Q337" s="247" t="s">
        <v>85</v>
      </c>
    </row>
    <row r="338" spans="1:17" x14ac:dyDescent="0.25">
      <c r="A338" s="247" t="s">
        <v>646</v>
      </c>
      <c r="B338" s="247" t="s">
        <v>25</v>
      </c>
      <c r="C338" s="247" t="s">
        <v>1033</v>
      </c>
      <c r="D338" s="247" t="s">
        <v>926</v>
      </c>
      <c r="E338" s="247" t="s">
        <v>735</v>
      </c>
      <c r="F338" s="247" t="s">
        <v>1760</v>
      </c>
      <c r="G338" s="247" t="s">
        <v>1036</v>
      </c>
      <c r="H338" s="247"/>
      <c r="I338" s="247" t="s">
        <v>1761</v>
      </c>
      <c r="J338" s="247">
        <v>15</v>
      </c>
      <c r="K338" s="247">
        <v>15</v>
      </c>
      <c r="L338" s="249" t="s">
        <v>652</v>
      </c>
      <c r="M338" s="249" t="s">
        <v>933</v>
      </c>
      <c r="N338" s="248">
        <v>-400</v>
      </c>
      <c r="O338" s="248">
        <v>-1600</v>
      </c>
      <c r="P338" s="247" t="s">
        <v>1037</v>
      </c>
      <c r="Q338" s="247" t="s">
        <v>86</v>
      </c>
    </row>
    <row r="339" spans="1:17" x14ac:dyDescent="0.25">
      <c r="A339" s="247" t="s">
        <v>646</v>
      </c>
      <c r="B339" s="247" t="s">
        <v>25</v>
      </c>
      <c r="C339" s="247" t="s">
        <v>1033</v>
      </c>
      <c r="D339" s="247" t="s">
        <v>926</v>
      </c>
      <c r="E339" s="247" t="s">
        <v>735</v>
      </c>
      <c r="F339" s="247" t="s">
        <v>1760</v>
      </c>
      <c r="G339" s="247" t="s">
        <v>1036</v>
      </c>
      <c r="H339" s="247"/>
      <c r="I339" s="247" t="s">
        <v>1761</v>
      </c>
      <c r="J339" s="247">
        <v>15</v>
      </c>
      <c r="K339" s="247">
        <v>15</v>
      </c>
      <c r="L339" s="249" t="s">
        <v>789</v>
      </c>
      <c r="M339" s="249" t="s">
        <v>929</v>
      </c>
      <c r="N339" s="248">
        <v>-400</v>
      </c>
      <c r="O339" s="248">
        <v>-400</v>
      </c>
      <c r="P339" s="247" t="s">
        <v>1037</v>
      </c>
      <c r="Q339" s="247" t="s">
        <v>87</v>
      </c>
    </row>
    <row r="340" spans="1:17" x14ac:dyDescent="0.25">
      <c r="A340" s="247" t="s">
        <v>646</v>
      </c>
      <c r="B340" s="247" t="s">
        <v>25</v>
      </c>
      <c r="C340" s="247" t="s">
        <v>1033</v>
      </c>
      <c r="D340" s="247" t="s">
        <v>926</v>
      </c>
      <c r="E340" s="247" t="s">
        <v>735</v>
      </c>
      <c r="F340" s="247" t="s">
        <v>1760</v>
      </c>
      <c r="G340" s="247" t="s">
        <v>1036</v>
      </c>
      <c r="H340" s="247"/>
      <c r="I340" s="247" t="s">
        <v>1761</v>
      </c>
      <c r="J340" s="247">
        <v>15</v>
      </c>
      <c r="K340" s="247">
        <v>15</v>
      </c>
      <c r="L340" s="249" t="s">
        <v>791</v>
      </c>
      <c r="M340" s="249" t="s">
        <v>929</v>
      </c>
      <c r="N340" s="248">
        <v>-400</v>
      </c>
      <c r="O340" s="248">
        <v>-800</v>
      </c>
      <c r="P340" s="247" t="s">
        <v>1037</v>
      </c>
      <c r="Q340" s="247" t="s">
        <v>88</v>
      </c>
    </row>
    <row r="341" spans="1:17" x14ac:dyDescent="0.25">
      <c r="A341" s="247" t="s">
        <v>646</v>
      </c>
      <c r="B341" s="247" t="s">
        <v>25</v>
      </c>
      <c r="C341" s="247" t="s">
        <v>1033</v>
      </c>
      <c r="D341" s="247" t="s">
        <v>926</v>
      </c>
      <c r="E341" s="247" t="s">
        <v>735</v>
      </c>
      <c r="F341" s="247" t="s">
        <v>1760</v>
      </c>
      <c r="G341" s="247" t="s">
        <v>1036</v>
      </c>
      <c r="H341" s="247"/>
      <c r="I341" s="247" t="s">
        <v>1761</v>
      </c>
      <c r="J341" s="247">
        <v>15</v>
      </c>
      <c r="K341" s="247">
        <v>15</v>
      </c>
      <c r="L341" s="249" t="s">
        <v>935</v>
      </c>
      <c r="M341" s="249" t="s">
        <v>929</v>
      </c>
      <c r="N341" s="248">
        <v>-400</v>
      </c>
      <c r="O341" s="248">
        <v>-1200</v>
      </c>
      <c r="P341" s="247" t="s">
        <v>1037</v>
      </c>
      <c r="Q341" s="247" t="s">
        <v>89</v>
      </c>
    </row>
    <row r="342" spans="1:17" x14ac:dyDescent="0.25">
      <c r="A342" s="247" t="s">
        <v>646</v>
      </c>
      <c r="B342" s="247" t="s">
        <v>25</v>
      </c>
      <c r="C342" s="247" t="s">
        <v>1033</v>
      </c>
      <c r="D342" s="247" t="s">
        <v>926</v>
      </c>
      <c r="E342" s="247" t="s">
        <v>735</v>
      </c>
      <c r="F342" s="247" t="s">
        <v>1760</v>
      </c>
      <c r="G342" s="247" t="s">
        <v>1036</v>
      </c>
      <c r="H342" s="247"/>
      <c r="I342" s="247" t="s">
        <v>1761</v>
      </c>
      <c r="J342" s="247">
        <v>15</v>
      </c>
      <c r="K342" s="247">
        <v>15</v>
      </c>
      <c r="L342" s="249" t="s">
        <v>936</v>
      </c>
      <c r="M342" s="249" t="s">
        <v>929</v>
      </c>
      <c r="N342" s="248">
        <v>-400</v>
      </c>
      <c r="O342" s="248">
        <v>-1600</v>
      </c>
      <c r="P342" s="247" t="s">
        <v>1037</v>
      </c>
      <c r="Q342" s="247" t="s">
        <v>90</v>
      </c>
    </row>
    <row r="343" spans="1:17" x14ac:dyDescent="0.25">
      <c r="A343" s="247" t="s">
        <v>646</v>
      </c>
      <c r="B343" s="247" t="s">
        <v>25</v>
      </c>
      <c r="C343" s="247" t="s">
        <v>1033</v>
      </c>
      <c r="D343" s="247" t="s">
        <v>926</v>
      </c>
      <c r="E343" s="247" t="s">
        <v>735</v>
      </c>
      <c r="F343" s="247" t="s">
        <v>1760</v>
      </c>
      <c r="G343" s="247" t="s">
        <v>1036</v>
      </c>
      <c r="H343" s="247"/>
      <c r="I343" s="247" t="s">
        <v>1761</v>
      </c>
      <c r="J343" s="247">
        <v>15</v>
      </c>
      <c r="K343" s="247">
        <v>15</v>
      </c>
      <c r="L343" s="249" t="s">
        <v>937</v>
      </c>
      <c r="M343" s="249" t="s">
        <v>929</v>
      </c>
      <c r="N343" s="248">
        <v>-400</v>
      </c>
      <c r="O343" s="248">
        <v>-2000</v>
      </c>
      <c r="P343" s="247" t="s">
        <v>1037</v>
      </c>
      <c r="Q343" s="247" t="s">
        <v>91</v>
      </c>
    </row>
    <row r="344" spans="1:17" x14ac:dyDescent="0.25">
      <c r="A344" s="247" t="s">
        <v>646</v>
      </c>
      <c r="B344" s="247" t="s">
        <v>25</v>
      </c>
      <c r="C344" s="247" t="s">
        <v>1033</v>
      </c>
      <c r="D344" s="247" t="s">
        <v>926</v>
      </c>
      <c r="E344" s="247" t="s">
        <v>735</v>
      </c>
      <c r="F344" s="247" t="s">
        <v>1760</v>
      </c>
      <c r="G344" s="247" t="s">
        <v>1036</v>
      </c>
      <c r="H344" s="247"/>
      <c r="I344" s="247" t="s">
        <v>1761</v>
      </c>
      <c r="J344" s="247">
        <v>15</v>
      </c>
      <c r="K344" s="247">
        <v>15</v>
      </c>
      <c r="L344" s="249" t="s">
        <v>938</v>
      </c>
      <c r="M344" s="249" t="s">
        <v>929</v>
      </c>
      <c r="N344" s="248">
        <v>-400</v>
      </c>
      <c r="O344" s="248">
        <v>-2400</v>
      </c>
      <c r="P344" s="247" t="s">
        <v>1037</v>
      </c>
      <c r="Q344" s="247" t="s">
        <v>92</v>
      </c>
    </row>
    <row r="345" spans="1:17" x14ac:dyDescent="0.25">
      <c r="A345" s="247" t="s">
        <v>646</v>
      </c>
      <c r="B345" s="247" t="s">
        <v>25</v>
      </c>
      <c r="C345" s="247" t="s">
        <v>1033</v>
      </c>
      <c r="D345" s="247" t="s">
        <v>926</v>
      </c>
      <c r="E345" s="247" t="s">
        <v>735</v>
      </c>
      <c r="F345" s="247" t="s">
        <v>1760</v>
      </c>
      <c r="G345" s="247" t="s">
        <v>1036</v>
      </c>
      <c r="H345" s="247"/>
      <c r="I345" s="247" t="s">
        <v>1761</v>
      </c>
      <c r="J345" s="247">
        <v>15</v>
      </c>
      <c r="K345" s="247">
        <v>15</v>
      </c>
      <c r="L345" s="249" t="s">
        <v>939</v>
      </c>
      <c r="M345" s="249" t="s">
        <v>929</v>
      </c>
      <c r="N345" s="248">
        <v>-400</v>
      </c>
      <c r="O345" s="248">
        <v>-2800</v>
      </c>
      <c r="P345" s="247" t="s">
        <v>1037</v>
      </c>
      <c r="Q345" s="247" t="s">
        <v>93</v>
      </c>
    </row>
    <row r="346" spans="1:17" x14ac:dyDescent="0.25">
      <c r="A346" s="247" t="s">
        <v>646</v>
      </c>
      <c r="B346" s="247" t="s">
        <v>25</v>
      </c>
      <c r="C346" s="247" t="s">
        <v>1033</v>
      </c>
      <c r="D346" s="247" t="s">
        <v>926</v>
      </c>
      <c r="E346" s="247" t="s">
        <v>735</v>
      </c>
      <c r="F346" s="247" t="s">
        <v>1760</v>
      </c>
      <c r="G346" s="247" t="s">
        <v>1036</v>
      </c>
      <c r="H346" s="247"/>
      <c r="I346" s="247" t="s">
        <v>1761</v>
      </c>
      <c r="J346" s="247">
        <v>15</v>
      </c>
      <c r="K346" s="247">
        <v>15</v>
      </c>
      <c r="L346" s="249" t="s">
        <v>940</v>
      </c>
      <c r="M346" s="249" t="s">
        <v>929</v>
      </c>
      <c r="N346" s="248">
        <v>-400</v>
      </c>
      <c r="O346" s="248">
        <v>-3200</v>
      </c>
      <c r="P346" s="247" t="s">
        <v>1037</v>
      </c>
      <c r="Q346" s="247" t="s">
        <v>94</v>
      </c>
    </row>
    <row r="347" spans="1:17" x14ac:dyDescent="0.25">
      <c r="A347" s="247" t="s">
        <v>646</v>
      </c>
      <c r="B347" s="247" t="s">
        <v>25</v>
      </c>
      <c r="C347" s="247" t="s">
        <v>1033</v>
      </c>
      <c r="D347" s="247" t="s">
        <v>926</v>
      </c>
      <c r="E347" s="247" t="s">
        <v>735</v>
      </c>
      <c r="F347" s="247" t="s">
        <v>1760</v>
      </c>
      <c r="G347" s="247" t="s">
        <v>1036</v>
      </c>
      <c r="H347" s="247"/>
      <c r="I347" s="247" t="s">
        <v>1761</v>
      </c>
      <c r="J347" s="247">
        <v>15</v>
      </c>
      <c r="K347" s="247">
        <v>15</v>
      </c>
      <c r="L347" s="249" t="s">
        <v>642</v>
      </c>
      <c r="M347" s="249" t="s">
        <v>929</v>
      </c>
      <c r="N347" s="248">
        <v>-400</v>
      </c>
      <c r="O347" s="248">
        <v>-3600</v>
      </c>
      <c r="P347" s="247" t="s">
        <v>1037</v>
      </c>
      <c r="Q347" s="247" t="s">
        <v>95</v>
      </c>
    </row>
    <row r="348" spans="1:17" x14ac:dyDescent="0.25">
      <c r="A348" s="247" t="s">
        <v>646</v>
      </c>
      <c r="B348" s="247" t="s">
        <v>25</v>
      </c>
      <c r="C348" s="247" t="s">
        <v>1038</v>
      </c>
      <c r="D348" s="247" t="s">
        <v>926</v>
      </c>
      <c r="E348" s="247" t="s">
        <v>711</v>
      </c>
      <c r="F348" s="247" t="s">
        <v>1762</v>
      </c>
      <c r="G348" s="247" t="s">
        <v>1039</v>
      </c>
      <c r="H348" s="247"/>
      <c r="I348" s="247" t="s">
        <v>1763</v>
      </c>
      <c r="J348" s="247">
        <v>14</v>
      </c>
      <c r="K348" s="247">
        <v>14</v>
      </c>
      <c r="L348" s="249" t="s">
        <v>646</v>
      </c>
      <c r="M348" s="249" t="s">
        <v>933</v>
      </c>
      <c r="N348" s="248">
        <v>0</v>
      </c>
      <c r="O348" s="248">
        <v>-8432.3799999999992</v>
      </c>
      <c r="P348" s="247" t="s">
        <v>1040</v>
      </c>
      <c r="Q348" s="247" t="s">
        <v>84</v>
      </c>
    </row>
    <row r="349" spans="1:17" x14ac:dyDescent="0.25">
      <c r="A349" s="247" t="s">
        <v>646</v>
      </c>
      <c r="B349" s="247" t="s">
        <v>25</v>
      </c>
      <c r="C349" s="247" t="s">
        <v>1038</v>
      </c>
      <c r="D349" s="247" t="s">
        <v>926</v>
      </c>
      <c r="E349" s="247" t="s">
        <v>711</v>
      </c>
      <c r="F349" s="247" t="s">
        <v>1762</v>
      </c>
      <c r="G349" s="247" t="s">
        <v>1039</v>
      </c>
      <c r="H349" s="247"/>
      <c r="I349" s="247" t="s">
        <v>1763</v>
      </c>
      <c r="J349" s="247">
        <v>14</v>
      </c>
      <c r="K349" s="247">
        <v>14</v>
      </c>
      <c r="L349" s="249" t="s">
        <v>650</v>
      </c>
      <c r="M349" s="249" t="s">
        <v>933</v>
      </c>
      <c r="N349" s="248">
        <v>0</v>
      </c>
      <c r="O349" s="248">
        <v>-8432.3799999999992</v>
      </c>
      <c r="P349" s="247" t="s">
        <v>1040</v>
      </c>
      <c r="Q349" s="247" t="s">
        <v>85</v>
      </c>
    </row>
    <row r="350" spans="1:17" x14ac:dyDescent="0.25">
      <c r="A350" s="247" t="s">
        <v>646</v>
      </c>
      <c r="B350" s="247" t="s">
        <v>25</v>
      </c>
      <c r="C350" s="247" t="s">
        <v>1038</v>
      </c>
      <c r="D350" s="247" t="s">
        <v>926</v>
      </c>
      <c r="E350" s="247" t="s">
        <v>711</v>
      </c>
      <c r="F350" s="247" t="s">
        <v>1762</v>
      </c>
      <c r="G350" s="247" t="s">
        <v>1039</v>
      </c>
      <c r="H350" s="247"/>
      <c r="I350" s="247" t="s">
        <v>1763</v>
      </c>
      <c r="J350" s="247">
        <v>14</v>
      </c>
      <c r="K350" s="247">
        <v>14</v>
      </c>
      <c r="L350" s="249" t="s">
        <v>652</v>
      </c>
      <c r="M350" s="249" t="s">
        <v>933</v>
      </c>
      <c r="N350" s="248">
        <v>0</v>
      </c>
      <c r="O350" s="248">
        <v>-8432.3799999999992</v>
      </c>
      <c r="P350" s="247" t="s">
        <v>1040</v>
      </c>
      <c r="Q350" s="247" t="s">
        <v>86</v>
      </c>
    </row>
    <row r="351" spans="1:17" x14ac:dyDescent="0.25">
      <c r="A351" s="247" t="s">
        <v>646</v>
      </c>
      <c r="B351" s="247" t="s">
        <v>25</v>
      </c>
      <c r="C351" s="247" t="s">
        <v>1038</v>
      </c>
      <c r="D351" s="247" t="s">
        <v>926</v>
      </c>
      <c r="E351" s="247" t="s">
        <v>733</v>
      </c>
      <c r="F351" s="247" t="s">
        <v>1764</v>
      </c>
      <c r="G351" s="247" t="s">
        <v>1041</v>
      </c>
      <c r="H351" s="247"/>
      <c r="I351" s="247" t="s">
        <v>1765</v>
      </c>
      <c r="J351" s="247">
        <v>14</v>
      </c>
      <c r="K351" s="247">
        <v>14</v>
      </c>
      <c r="L351" s="249" t="s">
        <v>646</v>
      </c>
      <c r="M351" s="249" t="s">
        <v>933</v>
      </c>
      <c r="N351" s="248">
        <v>-1219.3499999999999</v>
      </c>
      <c r="O351" s="248">
        <v>-2438.6999999999998</v>
      </c>
      <c r="P351" s="247" t="s">
        <v>1042</v>
      </c>
      <c r="Q351" s="247" t="s">
        <v>84</v>
      </c>
    </row>
    <row r="352" spans="1:17" x14ac:dyDescent="0.25">
      <c r="A352" s="247" t="s">
        <v>646</v>
      </c>
      <c r="B352" s="247" t="s">
        <v>25</v>
      </c>
      <c r="C352" s="247" t="s">
        <v>1038</v>
      </c>
      <c r="D352" s="247" t="s">
        <v>926</v>
      </c>
      <c r="E352" s="247" t="s">
        <v>733</v>
      </c>
      <c r="F352" s="247" t="s">
        <v>1764</v>
      </c>
      <c r="G352" s="247" t="s">
        <v>1041</v>
      </c>
      <c r="H352" s="247"/>
      <c r="I352" s="247" t="s">
        <v>1765</v>
      </c>
      <c r="J352" s="247">
        <v>14</v>
      </c>
      <c r="K352" s="247">
        <v>14</v>
      </c>
      <c r="L352" s="249" t="s">
        <v>650</v>
      </c>
      <c r="M352" s="249" t="s">
        <v>933</v>
      </c>
      <c r="N352" s="248">
        <v>-1219.3499999999999</v>
      </c>
      <c r="O352" s="248">
        <v>-3658.05</v>
      </c>
      <c r="P352" s="247" t="s">
        <v>1042</v>
      </c>
      <c r="Q352" s="247" t="s">
        <v>85</v>
      </c>
    </row>
    <row r="353" spans="1:17" x14ac:dyDescent="0.25">
      <c r="A353" s="247" t="s">
        <v>646</v>
      </c>
      <c r="B353" s="247" t="s">
        <v>25</v>
      </c>
      <c r="C353" s="247" t="s">
        <v>1038</v>
      </c>
      <c r="D353" s="247" t="s">
        <v>926</v>
      </c>
      <c r="E353" s="247" t="s">
        <v>733</v>
      </c>
      <c r="F353" s="247" t="s">
        <v>1764</v>
      </c>
      <c r="G353" s="247" t="s">
        <v>1041</v>
      </c>
      <c r="H353" s="247"/>
      <c r="I353" s="247" t="s">
        <v>1765</v>
      </c>
      <c r="J353" s="247">
        <v>14</v>
      </c>
      <c r="K353" s="247">
        <v>14</v>
      </c>
      <c r="L353" s="249" t="s">
        <v>652</v>
      </c>
      <c r="M353" s="249" t="s">
        <v>933</v>
      </c>
      <c r="N353" s="248">
        <v>-1219.3499999999999</v>
      </c>
      <c r="O353" s="248">
        <v>-4877.3999999999996</v>
      </c>
      <c r="P353" s="247" t="s">
        <v>1042</v>
      </c>
      <c r="Q353" s="247" t="s">
        <v>86</v>
      </c>
    </row>
    <row r="354" spans="1:17" x14ac:dyDescent="0.25">
      <c r="A354" s="247" t="s">
        <v>646</v>
      </c>
      <c r="B354" s="247" t="s">
        <v>25</v>
      </c>
      <c r="C354" s="247" t="s">
        <v>1038</v>
      </c>
      <c r="D354" s="247" t="s">
        <v>926</v>
      </c>
      <c r="E354" s="247" t="s">
        <v>733</v>
      </c>
      <c r="F354" s="247" t="s">
        <v>1764</v>
      </c>
      <c r="G354" s="247" t="s">
        <v>1041</v>
      </c>
      <c r="H354" s="247"/>
      <c r="I354" s="247" t="s">
        <v>1765</v>
      </c>
      <c r="J354" s="247">
        <v>14</v>
      </c>
      <c r="K354" s="247">
        <v>14</v>
      </c>
      <c r="L354" s="249" t="s">
        <v>789</v>
      </c>
      <c r="M354" s="249" t="s">
        <v>929</v>
      </c>
      <c r="N354" s="248">
        <v>-1219.3499999999999</v>
      </c>
      <c r="O354" s="248">
        <v>-1219.3499999999999</v>
      </c>
      <c r="P354" s="247" t="s">
        <v>1042</v>
      </c>
      <c r="Q354" s="247" t="s">
        <v>87</v>
      </c>
    </row>
    <row r="355" spans="1:17" x14ac:dyDescent="0.25">
      <c r="A355" s="247" t="s">
        <v>646</v>
      </c>
      <c r="B355" s="247" t="s">
        <v>25</v>
      </c>
      <c r="C355" s="247" t="s">
        <v>1038</v>
      </c>
      <c r="D355" s="247" t="s">
        <v>926</v>
      </c>
      <c r="E355" s="247" t="s">
        <v>733</v>
      </c>
      <c r="F355" s="247" t="s">
        <v>1764</v>
      </c>
      <c r="G355" s="247" t="s">
        <v>1041</v>
      </c>
      <c r="H355" s="247"/>
      <c r="I355" s="247" t="s">
        <v>1765</v>
      </c>
      <c r="J355" s="247">
        <v>14</v>
      </c>
      <c r="K355" s="247">
        <v>14</v>
      </c>
      <c r="L355" s="249" t="s">
        <v>791</v>
      </c>
      <c r="M355" s="249" t="s">
        <v>929</v>
      </c>
      <c r="N355" s="248">
        <v>-1304.3499999999999</v>
      </c>
      <c r="O355" s="248">
        <v>-2523.6999999999998</v>
      </c>
      <c r="P355" s="247" t="s">
        <v>1042</v>
      </c>
      <c r="Q355" s="247" t="s">
        <v>88</v>
      </c>
    </row>
    <row r="356" spans="1:17" x14ac:dyDescent="0.25">
      <c r="A356" s="247" t="s">
        <v>646</v>
      </c>
      <c r="B356" s="247" t="s">
        <v>25</v>
      </c>
      <c r="C356" s="247" t="s">
        <v>1038</v>
      </c>
      <c r="D356" s="247" t="s">
        <v>926</v>
      </c>
      <c r="E356" s="247" t="s">
        <v>733</v>
      </c>
      <c r="F356" s="247" t="s">
        <v>1764</v>
      </c>
      <c r="G356" s="247" t="s">
        <v>1041</v>
      </c>
      <c r="H356" s="247"/>
      <c r="I356" s="247" t="s">
        <v>1765</v>
      </c>
      <c r="J356" s="247">
        <v>14</v>
      </c>
      <c r="K356" s="247">
        <v>14</v>
      </c>
      <c r="L356" s="249" t="s">
        <v>935</v>
      </c>
      <c r="M356" s="249" t="s">
        <v>929</v>
      </c>
      <c r="N356" s="248">
        <v>-1219.3499999999999</v>
      </c>
      <c r="O356" s="248">
        <v>-3743.05</v>
      </c>
      <c r="P356" s="247" t="s">
        <v>1042</v>
      </c>
      <c r="Q356" s="247" t="s">
        <v>89</v>
      </c>
    </row>
    <row r="357" spans="1:17" x14ac:dyDescent="0.25">
      <c r="A357" s="247" t="s">
        <v>646</v>
      </c>
      <c r="B357" s="247" t="s">
        <v>25</v>
      </c>
      <c r="C357" s="247" t="s">
        <v>1038</v>
      </c>
      <c r="D357" s="247" t="s">
        <v>926</v>
      </c>
      <c r="E357" s="247" t="s">
        <v>733</v>
      </c>
      <c r="F357" s="247" t="s">
        <v>1764</v>
      </c>
      <c r="G357" s="247" t="s">
        <v>1041</v>
      </c>
      <c r="H357" s="247"/>
      <c r="I357" s="247" t="s">
        <v>1765</v>
      </c>
      <c r="J357" s="247">
        <v>14</v>
      </c>
      <c r="K357" s="247">
        <v>14</v>
      </c>
      <c r="L357" s="249" t="s">
        <v>936</v>
      </c>
      <c r="M357" s="249" t="s">
        <v>929</v>
      </c>
      <c r="N357" s="248">
        <v>-1219.3499999999999</v>
      </c>
      <c r="O357" s="248">
        <v>-4962.3999999999996</v>
      </c>
      <c r="P357" s="247" t="s">
        <v>1042</v>
      </c>
      <c r="Q357" s="247" t="s">
        <v>90</v>
      </c>
    </row>
    <row r="358" spans="1:17" x14ac:dyDescent="0.25">
      <c r="A358" s="247" t="s">
        <v>646</v>
      </c>
      <c r="B358" s="247" t="s">
        <v>25</v>
      </c>
      <c r="C358" s="247" t="s">
        <v>1038</v>
      </c>
      <c r="D358" s="247" t="s">
        <v>926</v>
      </c>
      <c r="E358" s="247" t="s">
        <v>733</v>
      </c>
      <c r="F358" s="247" t="s">
        <v>1764</v>
      </c>
      <c r="G358" s="247" t="s">
        <v>1041</v>
      </c>
      <c r="H358" s="247"/>
      <c r="I358" s="247" t="s">
        <v>1765</v>
      </c>
      <c r="J358" s="247">
        <v>14</v>
      </c>
      <c r="K358" s="247">
        <v>14</v>
      </c>
      <c r="L358" s="249" t="s">
        <v>937</v>
      </c>
      <c r="M358" s="249" t="s">
        <v>929</v>
      </c>
      <c r="N358" s="248">
        <v>-1219.3499999999999</v>
      </c>
      <c r="O358" s="248">
        <v>-6181.75</v>
      </c>
      <c r="P358" s="247" t="s">
        <v>1042</v>
      </c>
      <c r="Q358" s="247" t="s">
        <v>91</v>
      </c>
    </row>
    <row r="359" spans="1:17" x14ac:dyDescent="0.25">
      <c r="A359" s="247" t="s">
        <v>646</v>
      </c>
      <c r="B359" s="247" t="s">
        <v>25</v>
      </c>
      <c r="C359" s="247" t="s">
        <v>1038</v>
      </c>
      <c r="D359" s="247" t="s">
        <v>926</v>
      </c>
      <c r="E359" s="247" t="s">
        <v>733</v>
      </c>
      <c r="F359" s="247" t="s">
        <v>1764</v>
      </c>
      <c r="G359" s="247" t="s">
        <v>1041</v>
      </c>
      <c r="H359" s="247"/>
      <c r="I359" s="247" t="s">
        <v>1765</v>
      </c>
      <c r="J359" s="247">
        <v>14</v>
      </c>
      <c r="K359" s="247">
        <v>14</v>
      </c>
      <c r="L359" s="249" t="s">
        <v>938</v>
      </c>
      <c r="M359" s="249" t="s">
        <v>929</v>
      </c>
      <c r="N359" s="248">
        <v>-1240.72</v>
      </c>
      <c r="O359" s="248">
        <v>-7422.47</v>
      </c>
      <c r="P359" s="247" t="s">
        <v>1042</v>
      </c>
      <c r="Q359" s="247" t="s">
        <v>92</v>
      </c>
    </row>
    <row r="360" spans="1:17" x14ac:dyDescent="0.25">
      <c r="A360" s="247" t="s">
        <v>646</v>
      </c>
      <c r="B360" s="247" t="s">
        <v>25</v>
      </c>
      <c r="C360" s="247" t="s">
        <v>1038</v>
      </c>
      <c r="D360" s="247" t="s">
        <v>926</v>
      </c>
      <c r="E360" s="247" t="s">
        <v>733</v>
      </c>
      <c r="F360" s="247" t="s">
        <v>1764</v>
      </c>
      <c r="G360" s="247" t="s">
        <v>1041</v>
      </c>
      <c r="H360" s="247"/>
      <c r="I360" s="247" t="s">
        <v>1765</v>
      </c>
      <c r="J360" s="247">
        <v>14</v>
      </c>
      <c r="K360" s="247">
        <v>14</v>
      </c>
      <c r="L360" s="249" t="s">
        <v>939</v>
      </c>
      <c r="M360" s="249" t="s">
        <v>929</v>
      </c>
      <c r="N360" s="248">
        <v>-1240.72</v>
      </c>
      <c r="O360" s="248">
        <v>-8663.19</v>
      </c>
      <c r="P360" s="247" t="s">
        <v>1042</v>
      </c>
      <c r="Q360" s="247" t="s">
        <v>93</v>
      </c>
    </row>
    <row r="361" spans="1:17" x14ac:dyDescent="0.25">
      <c r="A361" s="247" t="s">
        <v>646</v>
      </c>
      <c r="B361" s="247" t="s">
        <v>25</v>
      </c>
      <c r="C361" s="247" t="s">
        <v>1038</v>
      </c>
      <c r="D361" s="247" t="s">
        <v>926</v>
      </c>
      <c r="E361" s="247" t="s">
        <v>733</v>
      </c>
      <c r="F361" s="247" t="s">
        <v>1764</v>
      </c>
      <c r="G361" s="247" t="s">
        <v>1041</v>
      </c>
      <c r="H361" s="247"/>
      <c r="I361" s="247" t="s">
        <v>1765</v>
      </c>
      <c r="J361" s="247">
        <v>14</v>
      </c>
      <c r="K361" s="247">
        <v>14</v>
      </c>
      <c r="L361" s="249" t="s">
        <v>940</v>
      </c>
      <c r="M361" s="249" t="s">
        <v>929</v>
      </c>
      <c r="N361" s="248">
        <v>-1240.72</v>
      </c>
      <c r="O361" s="248">
        <v>-9903.91</v>
      </c>
      <c r="P361" s="247" t="s">
        <v>1042</v>
      </c>
      <c r="Q361" s="247" t="s">
        <v>94</v>
      </c>
    </row>
    <row r="362" spans="1:17" x14ac:dyDescent="0.25">
      <c r="A362" s="247" t="s">
        <v>646</v>
      </c>
      <c r="B362" s="247" t="s">
        <v>25</v>
      </c>
      <c r="C362" s="247" t="s">
        <v>1038</v>
      </c>
      <c r="D362" s="247" t="s">
        <v>926</v>
      </c>
      <c r="E362" s="247" t="s">
        <v>733</v>
      </c>
      <c r="F362" s="247" t="s">
        <v>1764</v>
      </c>
      <c r="G362" s="247" t="s">
        <v>1041</v>
      </c>
      <c r="H362" s="247"/>
      <c r="I362" s="247" t="s">
        <v>1765</v>
      </c>
      <c r="J362" s="247">
        <v>14</v>
      </c>
      <c r="K362" s="247">
        <v>14</v>
      </c>
      <c r="L362" s="249" t="s">
        <v>642</v>
      </c>
      <c r="M362" s="249" t="s">
        <v>929</v>
      </c>
      <c r="N362" s="248">
        <v>-1240.72</v>
      </c>
      <c r="O362" s="248">
        <v>-11144.63</v>
      </c>
      <c r="P362" s="247" t="s">
        <v>1042</v>
      </c>
      <c r="Q362" s="247" t="s">
        <v>95</v>
      </c>
    </row>
    <row r="363" spans="1:17" x14ac:dyDescent="0.25">
      <c r="A363" s="247" t="s">
        <v>646</v>
      </c>
      <c r="B363" s="247" t="s">
        <v>25</v>
      </c>
      <c r="C363" s="247" t="s">
        <v>1038</v>
      </c>
      <c r="D363" s="247" t="s">
        <v>926</v>
      </c>
      <c r="E363" s="247" t="s">
        <v>569</v>
      </c>
      <c r="F363" s="247" t="s">
        <v>1766</v>
      </c>
      <c r="G363" s="247" t="s">
        <v>1043</v>
      </c>
      <c r="H363" s="247"/>
      <c r="I363" s="247" t="s">
        <v>1767</v>
      </c>
      <c r="J363" s="247">
        <v>14</v>
      </c>
      <c r="K363" s="247">
        <v>14</v>
      </c>
      <c r="L363" s="249" t="s">
        <v>646</v>
      </c>
      <c r="M363" s="249" t="s">
        <v>933</v>
      </c>
      <c r="N363" s="248">
        <v>0</v>
      </c>
      <c r="O363" s="248">
        <v>-5025.79</v>
      </c>
      <c r="P363" s="247" t="s">
        <v>1044</v>
      </c>
      <c r="Q363" s="247" t="s">
        <v>84</v>
      </c>
    </row>
    <row r="364" spans="1:17" x14ac:dyDescent="0.25">
      <c r="A364" s="247" t="s">
        <v>646</v>
      </c>
      <c r="B364" s="247" t="s">
        <v>25</v>
      </c>
      <c r="C364" s="247" t="s">
        <v>1038</v>
      </c>
      <c r="D364" s="247" t="s">
        <v>926</v>
      </c>
      <c r="E364" s="247" t="s">
        <v>569</v>
      </c>
      <c r="F364" s="247" t="s">
        <v>1766</v>
      </c>
      <c r="G364" s="247" t="s">
        <v>1043</v>
      </c>
      <c r="H364" s="247"/>
      <c r="I364" s="247" t="s">
        <v>1767</v>
      </c>
      <c r="J364" s="247">
        <v>14</v>
      </c>
      <c r="K364" s="247">
        <v>14</v>
      </c>
      <c r="L364" s="249" t="s">
        <v>650</v>
      </c>
      <c r="M364" s="249" t="s">
        <v>933</v>
      </c>
      <c r="N364" s="248">
        <v>0</v>
      </c>
      <c r="O364" s="248">
        <v>-5025.79</v>
      </c>
      <c r="P364" s="247" t="s">
        <v>1044</v>
      </c>
      <c r="Q364" s="247" t="s">
        <v>85</v>
      </c>
    </row>
    <row r="365" spans="1:17" x14ac:dyDescent="0.25">
      <c r="A365" s="247" t="s">
        <v>646</v>
      </c>
      <c r="B365" s="247" t="s">
        <v>25</v>
      </c>
      <c r="C365" s="247" t="s">
        <v>1038</v>
      </c>
      <c r="D365" s="247" t="s">
        <v>926</v>
      </c>
      <c r="E365" s="247" t="s">
        <v>569</v>
      </c>
      <c r="F365" s="247" t="s">
        <v>1766</v>
      </c>
      <c r="G365" s="247" t="s">
        <v>1043</v>
      </c>
      <c r="H365" s="247"/>
      <c r="I365" s="247" t="s">
        <v>1767</v>
      </c>
      <c r="J365" s="247">
        <v>14</v>
      </c>
      <c r="K365" s="247">
        <v>14</v>
      </c>
      <c r="L365" s="249" t="s">
        <v>652</v>
      </c>
      <c r="M365" s="249" t="s">
        <v>933</v>
      </c>
      <c r="N365" s="248">
        <v>0</v>
      </c>
      <c r="O365" s="248">
        <v>-5025.79</v>
      </c>
      <c r="P365" s="247" t="s">
        <v>1044</v>
      </c>
      <c r="Q365" s="247" t="s">
        <v>86</v>
      </c>
    </row>
    <row r="366" spans="1:17" x14ac:dyDescent="0.25">
      <c r="A366" s="247" t="s">
        <v>646</v>
      </c>
      <c r="B366" s="247" t="s">
        <v>25</v>
      </c>
      <c r="C366" s="247" t="s">
        <v>1038</v>
      </c>
      <c r="D366" s="247" t="s">
        <v>926</v>
      </c>
      <c r="E366" s="247" t="s">
        <v>467</v>
      </c>
      <c r="F366" s="247" t="s">
        <v>1768</v>
      </c>
      <c r="G366" s="247" t="s">
        <v>1045</v>
      </c>
      <c r="H366" s="247"/>
      <c r="I366" s="247" t="s">
        <v>1769</v>
      </c>
      <c r="J366" s="247">
        <v>14</v>
      </c>
      <c r="K366" s="247">
        <v>14</v>
      </c>
      <c r="L366" s="249" t="s">
        <v>646</v>
      </c>
      <c r="M366" s="249" t="s">
        <v>933</v>
      </c>
      <c r="N366" s="248">
        <v>-491.38</v>
      </c>
      <c r="O366" s="248">
        <v>-966.67</v>
      </c>
      <c r="P366" s="247" t="s">
        <v>1046</v>
      </c>
      <c r="Q366" s="247" t="s">
        <v>84</v>
      </c>
    </row>
    <row r="367" spans="1:17" x14ac:dyDescent="0.25">
      <c r="A367" s="247" t="s">
        <v>646</v>
      </c>
      <c r="B367" s="247" t="s">
        <v>25</v>
      </c>
      <c r="C367" s="247" t="s">
        <v>1038</v>
      </c>
      <c r="D367" s="247" t="s">
        <v>926</v>
      </c>
      <c r="E367" s="247" t="s">
        <v>467</v>
      </c>
      <c r="F367" s="247" t="s">
        <v>1768</v>
      </c>
      <c r="G367" s="247" t="s">
        <v>1045</v>
      </c>
      <c r="H367" s="247"/>
      <c r="I367" s="247" t="s">
        <v>1769</v>
      </c>
      <c r="J367" s="247">
        <v>14</v>
      </c>
      <c r="K367" s="247">
        <v>14</v>
      </c>
      <c r="L367" s="249" t="s">
        <v>650</v>
      </c>
      <c r="M367" s="249" t="s">
        <v>933</v>
      </c>
      <c r="N367" s="248">
        <v>-491.38</v>
      </c>
      <c r="O367" s="248">
        <v>-1458.05</v>
      </c>
      <c r="P367" s="247" t="s">
        <v>1046</v>
      </c>
      <c r="Q367" s="247" t="s">
        <v>85</v>
      </c>
    </row>
    <row r="368" spans="1:17" x14ac:dyDescent="0.25">
      <c r="A368" s="247" t="s">
        <v>646</v>
      </c>
      <c r="B368" s="247" t="s">
        <v>25</v>
      </c>
      <c r="C368" s="247" t="s">
        <v>1038</v>
      </c>
      <c r="D368" s="247" t="s">
        <v>926</v>
      </c>
      <c r="E368" s="247" t="s">
        <v>467</v>
      </c>
      <c r="F368" s="247" t="s">
        <v>1768</v>
      </c>
      <c r="G368" s="247" t="s">
        <v>1045</v>
      </c>
      <c r="H368" s="247"/>
      <c r="I368" s="247" t="s">
        <v>1769</v>
      </c>
      <c r="J368" s="247">
        <v>14</v>
      </c>
      <c r="K368" s="247">
        <v>14</v>
      </c>
      <c r="L368" s="249" t="s">
        <v>652</v>
      </c>
      <c r="M368" s="249" t="s">
        <v>933</v>
      </c>
      <c r="N368" s="248">
        <v>-491.38</v>
      </c>
      <c r="O368" s="248">
        <v>-1949.43</v>
      </c>
      <c r="P368" s="247" t="s">
        <v>1046</v>
      </c>
      <c r="Q368" s="247" t="s">
        <v>86</v>
      </c>
    </row>
    <row r="369" spans="1:17" x14ac:dyDescent="0.25">
      <c r="A369" s="247" t="s">
        <v>646</v>
      </c>
      <c r="B369" s="247" t="s">
        <v>25</v>
      </c>
      <c r="C369" s="247" t="s">
        <v>1038</v>
      </c>
      <c r="D369" s="247" t="s">
        <v>926</v>
      </c>
      <c r="E369" s="247" t="s">
        <v>467</v>
      </c>
      <c r="F369" s="247" t="s">
        <v>1768</v>
      </c>
      <c r="G369" s="247" t="s">
        <v>1045</v>
      </c>
      <c r="H369" s="247"/>
      <c r="I369" s="247" t="s">
        <v>1769</v>
      </c>
      <c r="J369" s="247">
        <v>14</v>
      </c>
      <c r="K369" s="247">
        <v>14</v>
      </c>
      <c r="L369" s="249" t="s">
        <v>789</v>
      </c>
      <c r="M369" s="249" t="s">
        <v>929</v>
      </c>
      <c r="N369" s="248">
        <v>-491.38</v>
      </c>
      <c r="O369" s="248">
        <v>-491.38</v>
      </c>
      <c r="P369" s="247" t="s">
        <v>1046</v>
      </c>
      <c r="Q369" s="247" t="s">
        <v>87</v>
      </c>
    </row>
    <row r="370" spans="1:17" x14ac:dyDescent="0.25">
      <c r="A370" s="247" t="s">
        <v>646</v>
      </c>
      <c r="B370" s="247" t="s">
        <v>25</v>
      </c>
      <c r="C370" s="247" t="s">
        <v>1038</v>
      </c>
      <c r="D370" s="247" t="s">
        <v>926</v>
      </c>
      <c r="E370" s="247" t="s">
        <v>467</v>
      </c>
      <c r="F370" s="247" t="s">
        <v>1768</v>
      </c>
      <c r="G370" s="247" t="s">
        <v>1045</v>
      </c>
      <c r="H370" s="247"/>
      <c r="I370" s="247" t="s">
        <v>1769</v>
      </c>
      <c r="J370" s="247">
        <v>14</v>
      </c>
      <c r="K370" s="247">
        <v>14</v>
      </c>
      <c r="L370" s="249" t="s">
        <v>791</v>
      </c>
      <c r="M370" s="249" t="s">
        <v>929</v>
      </c>
      <c r="N370" s="248">
        <v>-491.38</v>
      </c>
      <c r="O370" s="248">
        <v>-982.76</v>
      </c>
      <c r="P370" s="247" t="s">
        <v>1046</v>
      </c>
      <c r="Q370" s="247" t="s">
        <v>88</v>
      </c>
    </row>
    <row r="371" spans="1:17" x14ac:dyDescent="0.25">
      <c r="A371" s="247" t="s">
        <v>646</v>
      </c>
      <c r="B371" s="247" t="s">
        <v>25</v>
      </c>
      <c r="C371" s="247" t="s">
        <v>1038</v>
      </c>
      <c r="D371" s="247" t="s">
        <v>926</v>
      </c>
      <c r="E371" s="247" t="s">
        <v>467</v>
      </c>
      <c r="F371" s="247" t="s">
        <v>1768</v>
      </c>
      <c r="G371" s="247" t="s">
        <v>1045</v>
      </c>
      <c r="H371" s="247"/>
      <c r="I371" s="247" t="s">
        <v>1769</v>
      </c>
      <c r="J371" s="247">
        <v>14</v>
      </c>
      <c r="K371" s="247">
        <v>14</v>
      </c>
      <c r="L371" s="249" t="s">
        <v>935</v>
      </c>
      <c r="M371" s="249" t="s">
        <v>929</v>
      </c>
      <c r="N371" s="248">
        <v>-528.61</v>
      </c>
      <c r="O371" s="248">
        <v>-1511.37</v>
      </c>
      <c r="P371" s="247" t="s">
        <v>1046</v>
      </c>
      <c r="Q371" s="247" t="s">
        <v>89</v>
      </c>
    </row>
    <row r="372" spans="1:17" x14ac:dyDescent="0.25">
      <c r="A372" s="247" t="s">
        <v>646</v>
      </c>
      <c r="B372" s="247" t="s">
        <v>25</v>
      </c>
      <c r="C372" s="247" t="s">
        <v>1038</v>
      </c>
      <c r="D372" s="247" t="s">
        <v>926</v>
      </c>
      <c r="E372" s="247" t="s">
        <v>467</v>
      </c>
      <c r="F372" s="247" t="s">
        <v>1768</v>
      </c>
      <c r="G372" s="247" t="s">
        <v>1045</v>
      </c>
      <c r="H372" s="247"/>
      <c r="I372" s="247" t="s">
        <v>1769</v>
      </c>
      <c r="J372" s="247">
        <v>14</v>
      </c>
      <c r="K372" s="247">
        <v>14</v>
      </c>
      <c r="L372" s="249" t="s">
        <v>936</v>
      </c>
      <c r="M372" s="249" t="s">
        <v>929</v>
      </c>
      <c r="N372" s="248">
        <v>-1004.65</v>
      </c>
      <c r="O372" s="248">
        <v>-2516.02</v>
      </c>
      <c r="P372" s="247" t="s">
        <v>1046</v>
      </c>
      <c r="Q372" s="247" t="s">
        <v>90</v>
      </c>
    </row>
    <row r="373" spans="1:17" x14ac:dyDescent="0.25">
      <c r="A373" s="247" t="s">
        <v>646</v>
      </c>
      <c r="B373" s="247" t="s">
        <v>25</v>
      </c>
      <c r="C373" s="247" t="s">
        <v>1038</v>
      </c>
      <c r="D373" s="247" t="s">
        <v>926</v>
      </c>
      <c r="E373" s="247" t="s">
        <v>467</v>
      </c>
      <c r="F373" s="247" t="s">
        <v>1768</v>
      </c>
      <c r="G373" s="247" t="s">
        <v>1045</v>
      </c>
      <c r="H373" s="247"/>
      <c r="I373" s="247" t="s">
        <v>1769</v>
      </c>
      <c r="J373" s="247">
        <v>14</v>
      </c>
      <c r="K373" s="247">
        <v>14</v>
      </c>
      <c r="L373" s="249" t="s">
        <v>937</v>
      </c>
      <c r="M373" s="249" t="s">
        <v>929</v>
      </c>
      <c r="N373" s="248">
        <v>-644.67999999999995</v>
      </c>
      <c r="O373" s="248">
        <v>-3160.7</v>
      </c>
      <c r="P373" s="247" t="s">
        <v>1046</v>
      </c>
      <c r="Q373" s="247" t="s">
        <v>91</v>
      </c>
    </row>
    <row r="374" spans="1:17" x14ac:dyDescent="0.25">
      <c r="A374" s="247" t="s">
        <v>646</v>
      </c>
      <c r="B374" s="247" t="s">
        <v>25</v>
      </c>
      <c r="C374" s="247" t="s">
        <v>1038</v>
      </c>
      <c r="D374" s="247" t="s">
        <v>926</v>
      </c>
      <c r="E374" s="247" t="s">
        <v>467</v>
      </c>
      <c r="F374" s="247" t="s">
        <v>1768</v>
      </c>
      <c r="G374" s="247" t="s">
        <v>1045</v>
      </c>
      <c r="H374" s="247"/>
      <c r="I374" s="247" t="s">
        <v>1769</v>
      </c>
      <c r="J374" s="247">
        <v>14</v>
      </c>
      <c r="K374" s="247">
        <v>14</v>
      </c>
      <c r="L374" s="249" t="s">
        <v>938</v>
      </c>
      <c r="M374" s="249" t="s">
        <v>929</v>
      </c>
      <c r="N374" s="248">
        <v>-1167.18</v>
      </c>
      <c r="O374" s="248">
        <v>-4327.88</v>
      </c>
      <c r="P374" s="247" t="s">
        <v>1046</v>
      </c>
      <c r="Q374" s="247" t="s">
        <v>92</v>
      </c>
    </row>
    <row r="375" spans="1:17" x14ac:dyDescent="0.25">
      <c r="A375" s="247" t="s">
        <v>646</v>
      </c>
      <c r="B375" s="247" t="s">
        <v>25</v>
      </c>
      <c r="C375" s="247" t="s">
        <v>1038</v>
      </c>
      <c r="D375" s="247" t="s">
        <v>926</v>
      </c>
      <c r="E375" s="247" t="s">
        <v>467</v>
      </c>
      <c r="F375" s="247" t="s">
        <v>1768</v>
      </c>
      <c r="G375" s="247" t="s">
        <v>1045</v>
      </c>
      <c r="H375" s="247"/>
      <c r="I375" s="247" t="s">
        <v>1769</v>
      </c>
      <c r="J375" s="247">
        <v>14</v>
      </c>
      <c r="K375" s="247">
        <v>14</v>
      </c>
      <c r="L375" s="249" t="s">
        <v>939</v>
      </c>
      <c r="M375" s="249" t="s">
        <v>929</v>
      </c>
      <c r="N375" s="248">
        <v>-506.79</v>
      </c>
      <c r="O375" s="248">
        <v>-4834.67</v>
      </c>
      <c r="P375" s="247" t="s">
        <v>1046</v>
      </c>
      <c r="Q375" s="247" t="s">
        <v>93</v>
      </c>
    </row>
    <row r="376" spans="1:17" x14ac:dyDescent="0.25">
      <c r="A376" s="247" t="s">
        <v>646</v>
      </c>
      <c r="B376" s="247" t="s">
        <v>25</v>
      </c>
      <c r="C376" s="247" t="s">
        <v>1038</v>
      </c>
      <c r="D376" s="247" t="s">
        <v>926</v>
      </c>
      <c r="E376" s="247" t="s">
        <v>467</v>
      </c>
      <c r="F376" s="247" t="s">
        <v>1768</v>
      </c>
      <c r="G376" s="247" t="s">
        <v>1045</v>
      </c>
      <c r="H376" s="247"/>
      <c r="I376" s="247" t="s">
        <v>1769</v>
      </c>
      <c r="J376" s="247">
        <v>14</v>
      </c>
      <c r="K376" s="247">
        <v>14</v>
      </c>
      <c r="L376" s="249" t="s">
        <v>940</v>
      </c>
      <c r="M376" s="249" t="s">
        <v>929</v>
      </c>
      <c r="N376" s="248">
        <v>-501.12</v>
      </c>
      <c r="O376" s="248">
        <v>-5335.79</v>
      </c>
      <c r="P376" s="247" t="s">
        <v>1046</v>
      </c>
      <c r="Q376" s="247" t="s">
        <v>94</v>
      </c>
    </row>
    <row r="377" spans="1:17" x14ac:dyDescent="0.25">
      <c r="A377" s="247" t="s">
        <v>646</v>
      </c>
      <c r="B377" s="247" t="s">
        <v>25</v>
      </c>
      <c r="C377" s="247" t="s">
        <v>1038</v>
      </c>
      <c r="D377" s="247" t="s">
        <v>926</v>
      </c>
      <c r="E377" s="247" t="s">
        <v>467</v>
      </c>
      <c r="F377" s="247" t="s">
        <v>1768</v>
      </c>
      <c r="G377" s="247" t="s">
        <v>1045</v>
      </c>
      <c r="H377" s="247"/>
      <c r="I377" s="247" t="s">
        <v>1769</v>
      </c>
      <c r="J377" s="247">
        <v>14</v>
      </c>
      <c r="K377" s="247">
        <v>14</v>
      </c>
      <c r="L377" s="249" t="s">
        <v>642</v>
      </c>
      <c r="M377" s="249" t="s">
        <v>929</v>
      </c>
      <c r="N377" s="248">
        <v>-501.12</v>
      </c>
      <c r="O377" s="248">
        <v>-5836.91</v>
      </c>
      <c r="P377" s="247" t="s">
        <v>1046</v>
      </c>
      <c r="Q377" s="247" t="s">
        <v>95</v>
      </c>
    </row>
    <row r="378" spans="1:17" x14ac:dyDescent="0.25">
      <c r="A378" s="247" t="s">
        <v>646</v>
      </c>
      <c r="B378" s="247" t="s">
        <v>25</v>
      </c>
      <c r="C378" s="247" t="s">
        <v>1038</v>
      </c>
      <c r="D378" s="247" t="s">
        <v>926</v>
      </c>
      <c r="E378" s="247" t="s">
        <v>946</v>
      </c>
      <c r="F378" s="247" t="s">
        <v>1770</v>
      </c>
      <c r="G378" s="247" t="s">
        <v>1047</v>
      </c>
      <c r="H378" s="247"/>
      <c r="I378" s="247" t="s">
        <v>1771</v>
      </c>
      <c r="J378" s="247">
        <v>14</v>
      </c>
      <c r="K378" s="247">
        <v>14</v>
      </c>
      <c r="L378" s="249" t="s">
        <v>646</v>
      </c>
      <c r="M378" s="249" t="s">
        <v>933</v>
      </c>
      <c r="N378" s="248">
        <v>0</v>
      </c>
      <c r="O378" s="248">
        <v>-1077</v>
      </c>
      <c r="P378" s="247" t="s">
        <v>1048</v>
      </c>
      <c r="Q378" s="247" t="s">
        <v>84</v>
      </c>
    </row>
    <row r="379" spans="1:17" x14ac:dyDescent="0.25">
      <c r="A379" s="247" t="s">
        <v>646</v>
      </c>
      <c r="B379" s="247" t="s">
        <v>25</v>
      </c>
      <c r="C379" s="247" t="s">
        <v>1038</v>
      </c>
      <c r="D379" s="247" t="s">
        <v>926</v>
      </c>
      <c r="E379" s="247" t="s">
        <v>946</v>
      </c>
      <c r="F379" s="247" t="s">
        <v>1770</v>
      </c>
      <c r="G379" s="247" t="s">
        <v>1047</v>
      </c>
      <c r="H379" s="247"/>
      <c r="I379" s="247" t="s">
        <v>1771</v>
      </c>
      <c r="J379" s="247">
        <v>14</v>
      </c>
      <c r="K379" s="247">
        <v>14</v>
      </c>
      <c r="L379" s="249" t="s">
        <v>650</v>
      </c>
      <c r="M379" s="249" t="s">
        <v>933</v>
      </c>
      <c r="N379" s="248">
        <v>0</v>
      </c>
      <c r="O379" s="248">
        <v>-1077</v>
      </c>
      <c r="P379" s="247" t="s">
        <v>1048</v>
      </c>
      <c r="Q379" s="247" t="s">
        <v>85</v>
      </c>
    </row>
    <row r="380" spans="1:17" x14ac:dyDescent="0.25">
      <c r="A380" s="247" t="s">
        <v>646</v>
      </c>
      <c r="B380" s="247" t="s">
        <v>25</v>
      </c>
      <c r="C380" s="247" t="s">
        <v>1038</v>
      </c>
      <c r="D380" s="247" t="s">
        <v>926</v>
      </c>
      <c r="E380" s="247" t="s">
        <v>946</v>
      </c>
      <c r="F380" s="247" t="s">
        <v>1770</v>
      </c>
      <c r="G380" s="247" t="s">
        <v>1047</v>
      </c>
      <c r="H380" s="247"/>
      <c r="I380" s="247" t="s">
        <v>1771</v>
      </c>
      <c r="J380" s="247">
        <v>14</v>
      </c>
      <c r="K380" s="247">
        <v>14</v>
      </c>
      <c r="L380" s="249" t="s">
        <v>652</v>
      </c>
      <c r="M380" s="249" t="s">
        <v>933</v>
      </c>
      <c r="N380" s="248">
        <v>0</v>
      </c>
      <c r="O380" s="248">
        <v>-1077</v>
      </c>
      <c r="P380" s="247" t="s">
        <v>1048</v>
      </c>
      <c r="Q380" s="247" t="s">
        <v>86</v>
      </c>
    </row>
    <row r="381" spans="1:17" x14ac:dyDescent="0.25">
      <c r="A381" s="247" t="s">
        <v>646</v>
      </c>
      <c r="B381" s="247" t="s">
        <v>25</v>
      </c>
      <c r="C381" s="247" t="s">
        <v>1038</v>
      </c>
      <c r="D381" s="247" t="s">
        <v>926</v>
      </c>
      <c r="E381" s="247" t="s">
        <v>1049</v>
      </c>
      <c r="F381" s="247" t="s">
        <v>1772</v>
      </c>
      <c r="G381" s="247" t="s">
        <v>1050</v>
      </c>
      <c r="H381" s="247"/>
      <c r="I381" s="247" t="s">
        <v>1773</v>
      </c>
      <c r="J381" s="247">
        <v>14</v>
      </c>
      <c r="K381" s="247">
        <v>14</v>
      </c>
      <c r="L381" s="249" t="s">
        <v>646</v>
      </c>
      <c r="M381" s="249" t="s">
        <v>933</v>
      </c>
      <c r="N381" s="248">
        <v>0</v>
      </c>
      <c r="O381" s="248">
        <v>-156.05000000000001</v>
      </c>
      <c r="P381" s="247" t="s">
        <v>1051</v>
      </c>
      <c r="Q381" s="247" t="s">
        <v>84</v>
      </c>
    </row>
    <row r="382" spans="1:17" x14ac:dyDescent="0.25">
      <c r="A382" s="247" t="s">
        <v>646</v>
      </c>
      <c r="B382" s="247" t="s">
        <v>25</v>
      </c>
      <c r="C382" s="247" t="s">
        <v>1038</v>
      </c>
      <c r="D382" s="247" t="s">
        <v>926</v>
      </c>
      <c r="E382" s="247" t="s">
        <v>1049</v>
      </c>
      <c r="F382" s="247" t="s">
        <v>1772</v>
      </c>
      <c r="G382" s="247" t="s">
        <v>1050</v>
      </c>
      <c r="H382" s="247"/>
      <c r="I382" s="247" t="s">
        <v>1773</v>
      </c>
      <c r="J382" s="247">
        <v>14</v>
      </c>
      <c r="K382" s="247">
        <v>14</v>
      </c>
      <c r="L382" s="249" t="s">
        <v>650</v>
      </c>
      <c r="M382" s="249" t="s">
        <v>933</v>
      </c>
      <c r="N382" s="248">
        <v>0</v>
      </c>
      <c r="O382" s="248">
        <v>-156.05000000000001</v>
      </c>
      <c r="P382" s="247" t="s">
        <v>1051</v>
      </c>
      <c r="Q382" s="247" t="s">
        <v>85</v>
      </c>
    </row>
    <row r="383" spans="1:17" x14ac:dyDescent="0.25">
      <c r="A383" s="247" t="s">
        <v>646</v>
      </c>
      <c r="B383" s="247" t="s">
        <v>25</v>
      </c>
      <c r="C383" s="247" t="s">
        <v>1038</v>
      </c>
      <c r="D383" s="247" t="s">
        <v>926</v>
      </c>
      <c r="E383" s="247" t="s">
        <v>1049</v>
      </c>
      <c r="F383" s="247" t="s">
        <v>1772</v>
      </c>
      <c r="G383" s="247" t="s">
        <v>1050</v>
      </c>
      <c r="H383" s="247"/>
      <c r="I383" s="247" t="s">
        <v>1773</v>
      </c>
      <c r="J383" s="247">
        <v>14</v>
      </c>
      <c r="K383" s="247">
        <v>14</v>
      </c>
      <c r="L383" s="249" t="s">
        <v>652</v>
      </c>
      <c r="M383" s="249" t="s">
        <v>933</v>
      </c>
      <c r="N383" s="248">
        <v>0</v>
      </c>
      <c r="O383" s="248">
        <v>-156.05000000000001</v>
      </c>
      <c r="P383" s="247" t="s">
        <v>1051</v>
      </c>
      <c r="Q383" s="247" t="s">
        <v>86</v>
      </c>
    </row>
    <row r="384" spans="1:17" x14ac:dyDescent="0.25">
      <c r="A384" s="247" t="s">
        <v>646</v>
      </c>
      <c r="B384" s="247" t="s">
        <v>25</v>
      </c>
      <c r="C384" s="247" t="s">
        <v>1052</v>
      </c>
      <c r="D384" s="247" t="s">
        <v>926</v>
      </c>
      <c r="E384" s="247" t="s">
        <v>711</v>
      </c>
      <c r="F384" s="247" t="s">
        <v>1774</v>
      </c>
      <c r="G384" s="247" t="s">
        <v>1053</v>
      </c>
      <c r="H384" s="247"/>
      <c r="I384" s="247" t="s">
        <v>1775</v>
      </c>
      <c r="J384" s="247">
        <v>13</v>
      </c>
      <c r="K384" s="247">
        <v>13</v>
      </c>
      <c r="L384" s="249" t="s">
        <v>646</v>
      </c>
      <c r="M384" s="249" t="s">
        <v>933</v>
      </c>
      <c r="N384" s="248">
        <v>0</v>
      </c>
      <c r="O384" s="248">
        <v>-14461.28</v>
      </c>
      <c r="P384" s="247" t="s">
        <v>1054</v>
      </c>
      <c r="Q384" s="247" t="s">
        <v>84</v>
      </c>
    </row>
    <row r="385" spans="1:17" x14ac:dyDescent="0.25">
      <c r="A385" s="247" t="s">
        <v>646</v>
      </c>
      <c r="B385" s="247" t="s">
        <v>25</v>
      </c>
      <c r="C385" s="247" t="s">
        <v>1052</v>
      </c>
      <c r="D385" s="247" t="s">
        <v>926</v>
      </c>
      <c r="E385" s="247" t="s">
        <v>711</v>
      </c>
      <c r="F385" s="247" t="s">
        <v>1774</v>
      </c>
      <c r="G385" s="247" t="s">
        <v>1053</v>
      </c>
      <c r="H385" s="247"/>
      <c r="I385" s="247" t="s">
        <v>1775</v>
      </c>
      <c r="J385" s="247">
        <v>13</v>
      </c>
      <c r="K385" s="247">
        <v>13</v>
      </c>
      <c r="L385" s="249" t="s">
        <v>650</v>
      </c>
      <c r="M385" s="249" t="s">
        <v>933</v>
      </c>
      <c r="N385" s="248">
        <v>0</v>
      </c>
      <c r="O385" s="248">
        <v>-14461.28</v>
      </c>
      <c r="P385" s="247" t="s">
        <v>1054</v>
      </c>
      <c r="Q385" s="247" t="s">
        <v>85</v>
      </c>
    </row>
    <row r="386" spans="1:17" x14ac:dyDescent="0.25">
      <c r="A386" s="247" t="s">
        <v>646</v>
      </c>
      <c r="B386" s="247" t="s">
        <v>25</v>
      </c>
      <c r="C386" s="247" t="s">
        <v>1052</v>
      </c>
      <c r="D386" s="247" t="s">
        <v>926</v>
      </c>
      <c r="E386" s="247" t="s">
        <v>711</v>
      </c>
      <c r="F386" s="247" t="s">
        <v>1774</v>
      </c>
      <c r="G386" s="247" t="s">
        <v>1053</v>
      </c>
      <c r="H386" s="247"/>
      <c r="I386" s="247" t="s">
        <v>1775</v>
      </c>
      <c r="J386" s="247">
        <v>13</v>
      </c>
      <c r="K386" s="247">
        <v>13</v>
      </c>
      <c r="L386" s="249" t="s">
        <v>652</v>
      </c>
      <c r="M386" s="249" t="s">
        <v>933</v>
      </c>
      <c r="N386" s="248">
        <v>0</v>
      </c>
      <c r="O386" s="248">
        <v>-14461.28</v>
      </c>
      <c r="P386" s="247" t="s">
        <v>1054</v>
      </c>
      <c r="Q386" s="247" t="s">
        <v>86</v>
      </c>
    </row>
    <row r="387" spans="1:17" x14ac:dyDescent="0.25">
      <c r="A387" s="247" t="s">
        <v>646</v>
      </c>
      <c r="B387" s="247" t="s">
        <v>25</v>
      </c>
      <c r="C387" s="247" t="s">
        <v>1052</v>
      </c>
      <c r="D387" s="247" t="s">
        <v>926</v>
      </c>
      <c r="E387" s="247" t="s">
        <v>729</v>
      </c>
      <c r="F387" s="247" t="s">
        <v>1776</v>
      </c>
      <c r="G387" s="247" t="s">
        <v>1055</v>
      </c>
      <c r="H387" s="247"/>
      <c r="I387" s="247" t="s">
        <v>1777</v>
      </c>
      <c r="J387" s="247">
        <v>13</v>
      </c>
      <c r="K387" s="247">
        <v>13</v>
      </c>
      <c r="L387" s="249" t="s">
        <v>646</v>
      </c>
      <c r="M387" s="249" t="s">
        <v>933</v>
      </c>
      <c r="N387" s="248">
        <v>-1816.16</v>
      </c>
      <c r="O387" s="248">
        <v>-3632.32</v>
      </c>
      <c r="P387" s="247" t="s">
        <v>1056</v>
      </c>
      <c r="Q387" s="247" t="s">
        <v>84</v>
      </c>
    </row>
    <row r="388" spans="1:17" x14ac:dyDescent="0.25">
      <c r="A388" s="247" t="s">
        <v>646</v>
      </c>
      <c r="B388" s="247" t="s">
        <v>25</v>
      </c>
      <c r="C388" s="247" t="s">
        <v>1052</v>
      </c>
      <c r="D388" s="247" t="s">
        <v>926</v>
      </c>
      <c r="E388" s="247" t="s">
        <v>729</v>
      </c>
      <c r="F388" s="247" t="s">
        <v>1776</v>
      </c>
      <c r="G388" s="247" t="s">
        <v>1055</v>
      </c>
      <c r="H388" s="247"/>
      <c r="I388" s="247" t="s">
        <v>1777</v>
      </c>
      <c r="J388" s="247">
        <v>13</v>
      </c>
      <c r="K388" s="247">
        <v>13</v>
      </c>
      <c r="L388" s="249" t="s">
        <v>650</v>
      </c>
      <c r="M388" s="249" t="s">
        <v>933</v>
      </c>
      <c r="N388" s="248">
        <v>-1816.16</v>
      </c>
      <c r="O388" s="248">
        <v>-5448.48</v>
      </c>
      <c r="P388" s="247" t="s">
        <v>1056</v>
      </c>
      <c r="Q388" s="247" t="s">
        <v>85</v>
      </c>
    </row>
    <row r="389" spans="1:17" x14ac:dyDescent="0.25">
      <c r="A389" s="247" t="s">
        <v>646</v>
      </c>
      <c r="B389" s="247" t="s">
        <v>25</v>
      </c>
      <c r="C389" s="247" t="s">
        <v>1052</v>
      </c>
      <c r="D389" s="247" t="s">
        <v>926</v>
      </c>
      <c r="E389" s="247" t="s">
        <v>729</v>
      </c>
      <c r="F389" s="247" t="s">
        <v>1776</v>
      </c>
      <c r="G389" s="247" t="s">
        <v>1055</v>
      </c>
      <c r="H389" s="247"/>
      <c r="I389" s="247" t="s">
        <v>1777</v>
      </c>
      <c r="J389" s="247">
        <v>13</v>
      </c>
      <c r="K389" s="247">
        <v>13</v>
      </c>
      <c r="L389" s="249" t="s">
        <v>652</v>
      </c>
      <c r="M389" s="249" t="s">
        <v>933</v>
      </c>
      <c r="N389" s="248">
        <v>-1816.16</v>
      </c>
      <c r="O389" s="248">
        <v>-7264.64</v>
      </c>
      <c r="P389" s="247" t="s">
        <v>1056</v>
      </c>
      <c r="Q389" s="247" t="s">
        <v>86</v>
      </c>
    </row>
    <row r="390" spans="1:17" x14ac:dyDescent="0.25">
      <c r="A390" s="247" t="s">
        <v>646</v>
      </c>
      <c r="B390" s="247" t="s">
        <v>25</v>
      </c>
      <c r="C390" s="247" t="s">
        <v>1052</v>
      </c>
      <c r="D390" s="247" t="s">
        <v>926</v>
      </c>
      <c r="E390" s="247" t="s">
        <v>729</v>
      </c>
      <c r="F390" s="247" t="s">
        <v>1776</v>
      </c>
      <c r="G390" s="247" t="s">
        <v>1055</v>
      </c>
      <c r="H390" s="247"/>
      <c r="I390" s="247" t="s">
        <v>1777</v>
      </c>
      <c r="J390" s="247">
        <v>13</v>
      </c>
      <c r="K390" s="247">
        <v>13</v>
      </c>
      <c r="L390" s="249" t="s">
        <v>789</v>
      </c>
      <c r="M390" s="249" t="s">
        <v>929</v>
      </c>
      <c r="N390" s="248">
        <v>-1816.16</v>
      </c>
      <c r="O390" s="248">
        <v>-1816.16</v>
      </c>
      <c r="P390" s="247" t="s">
        <v>1056</v>
      </c>
      <c r="Q390" s="247" t="s">
        <v>87</v>
      </c>
    </row>
    <row r="391" spans="1:17" x14ac:dyDescent="0.25">
      <c r="A391" s="247" t="s">
        <v>646</v>
      </c>
      <c r="B391" s="247" t="s">
        <v>25</v>
      </c>
      <c r="C391" s="247" t="s">
        <v>1052</v>
      </c>
      <c r="D391" s="247" t="s">
        <v>926</v>
      </c>
      <c r="E391" s="247" t="s">
        <v>729</v>
      </c>
      <c r="F391" s="247" t="s">
        <v>1776</v>
      </c>
      <c r="G391" s="247" t="s">
        <v>1055</v>
      </c>
      <c r="H391" s="247"/>
      <c r="I391" s="247" t="s">
        <v>1777</v>
      </c>
      <c r="J391" s="247">
        <v>13</v>
      </c>
      <c r="K391" s="247">
        <v>13</v>
      </c>
      <c r="L391" s="249" t="s">
        <v>791</v>
      </c>
      <c r="M391" s="249" t="s">
        <v>929</v>
      </c>
      <c r="N391" s="248">
        <v>-1816.16</v>
      </c>
      <c r="O391" s="248">
        <v>-3632.32</v>
      </c>
      <c r="P391" s="247" t="s">
        <v>1056</v>
      </c>
      <c r="Q391" s="247" t="s">
        <v>88</v>
      </c>
    </row>
    <row r="392" spans="1:17" x14ac:dyDescent="0.25">
      <c r="A392" s="247" t="s">
        <v>646</v>
      </c>
      <c r="B392" s="247" t="s">
        <v>25</v>
      </c>
      <c r="C392" s="247" t="s">
        <v>1052</v>
      </c>
      <c r="D392" s="247" t="s">
        <v>926</v>
      </c>
      <c r="E392" s="247" t="s">
        <v>729</v>
      </c>
      <c r="F392" s="247" t="s">
        <v>1776</v>
      </c>
      <c r="G392" s="247" t="s">
        <v>1055</v>
      </c>
      <c r="H392" s="247"/>
      <c r="I392" s="247" t="s">
        <v>1777</v>
      </c>
      <c r="J392" s="247">
        <v>13</v>
      </c>
      <c r="K392" s="247">
        <v>13</v>
      </c>
      <c r="L392" s="249" t="s">
        <v>935</v>
      </c>
      <c r="M392" s="249" t="s">
        <v>929</v>
      </c>
      <c r="N392" s="248">
        <v>-1816.16</v>
      </c>
      <c r="O392" s="248">
        <v>-5448.48</v>
      </c>
      <c r="P392" s="247" t="s">
        <v>1056</v>
      </c>
      <c r="Q392" s="247" t="s">
        <v>89</v>
      </c>
    </row>
    <row r="393" spans="1:17" x14ac:dyDescent="0.25">
      <c r="A393" s="247" t="s">
        <v>646</v>
      </c>
      <c r="B393" s="247" t="s">
        <v>25</v>
      </c>
      <c r="C393" s="247" t="s">
        <v>1052</v>
      </c>
      <c r="D393" s="247" t="s">
        <v>926</v>
      </c>
      <c r="E393" s="247" t="s">
        <v>729</v>
      </c>
      <c r="F393" s="247" t="s">
        <v>1776</v>
      </c>
      <c r="G393" s="247" t="s">
        <v>1055</v>
      </c>
      <c r="H393" s="247"/>
      <c r="I393" s="247" t="s">
        <v>1777</v>
      </c>
      <c r="J393" s="247">
        <v>13</v>
      </c>
      <c r="K393" s="247">
        <v>13</v>
      </c>
      <c r="L393" s="249" t="s">
        <v>936</v>
      </c>
      <c r="M393" s="249" t="s">
        <v>929</v>
      </c>
      <c r="N393" s="248">
        <v>-1816.16</v>
      </c>
      <c r="O393" s="248">
        <v>-7264.64</v>
      </c>
      <c r="P393" s="247" t="s">
        <v>1056</v>
      </c>
      <c r="Q393" s="247" t="s">
        <v>90</v>
      </c>
    </row>
    <row r="394" spans="1:17" x14ac:dyDescent="0.25">
      <c r="A394" s="247" t="s">
        <v>646</v>
      </c>
      <c r="B394" s="247" t="s">
        <v>25</v>
      </c>
      <c r="C394" s="247" t="s">
        <v>1052</v>
      </c>
      <c r="D394" s="247" t="s">
        <v>926</v>
      </c>
      <c r="E394" s="247" t="s">
        <v>729</v>
      </c>
      <c r="F394" s="247" t="s">
        <v>1776</v>
      </c>
      <c r="G394" s="247" t="s">
        <v>1055</v>
      </c>
      <c r="H394" s="247"/>
      <c r="I394" s="247" t="s">
        <v>1777</v>
      </c>
      <c r="J394" s="247">
        <v>13</v>
      </c>
      <c r="K394" s="247">
        <v>13</v>
      </c>
      <c r="L394" s="249" t="s">
        <v>937</v>
      </c>
      <c r="M394" s="249" t="s">
        <v>929</v>
      </c>
      <c r="N394" s="248">
        <v>-1816.16</v>
      </c>
      <c r="O394" s="248">
        <v>-9080.7999999999993</v>
      </c>
      <c r="P394" s="247" t="s">
        <v>1056</v>
      </c>
      <c r="Q394" s="247" t="s">
        <v>91</v>
      </c>
    </row>
    <row r="395" spans="1:17" x14ac:dyDescent="0.25">
      <c r="A395" s="247" t="s">
        <v>646</v>
      </c>
      <c r="B395" s="247" t="s">
        <v>25</v>
      </c>
      <c r="C395" s="247" t="s">
        <v>1052</v>
      </c>
      <c r="D395" s="247" t="s">
        <v>926</v>
      </c>
      <c r="E395" s="247" t="s">
        <v>729</v>
      </c>
      <c r="F395" s="247" t="s">
        <v>1776</v>
      </c>
      <c r="G395" s="247" t="s">
        <v>1055</v>
      </c>
      <c r="H395" s="247"/>
      <c r="I395" s="247" t="s">
        <v>1777</v>
      </c>
      <c r="J395" s="247">
        <v>13</v>
      </c>
      <c r="K395" s="247">
        <v>13</v>
      </c>
      <c r="L395" s="249" t="s">
        <v>938</v>
      </c>
      <c r="M395" s="249" t="s">
        <v>929</v>
      </c>
      <c r="N395" s="248">
        <v>-1816.16</v>
      </c>
      <c r="O395" s="248">
        <v>-10896.96</v>
      </c>
      <c r="P395" s="247" t="s">
        <v>1056</v>
      </c>
      <c r="Q395" s="247" t="s">
        <v>92</v>
      </c>
    </row>
    <row r="396" spans="1:17" x14ac:dyDescent="0.25">
      <c r="A396" s="247" t="s">
        <v>646</v>
      </c>
      <c r="B396" s="247" t="s">
        <v>25</v>
      </c>
      <c r="C396" s="247" t="s">
        <v>1052</v>
      </c>
      <c r="D396" s="247" t="s">
        <v>926</v>
      </c>
      <c r="E396" s="247" t="s">
        <v>729</v>
      </c>
      <c r="F396" s="247" t="s">
        <v>1776</v>
      </c>
      <c r="G396" s="247" t="s">
        <v>1055</v>
      </c>
      <c r="H396" s="247"/>
      <c r="I396" s="247" t="s">
        <v>1777</v>
      </c>
      <c r="J396" s="247">
        <v>13</v>
      </c>
      <c r="K396" s="247">
        <v>13</v>
      </c>
      <c r="L396" s="249" t="s">
        <v>939</v>
      </c>
      <c r="M396" s="249" t="s">
        <v>929</v>
      </c>
      <c r="N396" s="248">
        <v>-1823.76</v>
      </c>
      <c r="O396" s="248">
        <v>-12720.72</v>
      </c>
      <c r="P396" s="247" t="s">
        <v>1056</v>
      </c>
      <c r="Q396" s="247" t="s">
        <v>93</v>
      </c>
    </row>
    <row r="397" spans="1:17" x14ac:dyDescent="0.25">
      <c r="A397" s="247" t="s">
        <v>646</v>
      </c>
      <c r="B397" s="247" t="s">
        <v>25</v>
      </c>
      <c r="C397" s="247" t="s">
        <v>1052</v>
      </c>
      <c r="D397" s="247" t="s">
        <v>926</v>
      </c>
      <c r="E397" s="247" t="s">
        <v>729</v>
      </c>
      <c r="F397" s="247" t="s">
        <v>1776</v>
      </c>
      <c r="G397" s="247" t="s">
        <v>1055</v>
      </c>
      <c r="H397" s="247"/>
      <c r="I397" s="247" t="s">
        <v>1777</v>
      </c>
      <c r="J397" s="247">
        <v>13</v>
      </c>
      <c r="K397" s="247">
        <v>13</v>
      </c>
      <c r="L397" s="249" t="s">
        <v>940</v>
      </c>
      <c r="M397" s="249" t="s">
        <v>929</v>
      </c>
      <c r="N397" s="248">
        <v>-1823.76</v>
      </c>
      <c r="O397" s="248">
        <v>-14544.48</v>
      </c>
      <c r="P397" s="247" t="s">
        <v>1056</v>
      </c>
      <c r="Q397" s="247" t="s">
        <v>94</v>
      </c>
    </row>
    <row r="398" spans="1:17" x14ac:dyDescent="0.25">
      <c r="A398" s="247" t="s">
        <v>646</v>
      </c>
      <c r="B398" s="247" t="s">
        <v>25</v>
      </c>
      <c r="C398" s="247" t="s">
        <v>1052</v>
      </c>
      <c r="D398" s="247" t="s">
        <v>926</v>
      </c>
      <c r="E398" s="247" t="s">
        <v>729</v>
      </c>
      <c r="F398" s="247" t="s">
        <v>1776</v>
      </c>
      <c r="G398" s="247" t="s">
        <v>1055</v>
      </c>
      <c r="H398" s="247"/>
      <c r="I398" s="247" t="s">
        <v>1777</v>
      </c>
      <c r="J398" s="247">
        <v>13</v>
      </c>
      <c r="K398" s="247">
        <v>13</v>
      </c>
      <c r="L398" s="249" t="s">
        <v>642</v>
      </c>
      <c r="M398" s="249" t="s">
        <v>929</v>
      </c>
      <c r="N398" s="248">
        <v>-1823.76</v>
      </c>
      <c r="O398" s="248">
        <v>-16368.24</v>
      </c>
      <c r="P398" s="247" t="s">
        <v>1056</v>
      </c>
      <c r="Q398" s="247" t="s">
        <v>95</v>
      </c>
    </row>
    <row r="399" spans="1:17" x14ac:dyDescent="0.25">
      <c r="A399" s="247" t="s">
        <v>646</v>
      </c>
      <c r="B399" s="247" t="s">
        <v>25</v>
      </c>
      <c r="C399" s="247" t="s">
        <v>1052</v>
      </c>
      <c r="D399" s="247" t="s">
        <v>926</v>
      </c>
      <c r="E399" s="247" t="s">
        <v>569</v>
      </c>
      <c r="F399" s="247" t="s">
        <v>1778</v>
      </c>
      <c r="G399" s="247" t="s">
        <v>1057</v>
      </c>
      <c r="H399" s="247"/>
      <c r="I399" s="247" t="s">
        <v>1779</v>
      </c>
      <c r="J399" s="247">
        <v>13</v>
      </c>
      <c r="K399" s="247">
        <v>13</v>
      </c>
      <c r="L399" s="249" t="s">
        <v>646</v>
      </c>
      <c r="M399" s="249" t="s">
        <v>933</v>
      </c>
      <c r="N399" s="248">
        <v>0</v>
      </c>
      <c r="O399" s="248">
        <v>-8901.68</v>
      </c>
      <c r="P399" s="247" t="s">
        <v>1058</v>
      </c>
      <c r="Q399" s="247" t="s">
        <v>84</v>
      </c>
    </row>
    <row r="400" spans="1:17" x14ac:dyDescent="0.25">
      <c r="A400" s="247" t="s">
        <v>646</v>
      </c>
      <c r="B400" s="247" t="s">
        <v>25</v>
      </c>
      <c r="C400" s="247" t="s">
        <v>1052</v>
      </c>
      <c r="D400" s="247" t="s">
        <v>926</v>
      </c>
      <c r="E400" s="247" t="s">
        <v>569</v>
      </c>
      <c r="F400" s="247" t="s">
        <v>1778</v>
      </c>
      <c r="G400" s="247" t="s">
        <v>1057</v>
      </c>
      <c r="H400" s="247"/>
      <c r="I400" s="247" t="s">
        <v>1779</v>
      </c>
      <c r="J400" s="247">
        <v>13</v>
      </c>
      <c r="K400" s="247">
        <v>13</v>
      </c>
      <c r="L400" s="249" t="s">
        <v>650</v>
      </c>
      <c r="M400" s="249" t="s">
        <v>933</v>
      </c>
      <c r="N400" s="248">
        <v>0</v>
      </c>
      <c r="O400" s="248">
        <v>-8901.68</v>
      </c>
      <c r="P400" s="247" t="s">
        <v>1058</v>
      </c>
      <c r="Q400" s="247" t="s">
        <v>85</v>
      </c>
    </row>
    <row r="401" spans="1:17" x14ac:dyDescent="0.25">
      <c r="A401" s="247" t="s">
        <v>646</v>
      </c>
      <c r="B401" s="247" t="s">
        <v>25</v>
      </c>
      <c r="C401" s="247" t="s">
        <v>1052</v>
      </c>
      <c r="D401" s="247" t="s">
        <v>926</v>
      </c>
      <c r="E401" s="247" t="s">
        <v>569</v>
      </c>
      <c r="F401" s="247" t="s">
        <v>1778</v>
      </c>
      <c r="G401" s="247" t="s">
        <v>1057</v>
      </c>
      <c r="H401" s="247"/>
      <c r="I401" s="247" t="s">
        <v>1779</v>
      </c>
      <c r="J401" s="247">
        <v>13</v>
      </c>
      <c r="K401" s="247">
        <v>13</v>
      </c>
      <c r="L401" s="249" t="s">
        <v>652</v>
      </c>
      <c r="M401" s="249" t="s">
        <v>933</v>
      </c>
      <c r="N401" s="248">
        <v>0</v>
      </c>
      <c r="O401" s="248">
        <v>-8901.68</v>
      </c>
      <c r="P401" s="247" t="s">
        <v>1058</v>
      </c>
      <c r="Q401" s="247" t="s">
        <v>86</v>
      </c>
    </row>
    <row r="402" spans="1:17" x14ac:dyDescent="0.25">
      <c r="A402" s="247" t="s">
        <v>646</v>
      </c>
      <c r="B402" s="247" t="s">
        <v>25</v>
      </c>
      <c r="C402" s="247" t="s">
        <v>1052</v>
      </c>
      <c r="D402" s="247" t="s">
        <v>926</v>
      </c>
      <c r="E402" s="247" t="s">
        <v>462</v>
      </c>
      <c r="F402" s="247" t="s">
        <v>1780</v>
      </c>
      <c r="G402" s="247" t="s">
        <v>1059</v>
      </c>
      <c r="H402" s="247"/>
      <c r="I402" s="247" t="s">
        <v>1781</v>
      </c>
      <c r="J402" s="247">
        <v>13</v>
      </c>
      <c r="K402" s="247">
        <v>13</v>
      </c>
      <c r="L402" s="249" t="s">
        <v>646</v>
      </c>
      <c r="M402" s="249" t="s">
        <v>933</v>
      </c>
      <c r="N402" s="248">
        <v>-1076.55</v>
      </c>
      <c r="O402" s="248">
        <v>-2158.1</v>
      </c>
      <c r="P402" s="247" t="s">
        <v>1060</v>
      </c>
      <c r="Q402" s="247" t="s">
        <v>84</v>
      </c>
    </row>
    <row r="403" spans="1:17" x14ac:dyDescent="0.25">
      <c r="A403" s="247" t="s">
        <v>646</v>
      </c>
      <c r="B403" s="247" t="s">
        <v>25</v>
      </c>
      <c r="C403" s="247" t="s">
        <v>1052</v>
      </c>
      <c r="D403" s="247" t="s">
        <v>926</v>
      </c>
      <c r="E403" s="247" t="s">
        <v>462</v>
      </c>
      <c r="F403" s="247" t="s">
        <v>1780</v>
      </c>
      <c r="G403" s="247" t="s">
        <v>1059</v>
      </c>
      <c r="H403" s="247"/>
      <c r="I403" s="247" t="s">
        <v>1781</v>
      </c>
      <c r="J403" s="247">
        <v>13</v>
      </c>
      <c r="K403" s="247">
        <v>13</v>
      </c>
      <c r="L403" s="249" t="s">
        <v>650</v>
      </c>
      <c r="M403" s="249" t="s">
        <v>933</v>
      </c>
      <c r="N403" s="248">
        <v>-1076.55</v>
      </c>
      <c r="O403" s="248">
        <v>-3234.65</v>
      </c>
      <c r="P403" s="247" t="s">
        <v>1060</v>
      </c>
      <c r="Q403" s="247" t="s">
        <v>85</v>
      </c>
    </row>
    <row r="404" spans="1:17" x14ac:dyDescent="0.25">
      <c r="A404" s="247" t="s">
        <v>646</v>
      </c>
      <c r="B404" s="247" t="s">
        <v>25</v>
      </c>
      <c r="C404" s="247" t="s">
        <v>1052</v>
      </c>
      <c r="D404" s="247" t="s">
        <v>926</v>
      </c>
      <c r="E404" s="247" t="s">
        <v>462</v>
      </c>
      <c r="F404" s="247" t="s">
        <v>1780</v>
      </c>
      <c r="G404" s="247" t="s">
        <v>1059</v>
      </c>
      <c r="H404" s="247"/>
      <c r="I404" s="247" t="s">
        <v>1781</v>
      </c>
      <c r="J404" s="247">
        <v>13</v>
      </c>
      <c r="K404" s="247">
        <v>13</v>
      </c>
      <c r="L404" s="249" t="s">
        <v>652</v>
      </c>
      <c r="M404" s="249" t="s">
        <v>933</v>
      </c>
      <c r="N404" s="248">
        <v>-1076.55</v>
      </c>
      <c r="O404" s="248">
        <v>-4311.2</v>
      </c>
      <c r="P404" s="247" t="s">
        <v>1060</v>
      </c>
      <c r="Q404" s="247" t="s">
        <v>86</v>
      </c>
    </row>
    <row r="405" spans="1:17" x14ac:dyDescent="0.25">
      <c r="A405" s="247" t="s">
        <v>646</v>
      </c>
      <c r="B405" s="247" t="s">
        <v>25</v>
      </c>
      <c r="C405" s="247" t="s">
        <v>1052</v>
      </c>
      <c r="D405" s="247" t="s">
        <v>926</v>
      </c>
      <c r="E405" s="247" t="s">
        <v>462</v>
      </c>
      <c r="F405" s="247" t="s">
        <v>1780</v>
      </c>
      <c r="G405" s="247" t="s">
        <v>1059</v>
      </c>
      <c r="H405" s="247"/>
      <c r="I405" s="247" t="s">
        <v>1781</v>
      </c>
      <c r="J405" s="247">
        <v>13</v>
      </c>
      <c r="K405" s="247">
        <v>13</v>
      </c>
      <c r="L405" s="249" t="s">
        <v>789</v>
      </c>
      <c r="M405" s="249" t="s">
        <v>929</v>
      </c>
      <c r="N405" s="248">
        <v>-1076.55</v>
      </c>
      <c r="O405" s="248">
        <v>-1076.55</v>
      </c>
      <c r="P405" s="247" t="s">
        <v>1060</v>
      </c>
      <c r="Q405" s="247" t="s">
        <v>87</v>
      </c>
    </row>
    <row r="406" spans="1:17" x14ac:dyDescent="0.25">
      <c r="A406" s="247" t="s">
        <v>646</v>
      </c>
      <c r="B406" s="247" t="s">
        <v>25</v>
      </c>
      <c r="C406" s="247" t="s">
        <v>1052</v>
      </c>
      <c r="D406" s="247" t="s">
        <v>926</v>
      </c>
      <c r="E406" s="247" t="s">
        <v>462</v>
      </c>
      <c r="F406" s="247" t="s">
        <v>1780</v>
      </c>
      <c r="G406" s="247" t="s">
        <v>1059</v>
      </c>
      <c r="H406" s="247"/>
      <c r="I406" s="247" t="s">
        <v>1781</v>
      </c>
      <c r="J406" s="247">
        <v>13</v>
      </c>
      <c r="K406" s="247">
        <v>13</v>
      </c>
      <c r="L406" s="249" t="s">
        <v>791</v>
      </c>
      <c r="M406" s="249" t="s">
        <v>929</v>
      </c>
      <c r="N406" s="248">
        <v>-1076.55</v>
      </c>
      <c r="O406" s="248">
        <v>-2153.1</v>
      </c>
      <c r="P406" s="247" t="s">
        <v>1060</v>
      </c>
      <c r="Q406" s="247" t="s">
        <v>88</v>
      </c>
    </row>
    <row r="407" spans="1:17" x14ac:dyDescent="0.25">
      <c r="A407" s="247" t="s">
        <v>646</v>
      </c>
      <c r="B407" s="247" t="s">
        <v>25</v>
      </c>
      <c r="C407" s="247" t="s">
        <v>1052</v>
      </c>
      <c r="D407" s="247" t="s">
        <v>926</v>
      </c>
      <c r="E407" s="247" t="s">
        <v>462</v>
      </c>
      <c r="F407" s="247" t="s">
        <v>1780</v>
      </c>
      <c r="G407" s="247" t="s">
        <v>1059</v>
      </c>
      <c r="H407" s="247"/>
      <c r="I407" s="247" t="s">
        <v>1781</v>
      </c>
      <c r="J407" s="247">
        <v>13</v>
      </c>
      <c r="K407" s="247">
        <v>13</v>
      </c>
      <c r="L407" s="249" t="s">
        <v>935</v>
      </c>
      <c r="M407" s="249" t="s">
        <v>929</v>
      </c>
      <c r="N407" s="248">
        <v>-1123.31</v>
      </c>
      <c r="O407" s="248">
        <v>-3276.41</v>
      </c>
      <c r="P407" s="247" t="s">
        <v>1060</v>
      </c>
      <c r="Q407" s="247" t="s">
        <v>89</v>
      </c>
    </row>
    <row r="408" spans="1:17" x14ac:dyDescent="0.25">
      <c r="A408" s="247" t="s">
        <v>646</v>
      </c>
      <c r="B408" s="247" t="s">
        <v>25</v>
      </c>
      <c r="C408" s="247" t="s">
        <v>1052</v>
      </c>
      <c r="D408" s="247" t="s">
        <v>926</v>
      </c>
      <c r="E408" s="247" t="s">
        <v>462</v>
      </c>
      <c r="F408" s="247" t="s">
        <v>1780</v>
      </c>
      <c r="G408" s="247" t="s">
        <v>1059</v>
      </c>
      <c r="H408" s="247"/>
      <c r="I408" s="247" t="s">
        <v>1781</v>
      </c>
      <c r="J408" s="247">
        <v>13</v>
      </c>
      <c r="K408" s="247">
        <v>13</v>
      </c>
      <c r="L408" s="249" t="s">
        <v>936</v>
      </c>
      <c r="M408" s="249" t="s">
        <v>929</v>
      </c>
      <c r="N408" s="248">
        <v>-1076.55</v>
      </c>
      <c r="O408" s="248">
        <v>-4352.96</v>
      </c>
      <c r="P408" s="247" t="s">
        <v>1060</v>
      </c>
      <c r="Q408" s="247" t="s">
        <v>90</v>
      </c>
    </row>
    <row r="409" spans="1:17" x14ac:dyDescent="0.25">
      <c r="A409" s="247" t="s">
        <v>646</v>
      </c>
      <c r="B409" s="247" t="s">
        <v>25</v>
      </c>
      <c r="C409" s="247" t="s">
        <v>1052</v>
      </c>
      <c r="D409" s="247" t="s">
        <v>926</v>
      </c>
      <c r="E409" s="247" t="s">
        <v>462</v>
      </c>
      <c r="F409" s="247" t="s">
        <v>1780</v>
      </c>
      <c r="G409" s="247" t="s">
        <v>1059</v>
      </c>
      <c r="H409" s="247"/>
      <c r="I409" s="247" t="s">
        <v>1781</v>
      </c>
      <c r="J409" s="247">
        <v>13</v>
      </c>
      <c r="K409" s="247">
        <v>13</v>
      </c>
      <c r="L409" s="249" t="s">
        <v>937</v>
      </c>
      <c r="M409" s="249" t="s">
        <v>929</v>
      </c>
      <c r="N409" s="248">
        <v>-1076.55</v>
      </c>
      <c r="O409" s="248">
        <v>-5429.51</v>
      </c>
      <c r="P409" s="247" t="s">
        <v>1060</v>
      </c>
      <c r="Q409" s="247" t="s">
        <v>91</v>
      </c>
    </row>
    <row r="410" spans="1:17" x14ac:dyDescent="0.25">
      <c r="A410" s="247" t="s">
        <v>646</v>
      </c>
      <c r="B410" s="247" t="s">
        <v>25</v>
      </c>
      <c r="C410" s="247" t="s">
        <v>1052</v>
      </c>
      <c r="D410" s="247" t="s">
        <v>926</v>
      </c>
      <c r="E410" s="247" t="s">
        <v>462</v>
      </c>
      <c r="F410" s="247" t="s">
        <v>1780</v>
      </c>
      <c r="G410" s="247" t="s">
        <v>1059</v>
      </c>
      <c r="H410" s="247"/>
      <c r="I410" s="247" t="s">
        <v>1781</v>
      </c>
      <c r="J410" s="247">
        <v>13</v>
      </c>
      <c r="K410" s="247">
        <v>13</v>
      </c>
      <c r="L410" s="249" t="s">
        <v>938</v>
      </c>
      <c r="M410" s="249" t="s">
        <v>929</v>
      </c>
      <c r="N410" s="248">
        <v>-1076.55</v>
      </c>
      <c r="O410" s="248">
        <v>-6506.06</v>
      </c>
      <c r="P410" s="247" t="s">
        <v>1060</v>
      </c>
      <c r="Q410" s="247" t="s">
        <v>92</v>
      </c>
    </row>
    <row r="411" spans="1:17" x14ac:dyDescent="0.25">
      <c r="A411" s="247" t="s">
        <v>646</v>
      </c>
      <c r="B411" s="247" t="s">
        <v>25</v>
      </c>
      <c r="C411" s="247" t="s">
        <v>1052</v>
      </c>
      <c r="D411" s="247" t="s">
        <v>926</v>
      </c>
      <c r="E411" s="247" t="s">
        <v>462</v>
      </c>
      <c r="F411" s="247" t="s">
        <v>1780</v>
      </c>
      <c r="G411" s="247" t="s">
        <v>1059</v>
      </c>
      <c r="H411" s="247"/>
      <c r="I411" s="247" t="s">
        <v>1781</v>
      </c>
      <c r="J411" s="247">
        <v>13</v>
      </c>
      <c r="K411" s="247">
        <v>13</v>
      </c>
      <c r="L411" s="249" t="s">
        <v>939</v>
      </c>
      <c r="M411" s="249" t="s">
        <v>929</v>
      </c>
      <c r="N411" s="248">
        <v>-958.07</v>
      </c>
      <c r="O411" s="248">
        <v>-7464.13</v>
      </c>
      <c r="P411" s="247" t="s">
        <v>1060</v>
      </c>
      <c r="Q411" s="247" t="s">
        <v>93</v>
      </c>
    </row>
    <row r="412" spans="1:17" x14ac:dyDescent="0.25">
      <c r="A412" s="247" t="s">
        <v>646</v>
      </c>
      <c r="B412" s="247" t="s">
        <v>25</v>
      </c>
      <c r="C412" s="247" t="s">
        <v>1052</v>
      </c>
      <c r="D412" s="247" t="s">
        <v>926</v>
      </c>
      <c r="E412" s="247" t="s">
        <v>462</v>
      </c>
      <c r="F412" s="247" t="s">
        <v>1780</v>
      </c>
      <c r="G412" s="247" t="s">
        <v>1059</v>
      </c>
      <c r="H412" s="247"/>
      <c r="I412" s="247" t="s">
        <v>1781</v>
      </c>
      <c r="J412" s="247">
        <v>13</v>
      </c>
      <c r="K412" s="247">
        <v>13</v>
      </c>
      <c r="L412" s="249" t="s">
        <v>940</v>
      </c>
      <c r="M412" s="249" t="s">
        <v>929</v>
      </c>
      <c r="N412" s="248">
        <v>-1032.33</v>
      </c>
      <c r="O412" s="248">
        <v>-8496.4599999999991</v>
      </c>
      <c r="P412" s="247" t="s">
        <v>1060</v>
      </c>
      <c r="Q412" s="247" t="s">
        <v>94</v>
      </c>
    </row>
    <row r="413" spans="1:17" x14ac:dyDescent="0.25">
      <c r="A413" s="247" t="s">
        <v>646</v>
      </c>
      <c r="B413" s="247" t="s">
        <v>25</v>
      </c>
      <c r="C413" s="247" t="s">
        <v>1052</v>
      </c>
      <c r="D413" s="247" t="s">
        <v>926</v>
      </c>
      <c r="E413" s="247" t="s">
        <v>462</v>
      </c>
      <c r="F413" s="247" t="s">
        <v>1780</v>
      </c>
      <c r="G413" s="247" t="s">
        <v>1059</v>
      </c>
      <c r="H413" s="247"/>
      <c r="I413" s="247" t="s">
        <v>1781</v>
      </c>
      <c r="J413" s="247">
        <v>13</v>
      </c>
      <c r="K413" s="247">
        <v>13</v>
      </c>
      <c r="L413" s="249" t="s">
        <v>642</v>
      </c>
      <c r="M413" s="249" t="s">
        <v>929</v>
      </c>
      <c r="N413" s="248">
        <v>-1094.71</v>
      </c>
      <c r="O413" s="248">
        <v>-9591.17</v>
      </c>
      <c r="P413" s="247" t="s">
        <v>1060</v>
      </c>
      <c r="Q413" s="247" t="s">
        <v>95</v>
      </c>
    </row>
    <row r="414" spans="1:17" x14ac:dyDescent="0.25">
      <c r="A414" s="247" t="s">
        <v>646</v>
      </c>
      <c r="B414" s="247" t="s">
        <v>25</v>
      </c>
      <c r="C414" s="247" t="s">
        <v>1052</v>
      </c>
      <c r="D414" s="247" t="s">
        <v>926</v>
      </c>
      <c r="E414" s="247" t="s">
        <v>946</v>
      </c>
      <c r="F414" s="247" t="s">
        <v>1782</v>
      </c>
      <c r="G414" s="247" t="s">
        <v>1061</v>
      </c>
      <c r="H414" s="247"/>
      <c r="I414" s="247" t="s">
        <v>1783</v>
      </c>
      <c r="J414" s="247">
        <v>13</v>
      </c>
      <c r="K414" s="247">
        <v>13</v>
      </c>
      <c r="L414" s="249" t="s">
        <v>646</v>
      </c>
      <c r="M414" s="249" t="s">
        <v>933</v>
      </c>
      <c r="N414" s="248">
        <v>0</v>
      </c>
      <c r="O414" s="248">
        <v>-4742.25</v>
      </c>
      <c r="P414" s="247" t="s">
        <v>1062</v>
      </c>
      <c r="Q414" s="247" t="s">
        <v>84</v>
      </c>
    </row>
    <row r="415" spans="1:17" x14ac:dyDescent="0.25">
      <c r="A415" s="247" t="s">
        <v>646</v>
      </c>
      <c r="B415" s="247" t="s">
        <v>25</v>
      </c>
      <c r="C415" s="247" t="s">
        <v>1052</v>
      </c>
      <c r="D415" s="247" t="s">
        <v>926</v>
      </c>
      <c r="E415" s="247" t="s">
        <v>946</v>
      </c>
      <c r="F415" s="247" t="s">
        <v>1782</v>
      </c>
      <c r="G415" s="247" t="s">
        <v>1061</v>
      </c>
      <c r="H415" s="247"/>
      <c r="I415" s="247" t="s">
        <v>1783</v>
      </c>
      <c r="J415" s="247">
        <v>13</v>
      </c>
      <c r="K415" s="247">
        <v>13</v>
      </c>
      <c r="L415" s="249" t="s">
        <v>650</v>
      </c>
      <c r="M415" s="249" t="s">
        <v>933</v>
      </c>
      <c r="N415" s="248">
        <v>0</v>
      </c>
      <c r="O415" s="248">
        <v>-4742.25</v>
      </c>
      <c r="P415" s="247" t="s">
        <v>1062</v>
      </c>
      <c r="Q415" s="247" t="s">
        <v>85</v>
      </c>
    </row>
    <row r="416" spans="1:17" x14ac:dyDescent="0.25">
      <c r="A416" s="247" t="s">
        <v>646</v>
      </c>
      <c r="B416" s="247" t="s">
        <v>25</v>
      </c>
      <c r="C416" s="247" t="s">
        <v>1052</v>
      </c>
      <c r="D416" s="247" t="s">
        <v>926</v>
      </c>
      <c r="E416" s="247" t="s">
        <v>946</v>
      </c>
      <c r="F416" s="247" t="s">
        <v>1782</v>
      </c>
      <c r="G416" s="247" t="s">
        <v>1061</v>
      </c>
      <c r="H416" s="247"/>
      <c r="I416" s="247" t="s">
        <v>1783</v>
      </c>
      <c r="J416" s="247">
        <v>13</v>
      </c>
      <c r="K416" s="247">
        <v>13</v>
      </c>
      <c r="L416" s="249" t="s">
        <v>652</v>
      </c>
      <c r="M416" s="249" t="s">
        <v>933</v>
      </c>
      <c r="N416" s="248">
        <v>0</v>
      </c>
      <c r="O416" s="248">
        <v>-4742.25</v>
      </c>
      <c r="P416" s="247" t="s">
        <v>1062</v>
      </c>
      <c r="Q416" s="247" t="s">
        <v>86</v>
      </c>
    </row>
    <row r="417" spans="1:17" x14ac:dyDescent="0.25">
      <c r="A417" s="247" t="s">
        <v>646</v>
      </c>
      <c r="B417" s="247" t="s">
        <v>25</v>
      </c>
      <c r="C417" s="247" t="s">
        <v>1052</v>
      </c>
      <c r="D417" s="247" t="s">
        <v>926</v>
      </c>
      <c r="E417" s="247" t="s">
        <v>1063</v>
      </c>
      <c r="F417" s="247" t="s">
        <v>1784</v>
      </c>
      <c r="G417" s="247" t="s">
        <v>1064</v>
      </c>
      <c r="H417" s="247"/>
      <c r="I417" s="247" t="s">
        <v>1785</v>
      </c>
      <c r="J417" s="247">
        <v>13</v>
      </c>
      <c r="K417" s="247">
        <v>13</v>
      </c>
      <c r="L417" s="249" t="s">
        <v>646</v>
      </c>
      <c r="M417" s="249" t="s">
        <v>933</v>
      </c>
      <c r="N417" s="248">
        <v>-733.71</v>
      </c>
      <c r="O417" s="248">
        <v>-1628.46</v>
      </c>
      <c r="P417" s="247" t="s">
        <v>1065</v>
      </c>
      <c r="Q417" s="247" t="s">
        <v>84</v>
      </c>
    </row>
    <row r="418" spans="1:17" x14ac:dyDescent="0.25">
      <c r="A418" s="247" t="s">
        <v>646</v>
      </c>
      <c r="B418" s="247" t="s">
        <v>25</v>
      </c>
      <c r="C418" s="247" t="s">
        <v>1052</v>
      </c>
      <c r="D418" s="247" t="s">
        <v>926</v>
      </c>
      <c r="E418" s="247" t="s">
        <v>1063</v>
      </c>
      <c r="F418" s="247" t="s">
        <v>1784</v>
      </c>
      <c r="G418" s="247" t="s">
        <v>1064</v>
      </c>
      <c r="H418" s="247"/>
      <c r="I418" s="247" t="s">
        <v>1785</v>
      </c>
      <c r="J418" s="247">
        <v>13</v>
      </c>
      <c r="K418" s="247">
        <v>13</v>
      </c>
      <c r="L418" s="249" t="s">
        <v>650</v>
      </c>
      <c r="M418" s="249" t="s">
        <v>933</v>
      </c>
      <c r="N418" s="248">
        <v>-894.75</v>
      </c>
      <c r="O418" s="248">
        <v>-2523.21</v>
      </c>
      <c r="P418" s="247" t="s">
        <v>1065</v>
      </c>
      <c r="Q418" s="247" t="s">
        <v>85</v>
      </c>
    </row>
    <row r="419" spans="1:17" x14ac:dyDescent="0.25">
      <c r="A419" s="247" t="s">
        <v>646</v>
      </c>
      <c r="B419" s="247" t="s">
        <v>25</v>
      </c>
      <c r="C419" s="247" t="s">
        <v>1052</v>
      </c>
      <c r="D419" s="247" t="s">
        <v>926</v>
      </c>
      <c r="E419" s="247" t="s">
        <v>1063</v>
      </c>
      <c r="F419" s="247" t="s">
        <v>1784</v>
      </c>
      <c r="G419" s="247" t="s">
        <v>1064</v>
      </c>
      <c r="H419" s="247"/>
      <c r="I419" s="247" t="s">
        <v>1785</v>
      </c>
      <c r="J419" s="247">
        <v>13</v>
      </c>
      <c r="K419" s="247">
        <v>13</v>
      </c>
      <c r="L419" s="249" t="s">
        <v>652</v>
      </c>
      <c r="M419" s="249" t="s">
        <v>933</v>
      </c>
      <c r="N419" s="248">
        <v>-196.86</v>
      </c>
      <c r="O419" s="248">
        <v>-2720.07</v>
      </c>
      <c r="P419" s="247" t="s">
        <v>1065</v>
      </c>
      <c r="Q419" s="247" t="s">
        <v>86</v>
      </c>
    </row>
    <row r="420" spans="1:17" x14ac:dyDescent="0.25">
      <c r="A420" s="247" t="s">
        <v>646</v>
      </c>
      <c r="B420" s="247" t="s">
        <v>25</v>
      </c>
      <c r="C420" s="247" t="s">
        <v>1052</v>
      </c>
      <c r="D420" s="247" t="s">
        <v>926</v>
      </c>
      <c r="E420" s="247" t="s">
        <v>1063</v>
      </c>
      <c r="F420" s="247" t="s">
        <v>1784</v>
      </c>
      <c r="G420" s="247" t="s">
        <v>1064</v>
      </c>
      <c r="H420" s="247"/>
      <c r="I420" s="247" t="s">
        <v>1785</v>
      </c>
      <c r="J420" s="247">
        <v>13</v>
      </c>
      <c r="K420" s="247">
        <v>13</v>
      </c>
      <c r="L420" s="249" t="s">
        <v>789</v>
      </c>
      <c r="M420" s="249" t="s">
        <v>929</v>
      </c>
      <c r="N420" s="248">
        <v>-779.64</v>
      </c>
      <c r="O420" s="248">
        <v>-779.64</v>
      </c>
      <c r="P420" s="247" t="s">
        <v>1065</v>
      </c>
      <c r="Q420" s="247" t="s">
        <v>87</v>
      </c>
    </row>
    <row r="421" spans="1:17" x14ac:dyDescent="0.25">
      <c r="A421" s="247" t="s">
        <v>646</v>
      </c>
      <c r="B421" s="247" t="s">
        <v>25</v>
      </c>
      <c r="C421" s="247" t="s">
        <v>1052</v>
      </c>
      <c r="D421" s="247" t="s">
        <v>926</v>
      </c>
      <c r="E421" s="247" t="s">
        <v>1063</v>
      </c>
      <c r="F421" s="247" t="s">
        <v>1784</v>
      </c>
      <c r="G421" s="247" t="s">
        <v>1064</v>
      </c>
      <c r="H421" s="247"/>
      <c r="I421" s="247" t="s">
        <v>1785</v>
      </c>
      <c r="J421" s="247">
        <v>13</v>
      </c>
      <c r="K421" s="247">
        <v>13</v>
      </c>
      <c r="L421" s="249" t="s">
        <v>791</v>
      </c>
      <c r="M421" s="249" t="s">
        <v>929</v>
      </c>
      <c r="N421" s="248">
        <v>-536.85</v>
      </c>
      <c r="O421" s="248">
        <v>-1316.49</v>
      </c>
      <c r="P421" s="247" t="s">
        <v>1065</v>
      </c>
      <c r="Q421" s="247" t="s">
        <v>88</v>
      </c>
    </row>
    <row r="422" spans="1:17" x14ac:dyDescent="0.25">
      <c r="A422" s="247" t="s">
        <v>646</v>
      </c>
      <c r="B422" s="247" t="s">
        <v>25</v>
      </c>
      <c r="C422" s="247" t="s">
        <v>1052</v>
      </c>
      <c r="D422" s="247" t="s">
        <v>926</v>
      </c>
      <c r="E422" s="247" t="s">
        <v>1063</v>
      </c>
      <c r="F422" s="247" t="s">
        <v>1784</v>
      </c>
      <c r="G422" s="247" t="s">
        <v>1064</v>
      </c>
      <c r="H422" s="247"/>
      <c r="I422" s="247" t="s">
        <v>1785</v>
      </c>
      <c r="J422" s="247">
        <v>13</v>
      </c>
      <c r="K422" s="247">
        <v>13</v>
      </c>
      <c r="L422" s="249" t="s">
        <v>935</v>
      </c>
      <c r="M422" s="249" t="s">
        <v>929</v>
      </c>
      <c r="N422" s="248">
        <v>-578.62</v>
      </c>
      <c r="O422" s="248">
        <v>-1895.11</v>
      </c>
      <c r="P422" s="247" t="s">
        <v>1065</v>
      </c>
      <c r="Q422" s="247" t="s">
        <v>89</v>
      </c>
    </row>
    <row r="423" spans="1:17" x14ac:dyDescent="0.25">
      <c r="A423" s="247" t="s">
        <v>646</v>
      </c>
      <c r="B423" s="247" t="s">
        <v>25</v>
      </c>
      <c r="C423" s="247" t="s">
        <v>1052</v>
      </c>
      <c r="D423" s="247" t="s">
        <v>926</v>
      </c>
      <c r="E423" s="247" t="s">
        <v>1063</v>
      </c>
      <c r="F423" s="247" t="s">
        <v>1784</v>
      </c>
      <c r="G423" s="247" t="s">
        <v>1064</v>
      </c>
      <c r="H423" s="247"/>
      <c r="I423" s="247" t="s">
        <v>1785</v>
      </c>
      <c r="J423" s="247">
        <v>13</v>
      </c>
      <c r="K423" s="247">
        <v>13</v>
      </c>
      <c r="L423" s="249" t="s">
        <v>936</v>
      </c>
      <c r="M423" s="249" t="s">
        <v>929</v>
      </c>
      <c r="N423" s="248">
        <v>-580.23</v>
      </c>
      <c r="O423" s="248">
        <v>-2475.34</v>
      </c>
      <c r="P423" s="247" t="s">
        <v>1065</v>
      </c>
      <c r="Q423" s="247" t="s">
        <v>90</v>
      </c>
    </row>
    <row r="424" spans="1:17" x14ac:dyDescent="0.25">
      <c r="A424" s="247" t="s">
        <v>646</v>
      </c>
      <c r="B424" s="247" t="s">
        <v>25</v>
      </c>
      <c r="C424" s="247" t="s">
        <v>1052</v>
      </c>
      <c r="D424" s="247" t="s">
        <v>926</v>
      </c>
      <c r="E424" s="247" t="s">
        <v>1063</v>
      </c>
      <c r="F424" s="247" t="s">
        <v>1784</v>
      </c>
      <c r="G424" s="247" t="s">
        <v>1064</v>
      </c>
      <c r="H424" s="247"/>
      <c r="I424" s="247" t="s">
        <v>1785</v>
      </c>
      <c r="J424" s="247">
        <v>13</v>
      </c>
      <c r="K424" s="247">
        <v>13</v>
      </c>
      <c r="L424" s="249" t="s">
        <v>937</v>
      </c>
      <c r="M424" s="249" t="s">
        <v>929</v>
      </c>
      <c r="N424" s="248">
        <v>-536.85</v>
      </c>
      <c r="O424" s="248">
        <v>-3012.19</v>
      </c>
      <c r="P424" s="247" t="s">
        <v>1065</v>
      </c>
      <c r="Q424" s="247" t="s">
        <v>91</v>
      </c>
    </row>
    <row r="425" spans="1:17" x14ac:dyDescent="0.25">
      <c r="A425" s="247" t="s">
        <v>646</v>
      </c>
      <c r="B425" s="247" t="s">
        <v>25</v>
      </c>
      <c r="C425" s="247" t="s">
        <v>1052</v>
      </c>
      <c r="D425" s="247" t="s">
        <v>926</v>
      </c>
      <c r="E425" s="247" t="s">
        <v>1063</v>
      </c>
      <c r="F425" s="247" t="s">
        <v>1784</v>
      </c>
      <c r="G425" s="247" t="s">
        <v>1064</v>
      </c>
      <c r="H425" s="247"/>
      <c r="I425" s="247" t="s">
        <v>1785</v>
      </c>
      <c r="J425" s="247">
        <v>13</v>
      </c>
      <c r="K425" s="247">
        <v>13</v>
      </c>
      <c r="L425" s="249" t="s">
        <v>938</v>
      </c>
      <c r="M425" s="249" t="s">
        <v>929</v>
      </c>
      <c r="N425" s="248">
        <v>-536.85</v>
      </c>
      <c r="O425" s="248">
        <v>-3549.04</v>
      </c>
      <c r="P425" s="247" t="s">
        <v>1065</v>
      </c>
      <c r="Q425" s="247" t="s">
        <v>92</v>
      </c>
    </row>
    <row r="426" spans="1:17" x14ac:dyDescent="0.25">
      <c r="A426" s="247" t="s">
        <v>646</v>
      </c>
      <c r="B426" s="247" t="s">
        <v>25</v>
      </c>
      <c r="C426" s="247" t="s">
        <v>1052</v>
      </c>
      <c r="D426" s="247" t="s">
        <v>926</v>
      </c>
      <c r="E426" s="247" t="s">
        <v>1063</v>
      </c>
      <c r="F426" s="247" t="s">
        <v>1784</v>
      </c>
      <c r="G426" s="247" t="s">
        <v>1064</v>
      </c>
      <c r="H426" s="247"/>
      <c r="I426" s="247" t="s">
        <v>1785</v>
      </c>
      <c r="J426" s="247">
        <v>13</v>
      </c>
      <c r="K426" s="247">
        <v>13</v>
      </c>
      <c r="L426" s="249" t="s">
        <v>939</v>
      </c>
      <c r="M426" s="249" t="s">
        <v>929</v>
      </c>
      <c r="N426" s="248">
        <v>-359.52</v>
      </c>
      <c r="O426" s="248">
        <v>-3908.56</v>
      </c>
      <c r="P426" s="247" t="s">
        <v>1065</v>
      </c>
      <c r="Q426" s="247" t="s">
        <v>93</v>
      </c>
    </row>
    <row r="427" spans="1:17" x14ac:dyDescent="0.25">
      <c r="A427" s="247" t="s">
        <v>646</v>
      </c>
      <c r="B427" s="247" t="s">
        <v>25</v>
      </c>
      <c r="C427" s="247" t="s">
        <v>1052</v>
      </c>
      <c r="D427" s="247" t="s">
        <v>926</v>
      </c>
      <c r="E427" s="247" t="s">
        <v>1063</v>
      </c>
      <c r="F427" s="247" t="s">
        <v>1784</v>
      </c>
      <c r="G427" s="247" t="s">
        <v>1064</v>
      </c>
      <c r="H427" s="247"/>
      <c r="I427" s="247" t="s">
        <v>1785</v>
      </c>
      <c r="J427" s="247">
        <v>13</v>
      </c>
      <c r="K427" s="247">
        <v>13</v>
      </c>
      <c r="L427" s="249" t="s">
        <v>940</v>
      </c>
      <c r="M427" s="249" t="s">
        <v>929</v>
      </c>
      <c r="N427" s="248">
        <v>-539.28</v>
      </c>
      <c r="O427" s="248">
        <v>-4447.84</v>
      </c>
      <c r="P427" s="247" t="s">
        <v>1065</v>
      </c>
      <c r="Q427" s="247" t="s">
        <v>94</v>
      </c>
    </row>
    <row r="428" spans="1:17" x14ac:dyDescent="0.25">
      <c r="A428" s="247" t="s">
        <v>646</v>
      </c>
      <c r="B428" s="247" t="s">
        <v>25</v>
      </c>
      <c r="C428" s="247" t="s">
        <v>1052</v>
      </c>
      <c r="D428" s="247" t="s">
        <v>926</v>
      </c>
      <c r="E428" s="247" t="s">
        <v>1063</v>
      </c>
      <c r="F428" s="247" t="s">
        <v>1784</v>
      </c>
      <c r="G428" s="247" t="s">
        <v>1064</v>
      </c>
      <c r="H428" s="247"/>
      <c r="I428" s="247" t="s">
        <v>1785</v>
      </c>
      <c r="J428" s="247">
        <v>13</v>
      </c>
      <c r="K428" s="247">
        <v>13</v>
      </c>
      <c r="L428" s="249" t="s">
        <v>642</v>
      </c>
      <c r="M428" s="249" t="s">
        <v>929</v>
      </c>
      <c r="N428" s="248">
        <v>-406.81</v>
      </c>
      <c r="O428" s="248">
        <v>-4854.6499999999996</v>
      </c>
      <c r="P428" s="247" t="s">
        <v>1065</v>
      </c>
      <c r="Q428" s="247" t="s">
        <v>95</v>
      </c>
    </row>
    <row r="429" spans="1:17" x14ac:dyDescent="0.25">
      <c r="A429" s="247" t="s">
        <v>646</v>
      </c>
      <c r="B429" s="247" t="s">
        <v>25</v>
      </c>
      <c r="C429" s="247" t="s">
        <v>1052</v>
      </c>
      <c r="D429" s="247" t="s">
        <v>926</v>
      </c>
      <c r="E429" s="247" t="s">
        <v>1049</v>
      </c>
      <c r="F429" s="247" t="s">
        <v>1786</v>
      </c>
      <c r="G429" s="247" t="s">
        <v>1066</v>
      </c>
      <c r="H429" s="247"/>
      <c r="I429" s="247" t="s">
        <v>1787</v>
      </c>
      <c r="J429" s="247">
        <v>13</v>
      </c>
      <c r="K429" s="247">
        <v>13</v>
      </c>
      <c r="L429" s="249" t="s">
        <v>646</v>
      </c>
      <c r="M429" s="249" t="s">
        <v>933</v>
      </c>
      <c r="N429" s="248">
        <v>0</v>
      </c>
      <c r="O429" s="248">
        <v>-2860.77</v>
      </c>
      <c r="P429" s="247" t="s">
        <v>1067</v>
      </c>
      <c r="Q429" s="247" t="s">
        <v>84</v>
      </c>
    </row>
    <row r="430" spans="1:17" x14ac:dyDescent="0.25">
      <c r="A430" s="247" t="s">
        <v>646</v>
      </c>
      <c r="B430" s="247" t="s">
        <v>25</v>
      </c>
      <c r="C430" s="247" t="s">
        <v>1052</v>
      </c>
      <c r="D430" s="247" t="s">
        <v>926</v>
      </c>
      <c r="E430" s="247" t="s">
        <v>1049</v>
      </c>
      <c r="F430" s="247" t="s">
        <v>1786</v>
      </c>
      <c r="G430" s="247" t="s">
        <v>1066</v>
      </c>
      <c r="H430" s="247"/>
      <c r="I430" s="247" t="s">
        <v>1787</v>
      </c>
      <c r="J430" s="247">
        <v>13</v>
      </c>
      <c r="K430" s="247">
        <v>13</v>
      </c>
      <c r="L430" s="249" t="s">
        <v>650</v>
      </c>
      <c r="M430" s="249" t="s">
        <v>933</v>
      </c>
      <c r="N430" s="248">
        <v>0</v>
      </c>
      <c r="O430" s="248">
        <v>-2860.77</v>
      </c>
      <c r="P430" s="247" t="s">
        <v>1067</v>
      </c>
      <c r="Q430" s="247" t="s">
        <v>85</v>
      </c>
    </row>
    <row r="431" spans="1:17" x14ac:dyDescent="0.25">
      <c r="A431" s="247" t="s">
        <v>646</v>
      </c>
      <c r="B431" s="247" t="s">
        <v>25</v>
      </c>
      <c r="C431" s="247" t="s">
        <v>1052</v>
      </c>
      <c r="D431" s="247" t="s">
        <v>926</v>
      </c>
      <c r="E431" s="247" t="s">
        <v>1049</v>
      </c>
      <c r="F431" s="247" t="s">
        <v>1786</v>
      </c>
      <c r="G431" s="247" t="s">
        <v>1066</v>
      </c>
      <c r="H431" s="247"/>
      <c r="I431" s="247" t="s">
        <v>1787</v>
      </c>
      <c r="J431" s="247">
        <v>13</v>
      </c>
      <c r="K431" s="247">
        <v>13</v>
      </c>
      <c r="L431" s="249" t="s">
        <v>652</v>
      </c>
      <c r="M431" s="249" t="s">
        <v>933</v>
      </c>
      <c r="N431" s="248">
        <v>0</v>
      </c>
      <c r="O431" s="248">
        <v>-2860.77</v>
      </c>
      <c r="P431" s="247" t="s">
        <v>1067</v>
      </c>
      <c r="Q431" s="247" t="s">
        <v>86</v>
      </c>
    </row>
    <row r="432" spans="1:17" x14ac:dyDescent="0.25">
      <c r="A432" s="247" t="s">
        <v>646</v>
      </c>
      <c r="B432" s="247" t="s">
        <v>25</v>
      </c>
      <c r="C432" s="247" t="s">
        <v>1052</v>
      </c>
      <c r="D432" s="247" t="s">
        <v>926</v>
      </c>
      <c r="E432" s="247" t="s">
        <v>1068</v>
      </c>
      <c r="F432" s="247" t="s">
        <v>1788</v>
      </c>
      <c r="G432" s="247" t="s">
        <v>1069</v>
      </c>
      <c r="H432" s="247"/>
      <c r="I432" s="247" t="s">
        <v>1789</v>
      </c>
      <c r="J432" s="247">
        <v>13</v>
      </c>
      <c r="K432" s="247">
        <v>13</v>
      </c>
      <c r="L432" s="249" t="s">
        <v>646</v>
      </c>
      <c r="M432" s="249" t="s">
        <v>933</v>
      </c>
      <c r="N432" s="248">
        <v>-487.51</v>
      </c>
      <c r="O432" s="248">
        <v>-795.93</v>
      </c>
      <c r="P432" s="247" t="s">
        <v>1070</v>
      </c>
      <c r="Q432" s="247" t="s">
        <v>84</v>
      </c>
    </row>
    <row r="433" spans="1:17" x14ac:dyDescent="0.25">
      <c r="A433" s="247" t="s">
        <v>646</v>
      </c>
      <c r="B433" s="247" t="s">
        <v>25</v>
      </c>
      <c r="C433" s="247" t="s">
        <v>1052</v>
      </c>
      <c r="D433" s="247" t="s">
        <v>926</v>
      </c>
      <c r="E433" s="247" t="s">
        <v>1068</v>
      </c>
      <c r="F433" s="247" t="s">
        <v>1788</v>
      </c>
      <c r="G433" s="247" t="s">
        <v>1069</v>
      </c>
      <c r="H433" s="247"/>
      <c r="I433" s="247" t="s">
        <v>1789</v>
      </c>
      <c r="J433" s="247">
        <v>13</v>
      </c>
      <c r="K433" s="247">
        <v>13</v>
      </c>
      <c r="L433" s="249" t="s">
        <v>650</v>
      </c>
      <c r="M433" s="249" t="s">
        <v>933</v>
      </c>
      <c r="N433" s="248">
        <v>-641.44000000000005</v>
      </c>
      <c r="O433" s="248">
        <v>-1437.37</v>
      </c>
      <c r="P433" s="247" t="s">
        <v>1070</v>
      </c>
      <c r="Q433" s="247" t="s">
        <v>85</v>
      </c>
    </row>
    <row r="434" spans="1:17" x14ac:dyDescent="0.25">
      <c r="A434" s="247" t="s">
        <v>646</v>
      </c>
      <c r="B434" s="247" t="s">
        <v>25</v>
      </c>
      <c r="C434" s="247" t="s">
        <v>1052</v>
      </c>
      <c r="D434" s="247" t="s">
        <v>926</v>
      </c>
      <c r="E434" s="247" t="s">
        <v>1068</v>
      </c>
      <c r="F434" s="247" t="s">
        <v>1788</v>
      </c>
      <c r="G434" s="247" t="s">
        <v>1069</v>
      </c>
      <c r="H434" s="247"/>
      <c r="I434" s="247" t="s">
        <v>1789</v>
      </c>
      <c r="J434" s="247">
        <v>13</v>
      </c>
      <c r="K434" s="247">
        <v>13</v>
      </c>
      <c r="L434" s="249" t="s">
        <v>652</v>
      </c>
      <c r="M434" s="249" t="s">
        <v>933</v>
      </c>
      <c r="N434" s="248">
        <v>-168.8</v>
      </c>
      <c r="O434" s="248">
        <v>-1606.17</v>
      </c>
      <c r="P434" s="247" t="s">
        <v>1070</v>
      </c>
      <c r="Q434" s="247" t="s">
        <v>86</v>
      </c>
    </row>
    <row r="435" spans="1:17" x14ac:dyDescent="0.25">
      <c r="A435" s="247" t="s">
        <v>646</v>
      </c>
      <c r="B435" s="247" t="s">
        <v>25</v>
      </c>
      <c r="C435" s="247" t="s">
        <v>1052</v>
      </c>
      <c r="D435" s="247" t="s">
        <v>926</v>
      </c>
      <c r="E435" s="247" t="s">
        <v>1068</v>
      </c>
      <c r="F435" s="247" t="s">
        <v>1788</v>
      </c>
      <c r="G435" s="247" t="s">
        <v>1069</v>
      </c>
      <c r="H435" s="247"/>
      <c r="I435" s="247" t="s">
        <v>1789</v>
      </c>
      <c r="J435" s="247">
        <v>13</v>
      </c>
      <c r="K435" s="247">
        <v>13</v>
      </c>
      <c r="L435" s="249" t="s">
        <v>789</v>
      </c>
      <c r="M435" s="249" t="s">
        <v>929</v>
      </c>
      <c r="N435" s="248">
        <v>-572.21</v>
      </c>
      <c r="O435" s="248">
        <v>-572.21</v>
      </c>
      <c r="P435" s="247" t="s">
        <v>1070</v>
      </c>
      <c r="Q435" s="247" t="s">
        <v>87</v>
      </c>
    </row>
    <row r="436" spans="1:17" x14ac:dyDescent="0.25">
      <c r="A436" s="247" t="s">
        <v>646</v>
      </c>
      <c r="B436" s="247" t="s">
        <v>25</v>
      </c>
      <c r="C436" s="247" t="s">
        <v>1052</v>
      </c>
      <c r="D436" s="247" t="s">
        <v>926</v>
      </c>
      <c r="E436" s="247" t="s">
        <v>1068</v>
      </c>
      <c r="F436" s="247" t="s">
        <v>1788</v>
      </c>
      <c r="G436" s="247" t="s">
        <v>1069</v>
      </c>
      <c r="H436" s="247"/>
      <c r="I436" s="247" t="s">
        <v>1789</v>
      </c>
      <c r="J436" s="247">
        <v>13</v>
      </c>
      <c r="K436" s="247">
        <v>13</v>
      </c>
      <c r="L436" s="249" t="s">
        <v>791</v>
      </c>
      <c r="M436" s="249" t="s">
        <v>929</v>
      </c>
      <c r="N436" s="248">
        <v>-276.37</v>
      </c>
      <c r="O436" s="248">
        <v>-848.58</v>
      </c>
      <c r="P436" s="247" t="s">
        <v>1070</v>
      </c>
      <c r="Q436" s="247" t="s">
        <v>88</v>
      </c>
    </row>
    <row r="437" spans="1:17" x14ac:dyDescent="0.25">
      <c r="A437" s="247" t="s">
        <v>646</v>
      </c>
      <c r="B437" s="247" t="s">
        <v>25</v>
      </c>
      <c r="C437" s="247" t="s">
        <v>1052</v>
      </c>
      <c r="D437" s="247" t="s">
        <v>926</v>
      </c>
      <c r="E437" s="247" t="s">
        <v>1068</v>
      </c>
      <c r="F437" s="247" t="s">
        <v>1788</v>
      </c>
      <c r="G437" s="247" t="s">
        <v>1069</v>
      </c>
      <c r="H437" s="247"/>
      <c r="I437" s="247" t="s">
        <v>1789</v>
      </c>
      <c r="J437" s="247">
        <v>13</v>
      </c>
      <c r="K437" s="247">
        <v>13</v>
      </c>
      <c r="L437" s="249" t="s">
        <v>935</v>
      </c>
      <c r="M437" s="249" t="s">
        <v>929</v>
      </c>
      <c r="N437" s="248">
        <v>-223.15</v>
      </c>
      <c r="O437" s="248">
        <v>-1071.73</v>
      </c>
      <c r="P437" s="247" t="s">
        <v>1070</v>
      </c>
      <c r="Q437" s="247" t="s">
        <v>89</v>
      </c>
    </row>
    <row r="438" spans="1:17" x14ac:dyDescent="0.25">
      <c r="A438" s="247" t="s">
        <v>646</v>
      </c>
      <c r="B438" s="247" t="s">
        <v>25</v>
      </c>
      <c r="C438" s="247" t="s">
        <v>1052</v>
      </c>
      <c r="D438" s="247" t="s">
        <v>926</v>
      </c>
      <c r="E438" s="247" t="s">
        <v>1068</v>
      </c>
      <c r="F438" s="247" t="s">
        <v>1788</v>
      </c>
      <c r="G438" s="247" t="s">
        <v>1069</v>
      </c>
      <c r="H438" s="247"/>
      <c r="I438" s="247" t="s">
        <v>1789</v>
      </c>
      <c r="J438" s="247">
        <v>13</v>
      </c>
      <c r="K438" s="247">
        <v>13</v>
      </c>
      <c r="L438" s="249" t="s">
        <v>936</v>
      </c>
      <c r="M438" s="249" t="s">
        <v>929</v>
      </c>
      <c r="N438" s="248">
        <v>-813.67</v>
      </c>
      <c r="O438" s="248">
        <v>-1885.4</v>
      </c>
      <c r="P438" s="247" t="s">
        <v>1070</v>
      </c>
      <c r="Q438" s="247" t="s">
        <v>90</v>
      </c>
    </row>
    <row r="439" spans="1:17" x14ac:dyDescent="0.25">
      <c r="A439" s="247" t="s">
        <v>646</v>
      </c>
      <c r="B439" s="247" t="s">
        <v>25</v>
      </c>
      <c r="C439" s="247" t="s">
        <v>1052</v>
      </c>
      <c r="D439" s="247" t="s">
        <v>926</v>
      </c>
      <c r="E439" s="247" t="s">
        <v>1068</v>
      </c>
      <c r="F439" s="247" t="s">
        <v>1788</v>
      </c>
      <c r="G439" s="247" t="s">
        <v>1069</v>
      </c>
      <c r="H439" s="247"/>
      <c r="I439" s="247" t="s">
        <v>1789</v>
      </c>
      <c r="J439" s="247">
        <v>13</v>
      </c>
      <c r="K439" s="247">
        <v>13</v>
      </c>
      <c r="L439" s="249" t="s">
        <v>937</v>
      </c>
      <c r="M439" s="249" t="s">
        <v>929</v>
      </c>
      <c r="N439" s="248">
        <v>-266.64</v>
      </c>
      <c r="O439" s="248">
        <v>-2152.04</v>
      </c>
      <c r="P439" s="247" t="s">
        <v>1070</v>
      </c>
      <c r="Q439" s="247" t="s">
        <v>91</v>
      </c>
    </row>
    <row r="440" spans="1:17" x14ac:dyDescent="0.25">
      <c r="A440" s="247" t="s">
        <v>646</v>
      </c>
      <c r="B440" s="247" t="s">
        <v>25</v>
      </c>
      <c r="C440" s="247" t="s">
        <v>1052</v>
      </c>
      <c r="D440" s="247" t="s">
        <v>926</v>
      </c>
      <c r="E440" s="247" t="s">
        <v>1068</v>
      </c>
      <c r="F440" s="247" t="s">
        <v>1788</v>
      </c>
      <c r="G440" s="247" t="s">
        <v>1069</v>
      </c>
      <c r="H440" s="247"/>
      <c r="I440" s="247" t="s">
        <v>1789</v>
      </c>
      <c r="J440" s="247">
        <v>13</v>
      </c>
      <c r="K440" s="247">
        <v>13</v>
      </c>
      <c r="L440" s="249" t="s">
        <v>938</v>
      </c>
      <c r="M440" s="249" t="s">
        <v>929</v>
      </c>
      <c r="N440" s="248">
        <v>-272.94</v>
      </c>
      <c r="O440" s="248">
        <v>-2424.98</v>
      </c>
      <c r="P440" s="247" t="s">
        <v>1070</v>
      </c>
      <c r="Q440" s="247" t="s">
        <v>92</v>
      </c>
    </row>
    <row r="441" spans="1:17" x14ac:dyDescent="0.25">
      <c r="A441" s="247" t="s">
        <v>646</v>
      </c>
      <c r="B441" s="247" t="s">
        <v>25</v>
      </c>
      <c r="C441" s="247" t="s">
        <v>1052</v>
      </c>
      <c r="D441" s="247" t="s">
        <v>926</v>
      </c>
      <c r="E441" s="247" t="s">
        <v>1068</v>
      </c>
      <c r="F441" s="247" t="s">
        <v>1788</v>
      </c>
      <c r="G441" s="247" t="s">
        <v>1069</v>
      </c>
      <c r="H441" s="247"/>
      <c r="I441" s="247" t="s">
        <v>1789</v>
      </c>
      <c r="J441" s="247">
        <v>13</v>
      </c>
      <c r="K441" s="247">
        <v>13</v>
      </c>
      <c r="L441" s="249" t="s">
        <v>939</v>
      </c>
      <c r="M441" s="249" t="s">
        <v>929</v>
      </c>
      <c r="N441" s="248">
        <v>-240.7</v>
      </c>
      <c r="O441" s="248">
        <v>-2665.68</v>
      </c>
      <c r="P441" s="247" t="s">
        <v>1070</v>
      </c>
      <c r="Q441" s="247" t="s">
        <v>93</v>
      </c>
    </row>
    <row r="442" spans="1:17" x14ac:dyDescent="0.25">
      <c r="A442" s="247" t="s">
        <v>646</v>
      </c>
      <c r="B442" s="247" t="s">
        <v>25</v>
      </c>
      <c r="C442" s="247" t="s">
        <v>1052</v>
      </c>
      <c r="D442" s="247" t="s">
        <v>926</v>
      </c>
      <c r="E442" s="247" t="s">
        <v>1068</v>
      </c>
      <c r="F442" s="247" t="s">
        <v>1788</v>
      </c>
      <c r="G442" s="247" t="s">
        <v>1069</v>
      </c>
      <c r="H442" s="247"/>
      <c r="I442" s="247" t="s">
        <v>1789</v>
      </c>
      <c r="J442" s="247">
        <v>13</v>
      </c>
      <c r="K442" s="247">
        <v>13</v>
      </c>
      <c r="L442" s="249" t="s">
        <v>940</v>
      </c>
      <c r="M442" s="249" t="s">
        <v>929</v>
      </c>
      <c r="N442" s="248">
        <v>-227.57</v>
      </c>
      <c r="O442" s="248">
        <v>-2893.25</v>
      </c>
      <c r="P442" s="247" t="s">
        <v>1070</v>
      </c>
      <c r="Q442" s="247" t="s">
        <v>94</v>
      </c>
    </row>
    <row r="443" spans="1:17" x14ac:dyDescent="0.25">
      <c r="A443" s="247" t="s">
        <v>646</v>
      </c>
      <c r="B443" s="247" t="s">
        <v>25</v>
      </c>
      <c r="C443" s="247" t="s">
        <v>1052</v>
      </c>
      <c r="D443" s="247" t="s">
        <v>926</v>
      </c>
      <c r="E443" s="247" t="s">
        <v>1068</v>
      </c>
      <c r="F443" s="247" t="s">
        <v>1788</v>
      </c>
      <c r="G443" s="247" t="s">
        <v>1069</v>
      </c>
      <c r="H443" s="247"/>
      <c r="I443" s="247" t="s">
        <v>1789</v>
      </c>
      <c r="J443" s="247">
        <v>13</v>
      </c>
      <c r="K443" s="247">
        <v>13</v>
      </c>
      <c r="L443" s="249" t="s">
        <v>642</v>
      </c>
      <c r="M443" s="249" t="s">
        <v>929</v>
      </c>
      <c r="N443" s="248">
        <v>-121.83</v>
      </c>
      <c r="O443" s="248">
        <v>-3015.08</v>
      </c>
      <c r="P443" s="247" t="s">
        <v>1070</v>
      </c>
      <c r="Q443" s="247" t="s">
        <v>95</v>
      </c>
    </row>
    <row r="444" spans="1:17" x14ac:dyDescent="0.25">
      <c r="A444" s="247" t="s">
        <v>646</v>
      </c>
      <c r="B444" s="247" t="s">
        <v>25</v>
      </c>
      <c r="C444" s="247" t="s">
        <v>1071</v>
      </c>
      <c r="D444" s="247" t="s">
        <v>926</v>
      </c>
      <c r="E444" s="247" t="s">
        <v>711</v>
      </c>
      <c r="F444" s="247" t="s">
        <v>1790</v>
      </c>
      <c r="G444" s="247" t="s">
        <v>1072</v>
      </c>
      <c r="H444" s="247"/>
      <c r="I444" s="247" t="s">
        <v>1791</v>
      </c>
      <c r="J444" s="247">
        <v>12</v>
      </c>
      <c r="K444" s="247">
        <v>12</v>
      </c>
      <c r="L444" s="249" t="s">
        <v>646</v>
      </c>
      <c r="M444" s="249" t="s">
        <v>933</v>
      </c>
      <c r="N444" s="248">
        <v>0</v>
      </c>
      <c r="O444" s="248">
        <v>-9481.82</v>
      </c>
      <c r="P444" s="247" t="s">
        <v>1073</v>
      </c>
      <c r="Q444" s="247" t="s">
        <v>84</v>
      </c>
    </row>
    <row r="445" spans="1:17" x14ac:dyDescent="0.25">
      <c r="A445" s="247" t="s">
        <v>646</v>
      </c>
      <c r="B445" s="247" t="s">
        <v>25</v>
      </c>
      <c r="C445" s="247" t="s">
        <v>1071</v>
      </c>
      <c r="D445" s="247" t="s">
        <v>926</v>
      </c>
      <c r="E445" s="247" t="s">
        <v>711</v>
      </c>
      <c r="F445" s="247" t="s">
        <v>1790</v>
      </c>
      <c r="G445" s="247" t="s">
        <v>1072</v>
      </c>
      <c r="H445" s="247"/>
      <c r="I445" s="247" t="s">
        <v>1791</v>
      </c>
      <c r="J445" s="247">
        <v>12</v>
      </c>
      <c r="K445" s="247">
        <v>12</v>
      </c>
      <c r="L445" s="249" t="s">
        <v>650</v>
      </c>
      <c r="M445" s="249" t="s">
        <v>933</v>
      </c>
      <c r="N445" s="248">
        <v>0</v>
      </c>
      <c r="O445" s="248">
        <v>-9481.82</v>
      </c>
      <c r="P445" s="247" t="s">
        <v>1073</v>
      </c>
      <c r="Q445" s="247" t="s">
        <v>85</v>
      </c>
    </row>
    <row r="446" spans="1:17" x14ac:dyDescent="0.25">
      <c r="A446" s="247" t="s">
        <v>646</v>
      </c>
      <c r="B446" s="247" t="s">
        <v>25</v>
      </c>
      <c r="C446" s="247" t="s">
        <v>1071</v>
      </c>
      <c r="D446" s="247" t="s">
        <v>926</v>
      </c>
      <c r="E446" s="247" t="s">
        <v>711</v>
      </c>
      <c r="F446" s="247" t="s">
        <v>1790</v>
      </c>
      <c r="G446" s="247" t="s">
        <v>1072</v>
      </c>
      <c r="H446" s="247"/>
      <c r="I446" s="247" t="s">
        <v>1791</v>
      </c>
      <c r="J446" s="247">
        <v>12</v>
      </c>
      <c r="K446" s="247">
        <v>12</v>
      </c>
      <c r="L446" s="249" t="s">
        <v>652</v>
      </c>
      <c r="M446" s="249" t="s">
        <v>933</v>
      </c>
      <c r="N446" s="248">
        <v>0</v>
      </c>
      <c r="O446" s="248">
        <v>-9481.82</v>
      </c>
      <c r="P446" s="247" t="s">
        <v>1073</v>
      </c>
      <c r="Q446" s="247" t="s">
        <v>86</v>
      </c>
    </row>
    <row r="447" spans="1:17" x14ac:dyDescent="0.25">
      <c r="A447" s="247" t="s">
        <v>646</v>
      </c>
      <c r="B447" s="247" t="s">
        <v>25</v>
      </c>
      <c r="C447" s="247" t="s">
        <v>1071</v>
      </c>
      <c r="D447" s="247" t="s">
        <v>926</v>
      </c>
      <c r="E447" s="247" t="s">
        <v>739</v>
      </c>
      <c r="F447" s="247" t="s">
        <v>1792</v>
      </c>
      <c r="G447" s="247" t="s">
        <v>1074</v>
      </c>
      <c r="H447" s="247"/>
      <c r="I447" s="247" t="s">
        <v>1793</v>
      </c>
      <c r="J447" s="247">
        <v>12</v>
      </c>
      <c r="K447" s="247">
        <v>12</v>
      </c>
      <c r="L447" s="249" t="s">
        <v>646</v>
      </c>
      <c r="M447" s="249" t="s">
        <v>933</v>
      </c>
      <c r="N447" s="248">
        <v>-1402.52</v>
      </c>
      <c r="O447" s="248">
        <v>-2220.0500000000002</v>
      </c>
      <c r="P447" s="247" t="s">
        <v>1075</v>
      </c>
      <c r="Q447" s="247" t="s">
        <v>84</v>
      </c>
    </row>
    <row r="448" spans="1:17" x14ac:dyDescent="0.25">
      <c r="A448" s="247" t="s">
        <v>646</v>
      </c>
      <c r="B448" s="247" t="s">
        <v>25</v>
      </c>
      <c r="C448" s="247" t="s">
        <v>1071</v>
      </c>
      <c r="D448" s="247" t="s">
        <v>926</v>
      </c>
      <c r="E448" s="247" t="s">
        <v>739</v>
      </c>
      <c r="F448" s="247" t="s">
        <v>1792</v>
      </c>
      <c r="G448" s="247" t="s">
        <v>1074</v>
      </c>
      <c r="H448" s="247"/>
      <c r="I448" s="247" t="s">
        <v>1793</v>
      </c>
      <c r="J448" s="247">
        <v>12</v>
      </c>
      <c r="K448" s="247">
        <v>12</v>
      </c>
      <c r="L448" s="249" t="s">
        <v>650</v>
      </c>
      <c r="M448" s="249" t="s">
        <v>933</v>
      </c>
      <c r="N448" s="248">
        <v>-785.05</v>
      </c>
      <c r="O448" s="248">
        <v>-3005.1</v>
      </c>
      <c r="P448" s="247" t="s">
        <v>1075</v>
      </c>
      <c r="Q448" s="247" t="s">
        <v>85</v>
      </c>
    </row>
    <row r="449" spans="1:17" x14ac:dyDescent="0.25">
      <c r="A449" s="247" t="s">
        <v>646</v>
      </c>
      <c r="B449" s="247" t="s">
        <v>25</v>
      </c>
      <c r="C449" s="247" t="s">
        <v>1071</v>
      </c>
      <c r="D449" s="247" t="s">
        <v>926</v>
      </c>
      <c r="E449" s="247" t="s">
        <v>739</v>
      </c>
      <c r="F449" s="247" t="s">
        <v>1792</v>
      </c>
      <c r="G449" s="247" t="s">
        <v>1074</v>
      </c>
      <c r="H449" s="247"/>
      <c r="I449" s="247" t="s">
        <v>1793</v>
      </c>
      <c r="J449" s="247">
        <v>12</v>
      </c>
      <c r="K449" s="247">
        <v>12</v>
      </c>
      <c r="L449" s="249" t="s">
        <v>652</v>
      </c>
      <c r="M449" s="249" t="s">
        <v>933</v>
      </c>
      <c r="N449" s="248">
        <v>-1460.43</v>
      </c>
      <c r="O449" s="248">
        <v>-4465.53</v>
      </c>
      <c r="P449" s="247" t="s">
        <v>1075</v>
      </c>
      <c r="Q449" s="247" t="s">
        <v>86</v>
      </c>
    </row>
    <row r="450" spans="1:17" x14ac:dyDescent="0.25">
      <c r="A450" s="247" t="s">
        <v>646</v>
      </c>
      <c r="B450" s="247" t="s">
        <v>25</v>
      </c>
      <c r="C450" s="247" t="s">
        <v>1071</v>
      </c>
      <c r="D450" s="247" t="s">
        <v>926</v>
      </c>
      <c r="E450" s="247" t="s">
        <v>739</v>
      </c>
      <c r="F450" s="247" t="s">
        <v>1792</v>
      </c>
      <c r="G450" s="247" t="s">
        <v>1074</v>
      </c>
      <c r="H450" s="247"/>
      <c r="I450" s="247" t="s">
        <v>1793</v>
      </c>
      <c r="J450" s="247">
        <v>12</v>
      </c>
      <c r="K450" s="247">
        <v>12</v>
      </c>
      <c r="L450" s="249" t="s">
        <v>789</v>
      </c>
      <c r="M450" s="249" t="s">
        <v>929</v>
      </c>
      <c r="N450" s="248">
        <v>-794.11</v>
      </c>
      <c r="O450" s="248">
        <v>-794.11</v>
      </c>
      <c r="P450" s="247" t="s">
        <v>1075</v>
      </c>
      <c r="Q450" s="247" t="s">
        <v>87</v>
      </c>
    </row>
    <row r="451" spans="1:17" x14ac:dyDescent="0.25">
      <c r="A451" s="247" t="s">
        <v>646</v>
      </c>
      <c r="B451" s="247" t="s">
        <v>25</v>
      </c>
      <c r="C451" s="247" t="s">
        <v>1071</v>
      </c>
      <c r="D451" s="247" t="s">
        <v>926</v>
      </c>
      <c r="E451" s="247" t="s">
        <v>739</v>
      </c>
      <c r="F451" s="247" t="s">
        <v>1792</v>
      </c>
      <c r="G451" s="247" t="s">
        <v>1074</v>
      </c>
      <c r="H451" s="247"/>
      <c r="I451" s="247" t="s">
        <v>1793</v>
      </c>
      <c r="J451" s="247">
        <v>12</v>
      </c>
      <c r="K451" s="247">
        <v>12</v>
      </c>
      <c r="L451" s="249" t="s">
        <v>791</v>
      </c>
      <c r="M451" s="249" t="s">
        <v>929</v>
      </c>
      <c r="N451" s="248">
        <v>-1349.04</v>
      </c>
      <c r="O451" s="248">
        <v>-2143.15</v>
      </c>
      <c r="P451" s="247" t="s">
        <v>1075</v>
      </c>
      <c r="Q451" s="247" t="s">
        <v>88</v>
      </c>
    </row>
    <row r="452" spans="1:17" x14ac:dyDescent="0.25">
      <c r="A452" s="247" t="s">
        <v>646</v>
      </c>
      <c r="B452" s="247" t="s">
        <v>25</v>
      </c>
      <c r="C452" s="247" t="s">
        <v>1071</v>
      </c>
      <c r="D452" s="247" t="s">
        <v>926</v>
      </c>
      <c r="E452" s="247" t="s">
        <v>739</v>
      </c>
      <c r="F452" s="247" t="s">
        <v>1792</v>
      </c>
      <c r="G452" s="247" t="s">
        <v>1074</v>
      </c>
      <c r="H452" s="247"/>
      <c r="I452" s="247" t="s">
        <v>1793</v>
      </c>
      <c r="J452" s="247">
        <v>12</v>
      </c>
      <c r="K452" s="247">
        <v>12</v>
      </c>
      <c r="L452" s="249" t="s">
        <v>935</v>
      </c>
      <c r="M452" s="249" t="s">
        <v>929</v>
      </c>
      <c r="N452" s="248">
        <v>-784.14</v>
      </c>
      <c r="O452" s="248">
        <v>-2927.29</v>
      </c>
      <c r="P452" s="247" t="s">
        <v>1075</v>
      </c>
      <c r="Q452" s="247" t="s">
        <v>89</v>
      </c>
    </row>
    <row r="453" spans="1:17" x14ac:dyDescent="0.25">
      <c r="A453" s="247" t="s">
        <v>646</v>
      </c>
      <c r="B453" s="247" t="s">
        <v>25</v>
      </c>
      <c r="C453" s="247" t="s">
        <v>1071</v>
      </c>
      <c r="D453" s="247" t="s">
        <v>926</v>
      </c>
      <c r="E453" s="247" t="s">
        <v>739</v>
      </c>
      <c r="F453" s="247" t="s">
        <v>1792</v>
      </c>
      <c r="G453" s="247" t="s">
        <v>1074</v>
      </c>
      <c r="H453" s="247"/>
      <c r="I453" s="247" t="s">
        <v>1793</v>
      </c>
      <c r="J453" s="247">
        <v>12</v>
      </c>
      <c r="K453" s="247">
        <v>12</v>
      </c>
      <c r="L453" s="249" t="s">
        <v>936</v>
      </c>
      <c r="M453" s="249" t="s">
        <v>929</v>
      </c>
      <c r="N453" s="248">
        <v>-1368.85</v>
      </c>
      <c r="O453" s="248">
        <v>-4296.1400000000003</v>
      </c>
      <c r="P453" s="247" t="s">
        <v>1075</v>
      </c>
      <c r="Q453" s="247" t="s">
        <v>90</v>
      </c>
    </row>
    <row r="454" spans="1:17" x14ac:dyDescent="0.25">
      <c r="A454" s="247" t="s">
        <v>646</v>
      </c>
      <c r="B454" s="247" t="s">
        <v>25</v>
      </c>
      <c r="C454" s="247" t="s">
        <v>1071</v>
      </c>
      <c r="D454" s="247" t="s">
        <v>926</v>
      </c>
      <c r="E454" s="247" t="s">
        <v>739</v>
      </c>
      <c r="F454" s="247" t="s">
        <v>1792</v>
      </c>
      <c r="G454" s="247" t="s">
        <v>1074</v>
      </c>
      <c r="H454" s="247"/>
      <c r="I454" s="247" t="s">
        <v>1793</v>
      </c>
      <c r="J454" s="247">
        <v>12</v>
      </c>
      <c r="K454" s="247">
        <v>12</v>
      </c>
      <c r="L454" s="249" t="s">
        <v>937</v>
      </c>
      <c r="M454" s="249" t="s">
        <v>929</v>
      </c>
      <c r="N454" s="248">
        <v>-787.85</v>
      </c>
      <c r="O454" s="248">
        <v>-5083.99</v>
      </c>
      <c r="P454" s="247" t="s">
        <v>1075</v>
      </c>
      <c r="Q454" s="247" t="s">
        <v>91</v>
      </c>
    </row>
    <row r="455" spans="1:17" x14ac:dyDescent="0.25">
      <c r="A455" s="247" t="s">
        <v>646</v>
      </c>
      <c r="B455" s="247" t="s">
        <v>25</v>
      </c>
      <c r="C455" s="247" t="s">
        <v>1071</v>
      </c>
      <c r="D455" s="247" t="s">
        <v>926</v>
      </c>
      <c r="E455" s="247" t="s">
        <v>739</v>
      </c>
      <c r="F455" s="247" t="s">
        <v>1792</v>
      </c>
      <c r="G455" s="247" t="s">
        <v>1074</v>
      </c>
      <c r="H455" s="247"/>
      <c r="I455" s="247" t="s">
        <v>1793</v>
      </c>
      <c r="J455" s="247">
        <v>12</v>
      </c>
      <c r="K455" s="247">
        <v>12</v>
      </c>
      <c r="L455" s="249" t="s">
        <v>938</v>
      </c>
      <c r="M455" s="249" t="s">
        <v>929</v>
      </c>
      <c r="N455" s="248">
        <v>-1403.03</v>
      </c>
      <c r="O455" s="248">
        <v>-6487.02</v>
      </c>
      <c r="P455" s="247" t="s">
        <v>1075</v>
      </c>
      <c r="Q455" s="247" t="s">
        <v>92</v>
      </c>
    </row>
    <row r="456" spans="1:17" x14ac:dyDescent="0.25">
      <c r="A456" s="247" t="s">
        <v>646</v>
      </c>
      <c r="B456" s="247" t="s">
        <v>25</v>
      </c>
      <c r="C456" s="247" t="s">
        <v>1071</v>
      </c>
      <c r="D456" s="247" t="s">
        <v>926</v>
      </c>
      <c r="E456" s="247" t="s">
        <v>739</v>
      </c>
      <c r="F456" s="247" t="s">
        <v>1792</v>
      </c>
      <c r="G456" s="247" t="s">
        <v>1074</v>
      </c>
      <c r="H456" s="247"/>
      <c r="I456" s="247" t="s">
        <v>1793</v>
      </c>
      <c r="J456" s="247">
        <v>12</v>
      </c>
      <c r="K456" s="247">
        <v>12</v>
      </c>
      <c r="L456" s="249" t="s">
        <v>939</v>
      </c>
      <c r="M456" s="249" t="s">
        <v>929</v>
      </c>
      <c r="N456" s="248">
        <v>-763.45</v>
      </c>
      <c r="O456" s="248">
        <v>-7250.47</v>
      </c>
      <c r="P456" s="247" t="s">
        <v>1075</v>
      </c>
      <c r="Q456" s="247" t="s">
        <v>93</v>
      </c>
    </row>
    <row r="457" spans="1:17" x14ac:dyDescent="0.25">
      <c r="A457" s="247" t="s">
        <v>646</v>
      </c>
      <c r="B457" s="247" t="s">
        <v>25</v>
      </c>
      <c r="C457" s="247" t="s">
        <v>1071</v>
      </c>
      <c r="D457" s="247" t="s">
        <v>926</v>
      </c>
      <c r="E457" s="247" t="s">
        <v>739</v>
      </c>
      <c r="F457" s="247" t="s">
        <v>1792</v>
      </c>
      <c r="G457" s="247" t="s">
        <v>1074</v>
      </c>
      <c r="H457" s="247"/>
      <c r="I457" s="247" t="s">
        <v>1793</v>
      </c>
      <c r="J457" s="247">
        <v>12</v>
      </c>
      <c r="K457" s="247">
        <v>12</v>
      </c>
      <c r="L457" s="249" t="s">
        <v>940</v>
      </c>
      <c r="M457" s="249" t="s">
        <v>929</v>
      </c>
      <c r="N457" s="248">
        <v>-1300.74</v>
      </c>
      <c r="O457" s="248">
        <v>-8551.2099999999991</v>
      </c>
      <c r="P457" s="247" t="s">
        <v>1075</v>
      </c>
      <c r="Q457" s="247" t="s">
        <v>94</v>
      </c>
    </row>
    <row r="458" spans="1:17" x14ac:dyDescent="0.25">
      <c r="A458" s="247" t="s">
        <v>646</v>
      </c>
      <c r="B458" s="247" t="s">
        <v>25</v>
      </c>
      <c r="C458" s="247" t="s">
        <v>1071</v>
      </c>
      <c r="D458" s="247" t="s">
        <v>926</v>
      </c>
      <c r="E458" s="247" t="s">
        <v>739</v>
      </c>
      <c r="F458" s="247" t="s">
        <v>1792</v>
      </c>
      <c r="G458" s="247" t="s">
        <v>1074</v>
      </c>
      <c r="H458" s="247"/>
      <c r="I458" s="247" t="s">
        <v>1793</v>
      </c>
      <c r="J458" s="247">
        <v>12</v>
      </c>
      <c r="K458" s="247">
        <v>12</v>
      </c>
      <c r="L458" s="249" t="s">
        <v>642</v>
      </c>
      <c r="M458" s="249" t="s">
        <v>929</v>
      </c>
      <c r="N458" s="248">
        <v>-721.66</v>
      </c>
      <c r="O458" s="248">
        <v>-9272.8700000000008</v>
      </c>
      <c r="P458" s="247" t="s">
        <v>1075</v>
      </c>
      <c r="Q458" s="247" t="s">
        <v>95</v>
      </c>
    </row>
    <row r="459" spans="1:17" x14ac:dyDescent="0.25">
      <c r="A459" s="247" t="s">
        <v>646</v>
      </c>
      <c r="B459" s="247" t="s">
        <v>25</v>
      </c>
      <c r="C459" s="247" t="s">
        <v>1071</v>
      </c>
      <c r="D459" s="247" t="s">
        <v>926</v>
      </c>
      <c r="E459" s="247" t="s">
        <v>569</v>
      </c>
      <c r="F459" s="247" t="s">
        <v>1794</v>
      </c>
      <c r="G459" s="247" t="s">
        <v>1076</v>
      </c>
      <c r="H459" s="247"/>
      <c r="I459" s="247" t="s">
        <v>1795</v>
      </c>
      <c r="J459" s="247">
        <v>12</v>
      </c>
      <c r="K459" s="247">
        <v>12</v>
      </c>
      <c r="L459" s="249" t="s">
        <v>646</v>
      </c>
      <c r="M459" s="249" t="s">
        <v>933</v>
      </c>
      <c r="N459" s="248">
        <v>0</v>
      </c>
      <c r="O459" s="248">
        <v>-2517.77</v>
      </c>
      <c r="P459" s="247" t="s">
        <v>1077</v>
      </c>
      <c r="Q459" s="247" t="s">
        <v>84</v>
      </c>
    </row>
    <row r="460" spans="1:17" x14ac:dyDescent="0.25">
      <c r="A460" s="247" t="s">
        <v>646</v>
      </c>
      <c r="B460" s="247" t="s">
        <v>25</v>
      </c>
      <c r="C460" s="247" t="s">
        <v>1071</v>
      </c>
      <c r="D460" s="247" t="s">
        <v>926</v>
      </c>
      <c r="E460" s="247" t="s">
        <v>569</v>
      </c>
      <c r="F460" s="247" t="s">
        <v>1794</v>
      </c>
      <c r="G460" s="247" t="s">
        <v>1076</v>
      </c>
      <c r="H460" s="247"/>
      <c r="I460" s="247" t="s">
        <v>1795</v>
      </c>
      <c r="J460" s="247">
        <v>12</v>
      </c>
      <c r="K460" s="247">
        <v>12</v>
      </c>
      <c r="L460" s="249" t="s">
        <v>650</v>
      </c>
      <c r="M460" s="249" t="s">
        <v>933</v>
      </c>
      <c r="N460" s="248">
        <v>0</v>
      </c>
      <c r="O460" s="248">
        <v>-2517.77</v>
      </c>
      <c r="P460" s="247" t="s">
        <v>1077</v>
      </c>
      <c r="Q460" s="247" t="s">
        <v>85</v>
      </c>
    </row>
    <row r="461" spans="1:17" x14ac:dyDescent="0.25">
      <c r="A461" s="247" t="s">
        <v>646</v>
      </c>
      <c r="B461" s="247" t="s">
        <v>25</v>
      </c>
      <c r="C461" s="247" t="s">
        <v>1071</v>
      </c>
      <c r="D461" s="247" t="s">
        <v>926</v>
      </c>
      <c r="E461" s="247" t="s">
        <v>569</v>
      </c>
      <c r="F461" s="247" t="s">
        <v>1794</v>
      </c>
      <c r="G461" s="247" t="s">
        <v>1076</v>
      </c>
      <c r="H461" s="247"/>
      <c r="I461" s="247" t="s">
        <v>1795</v>
      </c>
      <c r="J461" s="247">
        <v>12</v>
      </c>
      <c r="K461" s="247">
        <v>12</v>
      </c>
      <c r="L461" s="249" t="s">
        <v>652</v>
      </c>
      <c r="M461" s="249" t="s">
        <v>933</v>
      </c>
      <c r="N461" s="248">
        <v>0</v>
      </c>
      <c r="O461" s="248">
        <v>-2517.77</v>
      </c>
      <c r="P461" s="247" t="s">
        <v>1077</v>
      </c>
      <c r="Q461" s="247" t="s">
        <v>86</v>
      </c>
    </row>
    <row r="462" spans="1:17" x14ac:dyDescent="0.25">
      <c r="A462" s="247" t="s">
        <v>646</v>
      </c>
      <c r="B462" s="247" t="s">
        <v>25</v>
      </c>
      <c r="C462" s="247" t="s">
        <v>1071</v>
      </c>
      <c r="D462" s="247" t="s">
        <v>926</v>
      </c>
      <c r="E462" s="247" t="s">
        <v>464</v>
      </c>
      <c r="F462" s="247" t="s">
        <v>1796</v>
      </c>
      <c r="G462" s="247" t="s">
        <v>1078</v>
      </c>
      <c r="H462" s="247"/>
      <c r="I462" s="247" t="s">
        <v>1797</v>
      </c>
      <c r="J462" s="247">
        <v>12</v>
      </c>
      <c r="K462" s="247">
        <v>12</v>
      </c>
      <c r="L462" s="249" t="s">
        <v>646</v>
      </c>
      <c r="M462" s="249" t="s">
        <v>933</v>
      </c>
      <c r="N462" s="248">
        <v>-414.23</v>
      </c>
      <c r="O462" s="248">
        <v>-828.46</v>
      </c>
      <c r="P462" s="247" t="s">
        <v>1079</v>
      </c>
      <c r="Q462" s="247" t="s">
        <v>84</v>
      </c>
    </row>
    <row r="463" spans="1:17" x14ac:dyDescent="0.25">
      <c r="A463" s="247" t="s">
        <v>646</v>
      </c>
      <c r="B463" s="247" t="s">
        <v>25</v>
      </c>
      <c r="C463" s="247" t="s">
        <v>1071</v>
      </c>
      <c r="D463" s="247" t="s">
        <v>926</v>
      </c>
      <c r="E463" s="247" t="s">
        <v>464</v>
      </c>
      <c r="F463" s="247" t="s">
        <v>1796</v>
      </c>
      <c r="G463" s="247" t="s">
        <v>1078</v>
      </c>
      <c r="H463" s="247"/>
      <c r="I463" s="247" t="s">
        <v>1797</v>
      </c>
      <c r="J463" s="247">
        <v>12</v>
      </c>
      <c r="K463" s="247">
        <v>12</v>
      </c>
      <c r="L463" s="249" t="s">
        <v>650</v>
      </c>
      <c r="M463" s="249" t="s">
        <v>933</v>
      </c>
      <c r="N463" s="248">
        <v>-414.23</v>
      </c>
      <c r="O463" s="248">
        <v>-1242.69</v>
      </c>
      <c r="P463" s="247" t="s">
        <v>1079</v>
      </c>
      <c r="Q463" s="247" t="s">
        <v>85</v>
      </c>
    </row>
    <row r="464" spans="1:17" x14ac:dyDescent="0.25">
      <c r="A464" s="247" t="s">
        <v>646</v>
      </c>
      <c r="B464" s="247" t="s">
        <v>25</v>
      </c>
      <c r="C464" s="247" t="s">
        <v>1071</v>
      </c>
      <c r="D464" s="247" t="s">
        <v>926</v>
      </c>
      <c r="E464" s="247" t="s">
        <v>464</v>
      </c>
      <c r="F464" s="247" t="s">
        <v>1796</v>
      </c>
      <c r="G464" s="247" t="s">
        <v>1078</v>
      </c>
      <c r="H464" s="247"/>
      <c r="I464" s="247" t="s">
        <v>1797</v>
      </c>
      <c r="J464" s="247">
        <v>12</v>
      </c>
      <c r="K464" s="247">
        <v>12</v>
      </c>
      <c r="L464" s="249" t="s">
        <v>652</v>
      </c>
      <c r="M464" s="249" t="s">
        <v>933</v>
      </c>
      <c r="N464" s="248">
        <v>-414.23</v>
      </c>
      <c r="O464" s="248">
        <v>-1656.92</v>
      </c>
      <c r="P464" s="247" t="s">
        <v>1079</v>
      </c>
      <c r="Q464" s="247" t="s">
        <v>86</v>
      </c>
    </row>
    <row r="465" spans="1:17" x14ac:dyDescent="0.25">
      <c r="A465" s="247" t="s">
        <v>646</v>
      </c>
      <c r="B465" s="247" t="s">
        <v>25</v>
      </c>
      <c r="C465" s="247" t="s">
        <v>1071</v>
      </c>
      <c r="D465" s="247" t="s">
        <v>926</v>
      </c>
      <c r="E465" s="247" t="s">
        <v>464</v>
      </c>
      <c r="F465" s="247" t="s">
        <v>1796</v>
      </c>
      <c r="G465" s="247" t="s">
        <v>1078</v>
      </c>
      <c r="H465" s="247"/>
      <c r="I465" s="247" t="s">
        <v>1797</v>
      </c>
      <c r="J465" s="247">
        <v>12</v>
      </c>
      <c r="K465" s="247">
        <v>12</v>
      </c>
      <c r="L465" s="249" t="s">
        <v>789</v>
      </c>
      <c r="M465" s="249" t="s">
        <v>929</v>
      </c>
      <c r="N465" s="248">
        <v>-414.23</v>
      </c>
      <c r="O465" s="248">
        <v>-414.23</v>
      </c>
      <c r="P465" s="247" t="s">
        <v>1079</v>
      </c>
      <c r="Q465" s="247" t="s">
        <v>87</v>
      </c>
    </row>
    <row r="466" spans="1:17" x14ac:dyDescent="0.25">
      <c r="A466" s="247" t="s">
        <v>646</v>
      </c>
      <c r="B466" s="247" t="s">
        <v>25</v>
      </c>
      <c r="C466" s="247" t="s">
        <v>1071</v>
      </c>
      <c r="D466" s="247" t="s">
        <v>926</v>
      </c>
      <c r="E466" s="247" t="s">
        <v>464</v>
      </c>
      <c r="F466" s="247" t="s">
        <v>1796</v>
      </c>
      <c r="G466" s="247" t="s">
        <v>1078</v>
      </c>
      <c r="H466" s="247"/>
      <c r="I466" s="247" t="s">
        <v>1797</v>
      </c>
      <c r="J466" s="247">
        <v>12</v>
      </c>
      <c r="K466" s="247">
        <v>12</v>
      </c>
      <c r="L466" s="249" t="s">
        <v>791</v>
      </c>
      <c r="M466" s="249" t="s">
        <v>929</v>
      </c>
      <c r="N466" s="248">
        <v>-414.23</v>
      </c>
      <c r="O466" s="248">
        <v>-828.46</v>
      </c>
      <c r="P466" s="247" t="s">
        <v>1079</v>
      </c>
      <c r="Q466" s="247" t="s">
        <v>88</v>
      </c>
    </row>
    <row r="467" spans="1:17" x14ac:dyDescent="0.25">
      <c r="A467" s="247" t="s">
        <v>646</v>
      </c>
      <c r="B467" s="247" t="s">
        <v>25</v>
      </c>
      <c r="C467" s="247" t="s">
        <v>1071</v>
      </c>
      <c r="D467" s="247" t="s">
        <v>926</v>
      </c>
      <c r="E467" s="247" t="s">
        <v>464</v>
      </c>
      <c r="F467" s="247" t="s">
        <v>1796</v>
      </c>
      <c r="G467" s="247" t="s">
        <v>1078</v>
      </c>
      <c r="H467" s="247"/>
      <c r="I467" s="247" t="s">
        <v>1797</v>
      </c>
      <c r="J467" s="247">
        <v>12</v>
      </c>
      <c r="K467" s="247">
        <v>12</v>
      </c>
      <c r="L467" s="249" t="s">
        <v>935</v>
      </c>
      <c r="M467" s="249" t="s">
        <v>929</v>
      </c>
      <c r="N467" s="248">
        <v>-121.78</v>
      </c>
      <c r="O467" s="248">
        <v>-950.24</v>
      </c>
      <c r="P467" s="247" t="s">
        <v>1079</v>
      </c>
      <c r="Q467" s="247" t="s">
        <v>89</v>
      </c>
    </row>
    <row r="468" spans="1:17" x14ac:dyDescent="0.25">
      <c r="A468" s="247" t="s">
        <v>646</v>
      </c>
      <c r="B468" s="247" t="s">
        <v>25</v>
      </c>
      <c r="C468" s="247" t="s">
        <v>1071</v>
      </c>
      <c r="D468" s="247" t="s">
        <v>926</v>
      </c>
      <c r="E468" s="247" t="s">
        <v>464</v>
      </c>
      <c r="F468" s="247" t="s">
        <v>1796</v>
      </c>
      <c r="G468" s="247" t="s">
        <v>1078</v>
      </c>
      <c r="H468" s="247"/>
      <c r="I468" s="247" t="s">
        <v>1797</v>
      </c>
      <c r="J468" s="247">
        <v>12</v>
      </c>
      <c r="K468" s="247">
        <v>12</v>
      </c>
      <c r="L468" s="249" t="s">
        <v>936</v>
      </c>
      <c r="M468" s="249" t="s">
        <v>929</v>
      </c>
      <c r="N468" s="248">
        <v>-354.62</v>
      </c>
      <c r="O468" s="248">
        <v>-1304.8599999999999</v>
      </c>
      <c r="P468" s="247" t="s">
        <v>1079</v>
      </c>
      <c r="Q468" s="247" t="s">
        <v>90</v>
      </c>
    </row>
    <row r="469" spans="1:17" x14ac:dyDescent="0.25">
      <c r="A469" s="247" t="s">
        <v>646</v>
      </c>
      <c r="B469" s="247" t="s">
        <v>25</v>
      </c>
      <c r="C469" s="247" t="s">
        <v>1071</v>
      </c>
      <c r="D469" s="247" t="s">
        <v>926</v>
      </c>
      <c r="E469" s="247" t="s">
        <v>464</v>
      </c>
      <c r="F469" s="247" t="s">
        <v>1796</v>
      </c>
      <c r="G469" s="247" t="s">
        <v>1078</v>
      </c>
      <c r="H469" s="247"/>
      <c r="I469" s="247" t="s">
        <v>1797</v>
      </c>
      <c r="J469" s="247">
        <v>12</v>
      </c>
      <c r="K469" s="247">
        <v>12</v>
      </c>
      <c r="L469" s="249" t="s">
        <v>937</v>
      </c>
      <c r="M469" s="249" t="s">
        <v>929</v>
      </c>
      <c r="N469" s="248">
        <v>-354.62</v>
      </c>
      <c r="O469" s="248">
        <v>-1659.48</v>
      </c>
      <c r="P469" s="247" t="s">
        <v>1079</v>
      </c>
      <c r="Q469" s="247" t="s">
        <v>91</v>
      </c>
    </row>
    <row r="470" spans="1:17" x14ac:dyDescent="0.25">
      <c r="A470" s="247" t="s">
        <v>646</v>
      </c>
      <c r="B470" s="247" t="s">
        <v>25</v>
      </c>
      <c r="C470" s="247" t="s">
        <v>1071</v>
      </c>
      <c r="D470" s="247" t="s">
        <v>926</v>
      </c>
      <c r="E470" s="247" t="s">
        <v>464</v>
      </c>
      <c r="F470" s="247" t="s">
        <v>1796</v>
      </c>
      <c r="G470" s="247" t="s">
        <v>1078</v>
      </c>
      <c r="H470" s="247"/>
      <c r="I470" s="247" t="s">
        <v>1797</v>
      </c>
      <c r="J470" s="247">
        <v>12</v>
      </c>
      <c r="K470" s="247">
        <v>12</v>
      </c>
      <c r="L470" s="249" t="s">
        <v>938</v>
      </c>
      <c r="M470" s="249" t="s">
        <v>929</v>
      </c>
      <c r="N470" s="248">
        <v>-354.62</v>
      </c>
      <c r="O470" s="248">
        <v>-2014.1</v>
      </c>
      <c r="P470" s="247" t="s">
        <v>1079</v>
      </c>
      <c r="Q470" s="247" t="s">
        <v>92</v>
      </c>
    </row>
    <row r="471" spans="1:17" x14ac:dyDescent="0.25">
      <c r="A471" s="247" t="s">
        <v>646</v>
      </c>
      <c r="B471" s="247" t="s">
        <v>25</v>
      </c>
      <c r="C471" s="247" t="s">
        <v>1071</v>
      </c>
      <c r="D471" s="247" t="s">
        <v>926</v>
      </c>
      <c r="E471" s="247" t="s">
        <v>464</v>
      </c>
      <c r="F471" s="247" t="s">
        <v>1796</v>
      </c>
      <c r="G471" s="247" t="s">
        <v>1078</v>
      </c>
      <c r="H471" s="247"/>
      <c r="I471" s="247" t="s">
        <v>1797</v>
      </c>
      <c r="J471" s="247">
        <v>12</v>
      </c>
      <c r="K471" s="247">
        <v>12</v>
      </c>
      <c r="L471" s="249" t="s">
        <v>939</v>
      </c>
      <c r="M471" s="249" t="s">
        <v>929</v>
      </c>
      <c r="N471" s="248">
        <v>-390.52</v>
      </c>
      <c r="O471" s="248">
        <v>-2404.62</v>
      </c>
      <c r="P471" s="247" t="s">
        <v>1079</v>
      </c>
      <c r="Q471" s="247" t="s">
        <v>93</v>
      </c>
    </row>
    <row r="472" spans="1:17" x14ac:dyDescent="0.25">
      <c r="A472" s="247" t="s">
        <v>646</v>
      </c>
      <c r="B472" s="247" t="s">
        <v>25</v>
      </c>
      <c r="C472" s="247" t="s">
        <v>1071</v>
      </c>
      <c r="D472" s="247" t="s">
        <v>926</v>
      </c>
      <c r="E472" s="247" t="s">
        <v>464</v>
      </c>
      <c r="F472" s="247" t="s">
        <v>1796</v>
      </c>
      <c r="G472" s="247" t="s">
        <v>1078</v>
      </c>
      <c r="H472" s="247"/>
      <c r="I472" s="247" t="s">
        <v>1797</v>
      </c>
      <c r="J472" s="247">
        <v>12</v>
      </c>
      <c r="K472" s="247">
        <v>12</v>
      </c>
      <c r="L472" s="249" t="s">
        <v>940</v>
      </c>
      <c r="M472" s="249" t="s">
        <v>929</v>
      </c>
      <c r="N472" s="248">
        <v>-354.62</v>
      </c>
      <c r="O472" s="248">
        <v>-2759.24</v>
      </c>
      <c r="P472" s="247" t="s">
        <v>1079</v>
      </c>
      <c r="Q472" s="247" t="s">
        <v>94</v>
      </c>
    </row>
    <row r="473" spans="1:17" x14ac:dyDescent="0.25">
      <c r="A473" s="247" t="s">
        <v>646</v>
      </c>
      <c r="B473" s="247" t="s">
        <v>25</v>
      </c>
      <c r="C473" s="247" t="s">
        <v>1071</v>
      </c>
      <c r="D473" s="247" t="s">
        <v>926</v>
      </c>
      <c r="E473" s="247" t="s">
        <v>464</v>
      </c>
      <c r="F473" s="247" t="s">
        <v>1796</v>
      </c>
      <c r="G473" s="247" t="s">
        <v>1078</v>
      </c>
      <c r="H473" s="247"/>
      <c r="I473" s="247" t="s">
        <v>1797</v>
      </c>
      <c r="J473" s="247">
        <v>12</v>
      </c>
      <c r="K473" s="247">
        <v>12</v>
      </c>
      <c r="L473" s="249" t="s">
        <v>642</v>
      </c>
      <c r="M473" s="249" t="s">
        <v>929</v>
      </c>
      <c r="N473" s="248">
        <v>-354.62</v>
      </c>
      <c r="O473" s="248">
        <v>-3113.86</v>
      </c>
      <c r="P473" s="247" t="s">
        <v>1079</v>
      </c>
      <c r="Q473" s="247" t="s">
        <v>95</v>
      </c>
    </row>
    <row r="474" spans="1:17" x14ac:dyDescent="0.25">
      <c r="A474" s="247" t="s">
        <v>646</v>
      </c>
      <c r="B474" s="247" t="s">
        <v>25</v>
      </c>
      <c r="C474" s="247" t="s">
        <v>1071</v>
      </c>
      <c r="D474" s="247" t="s">
        <v>926</v>
      </c>
      <c r="E474" s="247" t="s">
        <v>946</v>
      </c>
      <c r="F474" s="247" t="s">
        <v>1798</v>
      </c>
      <c r="G474" s="247" t="s">
        <v>1080</v>
      </c>
      <c r="H474" s="247"/>
      <c r="I474" s="247" t="s">
        <v>1799</v>
      </c>
      <c r="J474" s="247">
        <v>12</v>
      </c>
      <c r="K474" s="247">
        <v>12</v>
      </c>
      <c r="L474" s="249" t="s">
        <v>646</v>
      </c>
      <c r="M474" s="249" t="s">
        <v>933</v>
      </c>
      <c r="N474" s="248">
        <v>0</v>
      </c>
      <c r="O474" s="248">
        <v>-4129.96</v>
      </c>
      <c r="P474" s="247" t="s">
        <v>1081</v>
      </c>
      <c r="Q474" s="247" t="s">
        <v>84</v>
      </c>
    </row>
    <row r="475" spans="1:17" x14ac:dyDescent="0.25">
      <c r="A475" s="247" t="s">
        <v>646</v>
      </c>
      <c r="B475" s="247" t="s">
        <v>25</v>
      </c>
      <c r="C475" s="247" t="s">
        <v>1071</v>
      </c>
      <c r="D475" s="247" t="s">
        <v>926</v>
      </c>
      <c r="E475" s="247" t="s">
        <v>946</v>
      </c>
      <c r="F475" s="247" t="s">
        <v>1798</v>
      </c>
      <c r="G475" s="247" t="s">
        <v>1080</v>
      </c>
      <c r="H475" s="247"/>
      <c r="I475" s="247" t="s">
        <v>1799</v>
      </c>
      <c r="J475" s="247">
        <v>12</v>
      </c>
      <c r="K475" s="247">
        <v>12</v>
      </c>
      <c r="L475" s="249" t="s">
        <v>650</v>
      </c>
      <c r="M475" s="249" t="s">
        <v>933</v>
      </c>
      <c r="N475" s="248">
        <v>0</v>
      </c>
      <c r="O475" s="248">
        <v>-4129.96</v>
      </c>
      <c r="P475" s="247" t="s">
        <v>1081</v>
      </c>
      <c r="Q475" s="247" t="s">
        <v>85</v>
      </c>
    </row>
    <row r="476" spans="1:17" x14ac:dyDescent="0.25">
      <c r="A476" s="247" t="s">
        <v>646</v>
      </c>
      <c r="B476" s="247" t="s">
        <v>25</v>
      </c>
      <c r="C476" s="247" t="s">
        <v>1071</v>
      </c>
      <c r="D476" s="247" t="s">
        <v>926</v>
      </c>
      <c r="E476" s="247" t="s">
        <v>946</v>
      </c>
      <c r="F476" s="247" t="s">
        <v>1798</v>
      </c>
      <c r="G476" s="247" t="s">
        <v>1080</v>
      </c>
      <c r="H476" s="247"/>
      <c r="I476" s="247" t="s">
        <v>1799</v>
      </c>
      <c r="J476" s="247">
        <v>12</v>
      </c>
      <c r="K476" s="247">
        <v>12</v>
      </c>
      <c r="L476" s="249" t="s">
        <v>652</v>
      </c>
      <c r="M476" s="249" t="s">
        <v>933</v>
      </c>
      <c r="N476" s="248">
        <v>0</v>
      </c>
      <c r="O476" s="248">
        <v>-4129.96</v>
      </c>
      <c r="P476" s="247" t="s">
        <v>1081</v>
      </c>
      <c r="Q476" s="247" t="s">
        <v>86</v>
      </c>
    </row>
    <row r="477" spans="1:17" x14ac:dyDescent="0.25">
      <c r="A477" s="247" t="s">
        <v>646</v>
      </c>
      <c r="B477" s="247" t="s">
        <v>25</v>
      </c>
      <c r="C477" s="247" t="s">
        <v>1071</v>
      </c>
      <c r="D477" s="247" t="s">
        <v>926</v>
      </c>
      <c r="E477" s="247" t="s">
        <v>1082</v>
      </c>
      <c r="F477" s="247" t="s">
        <v>1800</v>
      </c>
      <c r="G477" s="247" t="s">
        <v>1083</v>
      </c>
      <c r="H477" s="247"/>
      <c r="I477" s="247" t="s">
        <v>1801</v>
      </c>
      <c r="J477" s="247">
        <v>12</v>
      </c>
      <c r="K477" s="247">
        <v>12</v>
      </c>
      <c r="L477" s="249" t="s">
        <v>646</v>
      </c>
      <c r="M477" s="249" t="s">
        <v>933</v>
      </c>
      <c r="N477" s="248">
        <v>-895.74</v>
      </c>
      <c r="O477" s="248">
        <v>-1943.45</v>
      </c>
      <c r="P477" s="247" t="s">
        <v>1084</v>
      </c>
      <c r="Q477" s="247" t="s">
        <v>84</v>
      </c>
    </row>
    <row r="478" spans="1:17" x14ac:dyDescent="0.25">
      <c r="A478" s="247" t="s">
        <v>646</v>
      </c>
      <c r="B478" s="247" t="s">
        <v>25</v>
      </c>
      <c r="C478" s="247" t="s">
        <v>1071</v>
      </c>
      <c r="D478" s="247" t="s">
        <v>926</v>
      </c>
      <c r="E478" s="247" t="s">
        <v>1082</v>
      </c>
      <c r="F478" s="247" t="s">
        <v>1800</v>
      </c>
      <c r="G478" s="247" t="s">
        <v>1083</v>
      </c>
      <c r="H478" s="247"/>
      <c r="I478" s="247" t="s">
        <v>1801</v>
      </c>
      <c r="J478" s="247">
        <v>12</v>
      </c>
      <c r="K478" s="247">
        <v>12</v>
      </c>
      <c r="L478" s="249" t="s">
        <v>650</v>
      </c>
      <c r="M478" s="249" t="s">
        <v>933</v>
      </c>
      <c r="N478" s="248">
        <v>-481</v>
      </c>
      <c r="O478" s="248">
        <v>-2424.4499999999998</v>
      </c>
      <c r="P478" s="247" t="s">
        <v>1084</v>
      </c>
      <c r="Q478" s="247" t="s">
        <v>85</v>
      </c>
    </row>
    <row r="479" spans="1:17" x14ac:dyDescent="0.25">
      <c r="A479" s="247" t="s">
        <v>646</v>
      </c>
      <c r="B479" s="247" t="s">
        <v>25</v>
      </c>
      <c r="C479" s="247" t="s">
        <v>1071</v>
      </c>
      <c r="D479" s="247" t="s">
        <v>926</v>
      </c>
      <c r="E479" s="247" t="s">
        <v>1082</v>
      </c>
      <c r="F479" s="247" t="s">
        <v>1800</v>
      </c>
      <c r="G479" s="247" t="s">
        <v>1083</v>
      </c>
      <c r="H479" s="247"/>
      <c r="I479" s="247" t="s">
        <v>1801</v>
      </c>
      <c r="J479" s="247">
        <v>12</v>
      </c>
      <c r="K479" s="247">
        <v>12</v>
      </c>
      <c r="L479" s="249" t="s">
        <v>652</v>
      </c>
      <c r="M479" s="249" t="s">
        <v>933</v>
      </c>
      <c r="N479" s="248">
        <v>-561</v>
      </c>
      <c r="O479" s="248">
        <v>-2985.45</v>
      </c>
      <c r="P479" s="247" t="s">
        <v>1084</v>
      </c>
      <c r="Q479" s="247" t="s">
        <v>86</v>
      </c>
    </row>
    <row r="480" spans="1:17" x14ac:dyDescent="0.25">
      <c r="A480" s="247" t="s">
        <v>646</v>
      </c>
      <c r="B480" s="247" t="s">
        <v>25</v>
      </c>
      <c r="C480" s="247" t="s">
        <v>1071</v>
      </c>
      <c r="D480" s="247" t="s">
        <v>926</v>
      </c>
      <c r="E480" s="247" t="s">
        <v>1082</v>
      </c>
      <c r="F480" s="247" t="s">
        <v>1800</v>
      </c>
      <c r="G480" s="247" t="s">
        <v>1083</v>
      </c>
      <c r="H480" s="247"/>
      <c r="I480" s="247" t="s">
        <v>1801</v>
      </c>
      <c r="J480" s="247">
        <v>12</v>
      </c>
      <c r="K480" s="247">
        <v>12</v>
      </c>
      <c r="L480" s="249" t="s">
        <v>789</v>
      </c>
      <c r="M480" s="249" t="s">
        <v>929</v>
      </c>
      <c r="N480" s="248">
        <v>-671.78</v>
      </c>
      <c r="O480" s="248">
        <v>-671.78</v>
      </c>
      <c r="P480" s="247" t="s">
        <v>1084</v>
      </c>
      <c r="Q480" s="247" t="s">
        <v>87</v>
      </c>
    </row>
    <row r="481" spans="1:17" x14ac:dyDescent="0.25">
      <c r="A481" s="247" t="s">
        <v>646</v>
      </c>
      <c r="B481" s="247" t="s">
        <v>25</v>
      </c>
      <c r="C481" s="247" t="s">
        <v>1071</v>
      </c>
      <c r="D481" s="247" t="s">
        <v>926</v>
      </c>
      <c r="E481" s="247" t="s">
        <v>1082</v>
      </c>
      <c r="F481" s="247" t="s">
        <v>1800</v>
      </c>
      <c r="G481" s="247" t="s">
        <v>1083</v>
      </c>
      <c r="H481" s="247"/>
      <c r="I481" s="247" t="s">
        <v>1801</v>
      </c>
      <c r="J481" s="247">
        <v>12</v>
      </c>
      <c r="K481" s="247">
        <v>12</v>
      </c>
      <c r="L481" s="249" t="s">
        <v>791</v>
      </c>
      <c r="M481" s="249" t="s">
        <v>929</v>
      </c>
      <c r="N481" s="248">
        <v>-656</v>
      </c>
      <c r="O481" s="248">
        <v>-1327.78</v>
      </c>
      <c r="P481" s="247" t="s">
        <v>1084</v>
      </c>
      <c r="Q481" s="247" t="s">
        <v>88</v>
      </c>
    </row>
    <row r="482" spans="1:17" x14ac:dyDescent="0.25">
      <c r="A482" s="247" t="s">
        <v>646</v>
      </c>
      <c r="B482" s="247" t="s">
        <v>25</v>
      </c>
      <c r="C482" s="247" t="s">
        <v>1071</v>
      </c>
      <c r="D482" s="247" t="s">
        <v>926</v>
      </c>
      <c r="E482" s="247" t="s">
        <v>1082</v>
      </c>
      <c r="F482" s="247" t="s">
        <v>1800</v>
      </c>
      <c r="G482" s="247" t="s">
        <v>1083</v>
      </c>
      <c r="H482" s="247"/>
      <c r="I482" s="247" t="s">
        <v>1801</v>
      </c>
      <c r="J482" s="247">
        <v>12</v>
      </c>
      <c r="K482" s="247">
        <v>12</v>
      </c>
      <c r="L482" s="249" t="s">
        <v>935</v>
      </c>
      <c r="M482" s="249" t="s">
        <v>929</v>
      </c>
      <c r="N482" s="248">
        <v>-524</v>
      </c>
      <c r="O482" s="248">
        <v>-1851.78</v>
      </c>
      <c r="P482" s="247" t="s">
        <v>1084</v>
      </c>
      <c r="Q482" s="247" t="s">
        <v>89</v>
      </c>
    </row>
    <row r="483" spans="1:17" x14ac:dyDescent="0.25">
      <c r="A483" s="247" t="s">
        <v>646</v>
      </c>
      <c r="B483" s="247" t="s">
        <v>25</v>
      </c>
      <c r="C483" s="247" t="s">
        <v>1071</v>
      </c>
      <c r="D483" s="247" t="s">
        <v>926</v>
      </c>
      <c r="E483" s="247" t="s">
        <v>1082</v>
      </c>
      <c r="F483" s="247" t="s">
        <v>1800</v>
      </c>
      <c r="G483" s="247" t="s">
        <v>1083</v>
      </c>
      <c r="H483" s="247"/>
      <c r="I483" s="247" t="s">
        <v>1801</v>
      </c>
      <c r="J483" s="247">
        <v>12</v>
      </c>
      <c r="K483" s="247">
        <v>12</v>
      </c>
      <c r="L483" s="249" t="s">
        <v>936</v>
      </c>
      <c r="M483" s="249" t="s">
        <v>929</v>
      </c>
      <c r="N483" s="248">
        <v>-386</v>
      </c>
      <c r="O483" s="248">
        <v>-2237.7800000000002</v>
      </c>
      <c r="P483" s="247" t="s">
        <v>1084</v>
      </c>
      <c r="Q483" s="247" t="s">
        <v>90</v>
      </c>
    </row>
    <row r="484" spans="1:17" x14ac:dyDescent="0.25">
      <c r="A484" s="247" t="s">
        <v>646</v>
      </c>
      <c r="B484" s="247" t="s">
        <v>25</v>
      </c>
      <c r="C484" s="247" t="s">
        <v>1071</v>
      </c>
      <c r="D484" s="247" t="s">
        <v>926</v>
      </c>
      <c r="E484" s="247" t="s">
        <v>1082</v>
      </c>
      <c r="F484" s="247" t="s">
        <v>1800</v>
      </c>
      <c r="G484" s="247" t="s">
        <v>1083</v>
      </c>
      <c r="H484" s="247"/>
      <c r="I484" s="247" t="s">
        <v>1801</v>
      </c>
      <c r="J484" s="247">
        <v>12</v>
      </c>
      <c r="K484" s="247">
        <v>12</v>
      </c>
      <c r="L484" s="249" t="s">
        <v>937</v>
      </c>
      <c r="M484" s="249" t="s">
        <v>929</v>
      </c>
      <c r="N484" s="248">
        <v>-386</v>
      </c>
      <c r="O484" s="248">
        <v>-2623.78</v>
      </c>
      <c r="P484" s="247" t="s">
        <v>1084</v>
      </c>
      <c r="Q484" s="247" t="s">
        <v>91</v>
      </c>
    </row>
    <row r="485" spans="1:17" x14ac:dyDescent="0.25">
      <c r="A485" s="247" t="s">
        <v>646</v>
      </c>
      <c r="B485" s="247" t="s">
        <v>25</v>
      </c>
      <c r="C485" s="247" t="s">
        <v>1071</v>
      </c>
      <c r="D485" s="247" t="s">
        <v>926</v>
      </c>
      <c r="E485" s="247" t="s">
        <v>1082</v>
      </c>
      <c r="F485" s="247" t="s">
        <v>1800</v>
      </c>
      <c r="G485" s="247" t="s">
        <v>1083</v>
      </c>
      <c r="H485" s="247"/>
      <c r="I485" s="247" t="s">
        <v>1801</v>
      </c>
      <c r="J485" s="247">
        <v>12</v>
      </c>
      <c r="K485" s="247">
        <v>12</v>
      </c>
      <c r="L485" s="249" t="s">
        <v>938</v>
      </c>
      <c r="M485" s="249" t="s">
        <v>929</v>
      </c>
      <c r="N485" s="248">
        <v>-432.1</v>
      </c>
      <c r="O485" s="248">
        <v>-3055.88</v>
      </c>
      <c r="P485" s="247" t="s">
        <v>1084</v>
      </c>
      <c r="Q485" s="247" t="s">
        <v>92</v>
      </c>
    </row>
    <row r="486" spans="1:17" x14ac:dyDescent="0.25">
      <c r="A486" s="247" t="s">
        <v>646</v>
      </c>
      <c r="B486" s="247" t="s">
        <v>25</v>
      </c>
      <c r="C486" s="247" t="s">
        <v>1071</v>
      </c>
      <c r="D486" s="247" t="s">
        <v>926</v>
      </c>
      <c r="E486" s="247" t="s">
        <v>1082</v>
      </c>
      <c r="F486" s="247" t="s">
        <v>1800</v>
      </c>
      <c r="G486" s="247" t="s">
        <v>1083</v>
      </c>
      <c r="H486" s="247"/>
      <c r="I486" s="247" t="s">
        <v>1801</v>
      </c>
      <c r="J486" s="247">
        <v>12</v>
      </c>
      <c r="K486" s="247">
        <v>12</v>
      </c>
      <c r="L486" s="249" t="s">
        <v>939</v>
      </c>
      <c r="M486" s="249" t="s">
        <v>929</v>
      </c>
      <c r="N486" s="248">
        <v>-430.1</v>
      </c>
      <c r="O486" s="248">
        <v>-3485.98</v>
      </c>
      <c r="P486" s="247" t="s">
        <v>1084</v>
      </c>
      <c r="Q486" s="247" t="s">
        <v>93</v>
      </c>
    </row>
    <row r="487" spans="1:17" x14ac:dyDescent="0.25">
      <c r="A487" s="247" t="s">
        <v>646</v>
      </c>
      <c r="B487" s="247" t="s">
        <v>25</v>
      </c>
      <c r="C487" s="247" t="s">
        <v>1071</v>
      </c>
      <c r="D487" s="247" t="s">
        <v>926</v>
      </c>
      <c r="E487" s="247" t="s">
        <v>1082</v>
      </c>
      <c r="F487" s="247" t="s">
        <v>1800</v>
      </c>
      <c r="G487" s="247" t="s">
        <v>1083</v>
      </c>
      <c r="H487" s="247"/>
      <c r="I487" s="247" t="s">
        <v>1801</v>
      </c>
      <c r="J487" s="247">
        <v>12</v>
      </c>
      <c r="K487" s="247">
        <v>12</v>
      </c>
      <c r="L487" s="249" t="s">
        <v>940</v>
      </c>
      <c r="M487" s="249" t="s">
        <v>929</v>
      </c>
      <c r="N487" s="248">
        <v>-467.49</v>
      </c>
      <c r="O487" s="248">
        <v>-3953.47</v>
      </c>
      <c r="P487" s="247" t="s">
        <v>1084</v>
      </c>
      <c r="Q487" s="247" t="s">
        <v>94</v>
      </c>
    </row>
    <row r="488" spans="1:17" x14ac:dyDescent="0.25">
      <c r="A488" s="247" t="s">
        <v>646</v>
      </c>
      <c r="B488" s="247" t="s">
        <v>25</v>
      </c>
      <c r="C488" s="247" t="s">
        <v>1071</v>
      </c>
      <c r="D488" s="247" t="s">
        <v>926</v>
      </c>
      <c r="E488" s="247" t="s">
        <v>1082</v>
      </c>
      <c r="F488" s="247" t="s">
        <v>1800</v>
      </c>
      <c r="G488" s="247" t="s">
        <v>1083</v>
      </c>
      <c r="H488" s="247"/>
      <c r="I488" s="247" t="s">
        <v>1801</v>
      </c>
      <c r="J488" s="247">
        <v>12</v>
      </c>
      <c r="K488" s="247">
        <v>12</v>
      </c>
      <c r="L488" s="249" t="s">
        <v>642</v>
      </c>
      <c r="M488" s="249" t="s">
        <v>929</v>
      </c>
      <c r="N488" s="248">
        <v>-480.95</v>
      </c>
      <c r="O488" s="248">
        <v>-4434.42</v>
      </c>
      <c r="P488" s="247" t="s">
        <v>1084</v>
      </c>
      <c r="Q488" s="247" t="s">
        <v>95</v>
      </c>
    </row>
    <row r="489" spans="1:17" x14ac:dyDescent="0.25">
      <c r="A489" s="247" t="s">
        <v>646</v>
      </c>
      <c r="B489" s="247" t="s">
        <v>25</v>
      </c>
      <c r="C489" s="247" t="s">
        <v>1071</v>
      </c>
      <c r="D489" s="247" t="s">
        <v>926</v>
      </c>
      <c r="E489" s="247" t="s">
        <v>1049</v>
      </c>
      <c r="F489" s="247" t="s">
        <v>1802</v>
      </c>
      <c r="G489" s="247" t="s">
        <v>1085</v>
      </c>
      <c r="H489" s="247"/>
      <c r="I489" s="247" t="s">
        <v>1803</v>
      </c>
      <c r="J489" s="247">
        <v>12</v>
      </c>
      <c r="K489" s="247">
        <v>12</v>
      </c>
      <c r="L489" s="249" t="s">
        <v>646</v>
      </c>
      <c r="M489" s="249" t="s">
        <v>933</v>
      </c>
      <c r="N489" s="248">
        <v>0</v>
      </c>
      <c r="O489" s="248">
        <v>-620.4</v>
      </c>
      <c r="P489" s="247" t="s">
        <v>1086</v>
      </c>
      <c r="Q489" s="247" t="s">
        <v>84</v>
      </c>
    </row>
    <row r="490" spans="1:17" x14ac:dyDescent="0.25">
      <c r="A490" s="247" t="s">
        <v>646</v>
      </c>
      <c r="B490" s="247" t="s">
        <v>25</v>
      </c>
      <c r="C490" s="247" t="s">
        <v>1071</v>
      </c>
      <c r="D490" s="247" t="s">
        <v>926</v>
      </c>
      <c r="E490" s="247" t="s">
        <v>1049</v>
      </c>
      <c r="F490" s="247" t="s">
        <v>1802</v>
      </c>
      <c r="G490" s="247" t="s">
        <v>1085</v>
      </c>
      <c r="H490" s="247"/>
      <c r="I490" s="247" t="s">
        <v>1803</v>
      </c>
      <c r="J490" s="247">
        <v>12</v>
      </c>
      <c r="K490" s="247">
        <v>12</v>
      </c>
      <c r="L490" s="249" t="s">
        <v>650</v>
      </c>
      <c r="M490" s="249" t="s">
        <v>933</v>
      </c>
      <c r="N490" s="248">
        <v>0</v>
      </c>
      <c r="O490" s="248">
        <v>-620.4</v>
      </c>
      <c r="P490" s="247" t="s">
        <v>1086</v>
      </c>
      <c r="Q490" s="247" t="s">
        <v>85</v>
      </c>
    </row>
    <row r="491" spans="1:17" x14ac:dyDescent="0.25">
      <c r="A491" s="247" t="s">
        <v>646</v>
      </c>
      <c r="B491" s="247" t="s">
        <v>25</v>
      </c>
      <c r="C491" s="247" t="s">
        <v>1071</v>
      </c>
      <c r="D491" s="247" t="s">
        <v>926</v>
      </c>
      <c r="E491" s="247" t="s">
        <v>1049</v>
      </c>
      <c r="F491" s="247" t="s">
        <v>1802</v>
      </c>
      <c r="G491" s="247" t="s">
        <v>1085</v>
      </c>
      <c r="H491" s="247"/>
      <c r="I491" s="247" t="s">
        <v>1803</v>
      </c>
      <c r="J491" s="247">
        <v>12</v>
      </c>
      <c r="K491" s="247">
        <v>12</v>
      </c>
      <c r="L491" s="249" t="s">
        <v>652</v>
      </c>
      <c r="M491" s="249" t="s">
        <v>933</v>
      </c>
      <c r="N491" s="248">
        <v>0</v>
      </c>
      <c r="O491" s="248">
        <v>-620.4</v>
      </c>
      <c r="P491" s="247" t="s">
        <v>1086</v>
      </c>
      <c r="Q491" s="247" t="s">
        <v>86</v>
      </c>
    </row>
    <row r="492" spans="1:17" x14ac:dyDescent="0.25">
      <c r="A492" s="247" t="s">
        <v>646</v>
      </c>
      <c r="B492" s="247" t="s">
        <v>25</v>
      </c>
      <c r="C492" s="247" t="s">
        <v>1071</v>
      </c>
      <c r="D492" s="247" t="s">
        <v>926</v>
      </c>
      <c r="E492" s="247" t="s">
        <v>1087</v>
      </c>
      <c r="F492" s="247" t="s">
        <v>1804</v>
      </c>
      <c r="G492" s="247" t="s">
        <v>1088</v>
      </c>
      <c r="H492" s="247"/>
      <c r="I492" s="247" t="s">
        <v>1805</v>
      </c>
      <c r="J492" s="247">
        <v>12</v>
      </c>
      <c r="K492" s="247">
        <v>12</v>
      </c>
      <c r="L492" s="249" t="s">
        <v>646</v>
      </c>
      <c r="M492" s="249" t="s">
        <v>933</v>
      </c>
      <c r="N492" s="248">
        <v>-77.55</v>
      </c>
      <c r="O492" s="248">
        <v>-172.49</v>
      </c>
      <c r="P492" s="247" t="s">
        <v>1089</v>
      </c>
      <c r="Q492" s="247" t="s">
        <v>84</v>
      </c>
    </row>
    <row r="493" spans="1:17" x14ac:dyDescent="0.25">
      <c r="A493" s="247" t="s">
        <v>646</v>
      </c>
      <c r="B493" s="247" t="s">
        <v>25</v>
      </c>
      <c r="C493" s="247" t="s">
        <v>1071</v>
      </c>
      <c r="D493" s="247" t="s">
        <v>926</v>
      </c>
      <c r="E493" s="247" t="s">
        <v>1087</v>
      </c>
      <c r="F493" s="247" t="s">
        <v>1804</v>
      </c>
      <c r="G493" s="247" t="s">
        <v>1088</v>
      </c>
      <c r="H493" s="247"/>
      <c r="I493" s="247" t="s">
        <v>1805</v>
      </c>
      <c r="J493" s="247">
        <v>12</v>
      </c>
      <c r="K493" s="247">
        <v>12</v>
      </c>
      <c r="L493" s="249" t="s">
        <v>650</v>
      </c>
      <c r="M493" s="249" t="s">
        <v>933</v>
      </c>
      <c r="N493" s="248">
        <v>-78.959999999999994</v>
      </c>
      <c r="O493" s="248">
        <v>-251.45</v>
      </c>
      <c r="P493" s="247" t="s">
        <v>1089</v>
      </c>
      <c r="Q493" s="247" t="s">
        <v>85</v>
      </c>
    </row>
    <row r="494" spans="1:17" x14ac:dyDescent="0.25">
      <c r="A494" s="247" t="s">
        <v>646</v>
      </c>
      <c r="B494" s="247" t="s">
        <v>25</v>
      </c>
      <c r="C494" s="247" t="s">
        <v>1071</v>
      </c>
      <c r="D494" s="247" t="s">
        <v>926</v>
      </c>
      <c r="E494" s="247" t="s">
        <v>1087</v>
      </c>
      <c r="F494" s="247" t="s">
        <v>1804</v>
      </c>
      <c r="G494" s="247" t="s">
        <v>1088</v>
      </c>
      <c r="H494" s="247"/>
      <c r="I494" s="247" t="s">
        <v>1805</v>
      </c>
      <c r="J494" s="247">
        <v>12</v>
      </c>
      <c r="K494" s="247">
        <v>12</v>
      </c>
      <c r="L494" s="249" t="s">
        <v>652</v>
      </c>
      <c r="M494" s="249" t="s">
        <v>933</v>
      </c>
      <c r="N494" s="248">
        <v>-84.6</v>
      </c>
      <c r="O494" s="248">
        <v>-336.05</v>
      </c>
      <c r="P494" s="247" t="s">
        <v>1089</v>
      </c>
      <c r="Q494" s="247" t="s">
        <v>86</v>
      </c>
    </row>
    <row r="495" spans="1:17" x14ac:dyDescent="0.25">
      <c r="A495" s="247" t="s">
        <v>646</v>
      </c>
      <c r="B495" s="247" t="s">
        <v>25</v>
      </c>
      <c r="C495" s="247" t="s">
        <v>1071</v>
      </c>
      <c r="D495" s="247" t="s">
        <v>926</v>
      </c>
      <c r="E495" s="247" t="s">
        <v>1087</v>
      </c>
      <c r="F495" s="247" t="s">
        <v>1804</v>
      </c>
      <c r="G495" s="247" t="s">
        <v>1088</v>
      </c>
      <c r="H495" s="247"/>
      <c r="I495" s="247" t="s">
        <v>1805</v>
      </c>
      <c r="J495" s="247">
        <v>12</v>
      </c>
      <c r="K495" s="247">
        <v>12</v>
      </c>
      <c r="L495" s="249" t="s">
        <v>789</v>
      </c>
      <c r="M495" s="249" t="s">
        <v>929</v>
      </c>
      <c r="N495" s="248">
        <v>-160.27000000000001</v>
      </c>
      <c r="O495" s="248">
        <v>-160.27000000000001</v>
      </c>
      <c r="P495" s="247" t="s">
        <v>1089</v>
      </c>
      <c r="Q495" s="247" t="s">
        <v>87</v>
      </c>
    </row>
    <row r="496" spans="1:17" x14ac:dyDescent="0.25">
      <c r="A496" s="247" t="s">
        <v>646</v>
      </c>
      <c r="B496" s="247" t="s">
        <v>25</v>
      </c>
      <c r="C496" s="247" t="s">
        <v>1071</v>
      </c>
      <c r="D496" s="247" t="s">
        <v>926</v>
      </c>
      <c r="E496" s="247" t="s">
        <v>1087</v>
      </c>
      <c r="F496" s="247" t="s">
        <v>1804</v>
      </c>
      <c r="G496" s="247" t="s">
        <v>1088</v>
      </c>
      <c r="H496" s="247"/>
      <c r="I496" s="247" t="s">
        <v>1805</v>
      </c>
      <c r="J496" s="247">
        <v>12</v>
      </c>
      <c r="K496" s="247">
        <v>12</v>
      </c>
      <c r="L496" s="249" t="s">
        <v>791</v>
      </c>
      <c r="M496" s="249" t="s">
        <v>929</v>
      </c>
      <c r="N496" s="248">
        <v>0</v>
      </c>
      <c r="O496" s="248">
        <v>-160.27000000000001</v>
      </c>
      <c r="P496" s="247" t="s">
        <v>1089</v>
      </c>
      <c r="Q496" s="247" t="s">
        <v>88</v>
      </c>
    </row>
    <row r="497" spans="1:17" x14ac:dyDescent="0.25">
      <c r="A497" s="247" t="s">
        <v>646</v>
      </c>
      <c r="B497" s="247" t="s">
        <v>25</v>
      </c>
      <c r="C497" s="247" t="s">
        <v>1071</v>
      </c>
      <c r="D497" s="247" t="s">
        <v>926</v>
      </c>
      <c r="E497" s="247" t="s">
        <v>1087</v>
      </c>
      <c r="F497" s="247" t="s">
        <v>1804</v>
      </c>
      <c r="G497" s="247" t="s">
        <v>1088</v>
      </c>
      <c r="H497" s="247"/>
      <c r="I497" s="247" t="s">
        <v>1805</v>
      </c>
      <c r="J497" s="247">
        <v>12</v>
      </c>
      <c r="K497" s="247">
        <v>12</v>
      </c>
      <c r="L497" s="249" t="s">
        <v>935</v>
      </c>
      <c r="M497" s="249" t="s">
        <v>929</v>
      </c>
      <c r="N497" s="248">
        <v>-167.32</v>
      </c>
      <c r="O497" s="248">
        <v>-327.58999999999997</v>
      </c>
      <c r="P497" s="247" t="s">
        <v>1089</v>
      </c>
      <c r="Q497" s="247" t="s">
        <v>89</v>
      </c>
    </row>
    <row r="498" spans="1:17" x14ac:dyDescent="0.25">
      <c r="A498" s="247" t="s">
        <v>646</v>
      </c>
      <c r="B498" s="247" t="s">
        <v>25</v>
      </c>
      <c r="C498" s="247" t="s">
        <v>1071</v>
      </c>
      <c r="D498" s="247" t="s">
        <v>926</v>
      </c>
      <c r="E498" s="247" t="s">
        <v>1087</v>
      </c>
      <c r="F498" s="247" t="s">
        <v>1804</v>
      </c>
      <c r="G498" s="247" t="s">
        <v>1088</v>
      </c>
      <c r="H498" s="247"/>
      <c r="I498" s="247" t="s">
        <v>1805</v>
      </c>
      <c r="J498" s="247">
        <v>12</v>
      </c>
      <c r="K498" s="247">
        <v>12</v>
      </c>
      <c r="L498" s="249" t="s">
        <v>936</v>
      </c>
      <c r="M498" s="249" t="s">
        <v>929</v>
      </c>
      <c r="N498" s="248">
        <v>-79.900000000000006</v>
      </c>
      <c r="O498" s="248">
        <v>-407.49</v>
      </c>
      <c r="P498" s="247" t="s">
        <v>1089</v>
      </c>
      <c r="Q498" s="247" t="s">
        <v>90</v>
      </c>
    </row>
    <row r="499" spans="1:17" x14ac:dyDescent="0.25">
      <c r="A499" s="247" t="s">
        <v>646</v>
      </c>
      <c r="B499" s="247" t="s">
        <v>25</v>
      </c>
      <c r="C499" s="247" t="s">
        <v>1071</v>
      </c>
      <c r="D499" s="247" t="s">
        <v>926</v>
      </c>
      <c r="E499" s="247" t="s">
        <v>1087</v>
      </c>
      <c r="F499" s="247" t="s">
        <v>1804</v>
      </c>
      <c r="G499" s="247" t="s">
        <v>1088</v>
      </c>
      <c r="H499" s="247"/>
      <c r="I499" s="247" t="s">
        <v>1805</v>
      </c>
      <c r="J499" s="247">
        <v>12</v>
      </c>
      <c r="K499" s="247">
        <v>12</v>
      </c>
      <c r="L499" s="249" t="s">
        <v>937</v>
      </c>
      <c r="M499" s="249" t="s">
        <v>929</v>
      </c>
      <c r="N499" s="248">
        <v>-119.38</v>
      </c>
      <c r="O499" s="248">
        <v>-526.87</v>
      </c>
      <c r="P499" s="247" t="s">
        <v>1089</v>
      </c>
      <c r="Q499" s="247" t="s">
        <v>91</v>
      </c>
    </row>
    <row r="500" spans="1:17" x14ac:dyDescent="0.25">
      <c r="A500" s="247" t="s">
        <v>646</v>
      </c>
      <c r="B500" s="247" t="s">
        <v>25</v>
      </c>
      <c r="C500" s="247" t="s">
        <v>1071</v>
      </c>
      <c r="D500" s="247" t="s">
        <v>926</v>
      </c>
      <c r="E500" s="247" t="s">
        <v>1087</v>
      </c>
      <c r="F500" s="247" t="s">
        <v>1804</v>
      </c>
      <c r="G500" s="247" t="s">
        <v>1088</v>
      </c>
      <c r="H500" s="247"/>
      <c r="I500" s="247" t="s">
        <v>1805</v>
      </c>
      <c r="J500" s="247">
        <v>12</v>
      </c>
      <c r="K500" s="247">
        <v>12</v>
      </c>
      <c r="L500" s="249" t="s">
        <v>938</v>
      </c>
      <c r="M500" s="249" t="s">
        <v>929</v>
      </c>
      <c r="N500" s="248">
        <v>-175.78</v>
      </c>
      <c r="O500" s="248">
        <v>-702.65</v>
      </c>
      <c r="P500" s="247" t="s">
        <v>1089</v>
      </c>
      <c r="Q500" s="247" t="s">
        <v>92</v>
      </c>
    </row>
    <row r="501" spans="1:17" x14ac:dyDescent="0.25">
      <c r="A501" s="247" t="s">
        <v>646</v>
      </c>
      <c r="B501" s="247" t="s">
        <v>25</v>
      </c>
      <c r="C501" s="247" t="s">
        <v>1071</v>
      </c>
      <c r="D501" s="247" t="s">
        <v>926</v>
      </c>
      <c r="E501" s="247" t="s">
        <v>1087</v>
      </c>
      <c r="F501" s="247" t="s">
        <v>1804</v>
      </c>
      <c r="G501" s="247" t="s">
        <v>1088</v>
      </c>
      <c r="H501" s="247"/>
      <c r="I501" s="247" t="s">
        <v>1805</v>
      </c>
      <c r="J501" s="247">
        <v>12</v>
      </c>
      <c r="K501" s="247">
        <v>12</v>
      </c>
      <c r="L501" s="249" t="s">
        <v>939</v>
      </c>
      <c r="M501" s="249" t="s">
        <v>929</v>
      </c>
      <c r="N501" s="248">
        <v>-67.209999999999994</v>
      </c>
      <c r="O501" s="248">
        <v>-769.86</v>
      </c>
      <c r="P501" s="247" t="s">
        <v>1089</v>
      </c>
      <c r="Q501" s="247" t="s">
        <v>93</v>
      </c>
    </row>
    <row r="502" spans="1:17" x14ac:dyDescent="0.25">
      <c r="A502" s="247" t="s">
        <v>646</v>
      </c>
      <c r="B502" s="247" t="s">
        <v>25</v>
      </c>
      <c r="C502" s="247" t="s">
        <v>1071</v>
      </c>
      <c r="D502" s="247" t="s">
        <v>926</v>
      </c>
      <c r="E502" s="247" t="s">
        <v>1087</v>
      </c>
      <c r="F502" s="247" t="s">
        <v>1804</v>
      </c>
      <c r="G502" s="247" t="s">
        <v>1088</v>
      </c>
      <c r="H502" s="247"/>
      <c r="I502" s="247" t="s">
        <v>1805</v>
      </c>
      <c r="J502" s="247">
        <v>12</v>
      </c>
      <c r="K502" s="247">
        <v>12</v>
      </c>
      <c r="L502" s="249" t="s">
        <v>940</v>
      </c>
      <c r="M502" s="249" t="s">
        <v>929</v>
      </c>
      <c r="N502" s="248">
        <v>-140.53</v>
      </c>
      <c r="O502" s="248">
        <v>-910.39</v>
      </c>
      <c r="P502" s="247" t="s">
        <v>1089</v>
      </c>
      <c r="Q502" s="247" t="s">
        <v>94</v>
      </c>
    </row>
    <row r="503" spans="1:17" x14ac:dyDescent="0.25">
      <c r="A503" s="247" t="s">
        <v>646</v>
      </c>
      <c r="B503" s="247" t="s">
        <v>25</v>
      </c>
      <c r="C503" s="247" t="s">
        <v>1071</v>
      </c>
      <c r="D503" s="247" t="s">
        <v>926</v>
      </c>
      <c r="E503" s="247" t="s">
        <v>1087</v>
      </c>
      <c r="F503" s="247" t="s">
        <v>1804</v>
      </c>
      <c r="G503" s="247" t="s">
        <v>1088</v>
      </c>
      <c r="H503" s="247"/>
      <c r="I503" s="247" t="s">
        <v>1805</v>
      </c>
      <c r="J503" s="247">
        <v>12</v>
      </c>
      <c r="K503" s="247">
        <v>12</v>
      </c>
      <c r="L503" s="249" t="s">
        <v>642</v>
      </c>
      <c r="M503" s="249" t="s">
        <v>929</v>
      </c>
      <c r="N503" s="248">
        <v>-75.67</v>
      </c>
      <c r="O503" s="248">
        <v>-986.06</v>
      </c>
      <c r="P503" s="247" t="s">
        <v>1089</v>
      </c>
      <c r="Q503" s="247" t="s">
        <v>95</v>
      </c>
    </row>
    <row r="504" spans="1:17" x14ac:dyDescent="0.25">
      <c r="A504" s="247" t="s">
        <v>646</v>
      </c>
      <c r="B504" s="247" t="s">
        <v>25</v>
      </c>
      <c r="C504" s="247" t="s">
        <v>1071</v>
      </c>
      <c r="D504" s="247" t="s">
        <v>926</v>
      </c>
      <c r="E504" s="247" t="s">
        <v>961</v>
      </c>
      <c r="F504" s="247" t="s">
        <v>1806</v>
      </c>
      <c r="G504" s="247" t="s">
        <v>1090</v>
      </c>
      <c r="H504" s="247"/>
      <c r="I504" s="247" t="s">
        <v>1807</v>
      </c>
      <c r="J504" s="247">
        <v>12</v>
      </c>
      <c r="K504" s="247">
        <v>12</v>
      </c>
      <c r="L504" s="249" t="s">
        <v>646</v>
      </c>
      <c r="M504" s="249" t="s">
        <v>933</v>
      </c>
      <c r="N504" s="248">
        <v>-13.55</v>
      </c>
      <c r="O504" s="248">
        <v>-21.88</v>
      </c>
      <c r="P504" s="247" t="s">
        <v>1091</v>
      </c>
      <c r="Q504" s="247" t="s">
        <v>84</v>
      </c>
    </row>
    <row r="505" spans="1:17" x14ac:dyDescent="0.25">
      <c r="A505" s="247" t="s">
        <v>646</v>
      </c>
      <c r="B505" s="247" t="s">
        <v>25</v>
      </c>
      <c r="C505" s="247" t="s">
        <v>1071</v>
      </c>
      <c r="D505" s="247" t="s">
        <v>926</v>
      </c>
      <c r="E505" s="247" t="s">
        <v>961</v>
      </c>
      <c r="F505" s="247" t="s">
        <v>1806</v>
      </c>
      <c r="G505" s="247" t="s">
        <v>1090</v>
      </c>
      <c r="H505" s="247"/>
      <c r="I505" s="247" t="s">
        <v>1807</v>
      </c>
      <c r="J505" s="247">
        <v>12</v>
      </c>
      <c r="K505" s="247">
        <v>12</v>
      </c>
      <c r="L505" s="249" t="s">
        <v>650</v>
      </c>
      <c r="M505" s="249" t="s">
        <v>933</v>
      </c>
      <c r="N505" s="248">
        <v>-5.0999999999999996</v>
      </c>
      <c r="O505" s="248">
        <v>-26.98</v>
      </c>
      <c r="P505" s="247" t="s">
        <v>1091</v>
      </c>
      <c r="Q505" s="247" t="s">
        <v>85</v>
      </c>
    </row>
    <row r="506" spans="1:17" x14ac:dyDescent="0.25">
      <c r="A506" s="247" t="s">
        <v>646</v>
      </c>
      <c r="B506" s="247" t="s">
        <v>25</v>
      </c>
      <c r="C506" s="247" t="s">
        <v>1071</v>
      </c>
      <c r="D506" s="247" t="s">
        <v>926</v>
      </c>
      <c r="E506" s="247" t="s">
        <v>961</v>
      </c>
      <c r="F506" s="247" t="s">
        <v>1806</v>
      </c>
      <c r="G506" s="247" t="s">
        <v>1090</v>
      </c>
      <c r="H506" s="247"/>
      <c r="I506" s="247" t="s">
        <v>1807</v>
      </c>
      <c r="J506" s="247">
        <v>12</v>
      </c>
      <c r="K506" s="247">
        <v>12</v>
      </c>
      <c r="L506" s="249" t="s">
        <v>652</v>
      </c>
      <c r="M506" s="249" t="s">
        <v>933</v>
      </c>
      <c r="N506" s="248">
        <v>-3.56</v>
      </c>
      <c r="O506" s="248">
        <v>-30.54</v>
      </c>
      <c r="P506" s="247" t="s">
        <v>1091</v>
      </c>
      <c r="Q506" s="247" t="s">
        <v>86</v>
      </c>
    </row>
    <row r="507" spans="1:17" x14ac:dyDescent="0.25">
      <c r="A507" s="247" t="s">
        <v>646</v>
      </c>
      <c r="B507" s="247" t="s">
        <v>25</v>
      </c>
      <c r="C507" s="247" t="s">
        <v>1071</v>
      </c>
      <c r="D507" s="247" t="s">
        <v>926</v>
      </c>
      <c r="E507" s="247" t="s">
        <v>961</v>
      </c>
      <c r="F507" s="247" t="s">
        <v>1806</v>
      </c>
      <c r="G507" s="247" t="s">
        <v>1090</v>
      </c>
      <c r="H507" s="247"/>
      <c r="I507" s="247" t="s">
        <v>1807</v>
      </c>
      <c r="J507" s="247">
        <v>12</v>
      </c>
      <c r="K507" s="247">
        <v>12</v>
      </c>
      <c r="L507" s="249" t="s">
        <v>789</v>
      </c>
      <c r="M507" s="249" t="s">
        <v>929</v>
      </c>
      <c r="N507" s="248">
        <v>-3.11</v>
      </c>
      <c r="O507" s="248">
        <v>-3.11</v>
      </c>
      <c r="P507" s="247" t="s">
        <v>1091</v>
      </c>
      <c r="Q507" s="247" t="s">
        <v>87</v>
      </c>
    </row>
    <row r="508" spans="1:17" x14ac:dyDescent="0.25">
      <c r="A508" s="247" t="s">
        <v>646</v>
      </c>
      <c r="B508" s="247" t="s">
        <v>25</v>
      </c>
      <c r="C508" s="247" t="s">
        <v>1071</v>
      </c>
      <c r="D508" s="247" t="s">
        <v>926</v>
      </c>
      <c r="E508" s="247" t="s">
        <v>961</v>
      </c>
      <c r="F508" s="247" t="s">
        <v>1806</v>
      </c>
      <c r="G508" s="247" t="s">
        <v>1090</v>
      </c>
      <c r="H508" s="247"/>
      <c r="I508" s="247" t="s">
        <v>1807</v>
      </c>
      <c r="J508" s="247">
        <v>12</v>
      </c>
      <c r="K508" s="247">
        <v>12</v>
      </c>
      <c r="L508" s="249" t="s">
        <v>791</v>
      </c>
      <c r="M508" s="249" t="s">
        <v>929</v>
      </c>
      <c r="N508" s="248">
        <v>-8.57</v>
      </c>
      <c r="O508" s="248">
        <v>-11.68</v>
      </c>
      <c r="P508" s="247" t="s">
        <v>1091</v>
      </c>
      <c r="Q508" s="247" t="s">
        <v>88</v>
      </c>
    </row>
    <row r="509" spans="1:17" x14ac:dyDescent="0.25">
      <c r="A509" s="247" t="s">
        <v>646</v>
      </c>
      <c r="B509" s="247" t="s">
        <v>25</v>
      </c>
      <c r="C509" s="247" t="s">
        <v>1071</v>
      </c>
      <c r="D509" s="247" t="s">
        <v>926</v>
      </c>
      <c r="E509" s="247" t="s">
        <v>961</v>
      </c>
      <c r="F509" s="247" t="s">
        <v>1806</v>
      </c>
      <c r="G509" s="247" t="s">
        <v>1090</v>
      </c>
      <c r="H509" s="247"/>
      <c r="I509" s="247" t="s">
        <v>1807</v>
      </c>
      <c r="J509" s="247">
        <v>12</v>
      </c>
      <c r="K509" s="247">
        <v>12</v>
      </c>
      <c r="L509" s="249" t="s">
        <v>935</v>
      </c>
      <c r="M509" s="249" t="s">
        <v>929</v>
      </c>
      <c r="N509" s="248">
        <v>-5</v>
      </c>
      <c r="O509" s="248">
        <v>-16.68</v>
      </c>
      <c r="P509" s="247" t="s">
        <v>1091</v>
      </c>
      <c r="Q509" s="247" t="s">
        <v>89</v>
      </c>
    </row>
    <row r="510" spans="1:17" x14ac:dyDescent="0.25">
      <c r="A510" s="247" t="s">
        <v>646</v>
      </c>
      <c r="B510" s="247" t="s">
        <v>25</v>
      </c>
      <c r="C510" s="247" t="s">
        <v>1071</v>
      </c>
      <c r="D510" s="247" t="s">
        <v>926</v>
      </c>
      <c r="E510" s="247" t="s">
        <v>961</v>
      </c>
      <c r="F510" s="247" t="s">
        <v>1806</v>
      </c>
      <c r="G510" s="247" t="s">
        <v>1090</v>
      </c>
      <c r="H510" s="247"/>
      <c r="I510" s="247" t="s">
        <v>1807</v>
      </c>
      <c r="J510" s="247">
        <v>12</v>
      </c>
      <c r="K510" s="247">
        <v>12</v>
      </c>
      <c r="L510" s="249" t="s">
        <v>936</v>
      </c>
      <c r="M510" s="249" t="s">
        <v>929</v>
      </c>
      <c r="N510" s="248">
        <v>-11.36</v>
      </c>
      <c r="O510" s="248">
        <v>-28.04</v>
      </c>
      <c r="P510" s="247" t="s">
        <v>1091</v>
      </c>
      <c r="Q510" s="247" t="s">
        <v>90</v>
      </c>
    </row>
    <row r="511" spans="1:17" x14ac:dyDescent="0.25">
      <c r="A511" s="247" t="s">
        <v>646</v>
      </c>
      <c r="B511" s="247" t="s">
        <v>25</v>
      </c>
      <c r="C511" s="247" t="s">
        <v>1071</v>
      </c>
      <c r="D511" s="247" t="s">
        <v>926</v>
      </c>
      <c r="E511" s="247" t="s">
        <v>961</v>
      </c>
      <c r="F511" s="247" t="s">
        <v>1806</v>
      </c>
      <c r="G511" s="247" t="s">
        <v>1090</v>
      </c>
      <c r="H511" s="247"/>
      <c r="I511" s="247" t="s">
        <v>1807</v>
      </c>
      <c r="J511" s="247">
        <v>12</v>
      </c>
      <c r="K511" s="247">
        <v>12</v>
      </c>
      <c r="L511" s="249" t="s">
        <v>937</v>
      </c>
      <c r="M511" s="249" t="s">
        <v>929</v>
      </c>
      <c r="N511" s="248">
        <v>-2</v>
      </c>
      <c r="O511" s="248">
        <v>-30.04</v>
      </c>
      <c r="P511" s="247" t="s">
        <v>1091</v>
      </c>
      <c r="Q511" s="247" t="s">
        <v>91</v>
      </c>
    </row>
    <row r="512" spans="1:17" x14ac:dyDescent="0.25">
      <c r="A512" s="247" t="s">
        <v>646</v>
      </c>
      <c r="B512" s="247" t="s">
        <v>25</v>
      </c>
      <c r="C512" s="247" t="s">
        <v>1071</v>
      </c>
      <c r="D512" s="247" t="s">
        <v>926</v>
      </c>
      <c r="E512" s="247" t="s">
        <v>961</v>
      </c>
      <c r="F512" s="247" t="s">
        <v>1806</v>
      </c>
      <c r="G512" s="247" t="s">
        <v>1090</v>
      </c>
      <c r="H512" s="247"/>
      <c r="I512" s="247" t="s">
        <v>1807</v>
      </c>
      <c r="J512" s="247">
        <v>12</v>
      </c>
      <c r="K512" s="247">
        <v>12</v>
      </c>
      <c r="L512" s="249" t="s">
        <v>938</v>
      </c>
      <c r="M512" s="249" t="s">
        <v>929</v>
      </c>
      <c r="N512" s="248">
        <v>-5.87</v>
      </c>
      <c r="O512" s="248">
        <v>-35.909999999999997</v>
      </c>
      <c r="P512" s="247" t="s">
        <v>1091</v>
      </c>
      <c r="Q512" s="247" t="s">
        <v>92</v>
      </c>
    </row>
    <row r="513" spans="1:17" x14ac:dyDescent="0.25">
      <c r="A513" s="247" t="s">
        <v>646</v>
      </c>
      <c r="B513" s="247" t="s">
        <v>25</v>
      </c>
      <c r="C513" s="247" t="s">
        <v>1071</v>
      </c>
      <c r="D513" s="247" t="s">
        <v>926</v>
      </c>
      <c r="E513" s="247" t="s">
        <v>961</v>
      </c>
      <c r="F513" s="247" t="s">
        <v>1806</v>
      </c>
      <c r="G513" s="247" t="s">
        <v>1090</v>
      </c>
      <c r="H513" s="247"/>
      <c r="I513" s="247" t="s">
        <v>1807</v>
      </c>
      <c r="J513" s="247">
        <v>12</v>
      </c>
      <c r="K513" s="247">
        <v>12</v>
      </c>
      <c r="L513" s="249" t="s">
        <v>939</v>
      </c>
      <c r="M513" s="249" t="s">
        <v>929</v>
      </c>
      <c r="N513" s="248">
        <v>-2</v>
      </c>
      <c r="O513" s="248">
        <v>-37.909999999999997</v>
      </c>
      <c r="P513" s="247" t="s">
        <v>1091</v>
      </c>
      <c r="Q513" s="247" t="s">
        <v>93</v>
      </c>
    </row>
    <row r="514" spans="1:17" x14ac:dyDescent="0.25">
      <c r="A514" s="247" t="s">
        <v>646</v>
      </c>
      <c r="B514" s="247" t="s">
        <v>25</v>
      </c>
      <c r="C514" s="247" t="s">
        <v>1071</v>
      </c>
      <c r="D514" s="247" t="s">
        <v>926</v>
      </c>
      <c r="E514" s="247" t="s">
        <v>961</v>
      </c>
      <c r="F514" s="247" t="s">
        <v>1806</v>
      </c>
      <c r="G514" s="247" t="s">
        <v>1090</v>
      </c>
      <c r="H514" s="247"/>
      <c r="I514" s="247" t="s">
        <v>1807</v>
      </c>
      <c r="J514" s="247">
        <v>12</v>
      </c>
      <c r="K514" s="247">
        <v>12</v>
      </c>
      <c r="L514" s="249" t="s">
        <v>940</v>
      </c>
      <c r="M514" s="249" t="s">
        <v>929</v>
      </c>
      <c r="N514" s="248">
        <v>-5</v>
      </c>
      <c r="O514" s="248">
        <v>-42.91</v>
      </c>
      <c r="P514" s="247" t="s">
        <v>1091</v>
      </c>
      <c r="Q514" s="247" t="s">
        <v>94</v>
      </c>
    </row>
    <row r="515" spans="1:17" x14ac:dyDescent="0.25">
      <c r="A515" s="247" t="s">
        <v>646</v>
      </c>
      <c r="B515" s="247" t="s">
        <v>25</v>
      </c>
      <c r="C515" s="247" t="s">
        <v>1071</v>
      </c>
      <c r="D515" s="247" t="s">
        <v>926</v>
      </c>
      <c r="E515" s="247" t="s">
        <v>961</v>
      </c>
      <c r="F515" s="247" t="s">
        <v>1806</v>
      </c>
      <c r="G515" s="247" t="s">
        <v>1090</v>
      </c>
      <c r="H515" s="247"/>
      <c r="I515" s="247" t="s">
        <v>1807</v>
      </c>
      <c r="J515" s="247">
        <v>12</v>
      </c>
      <c r="K515" s="247">
        <v>12</v>
      </c>
      <c r="L515" s="249" t="s">
        <v>642</v>
      </c>
      <c r="M515" s="249" t="s">
        <v>929</v>
      </c>
      <c r="N515" s="248">
        <v>-8.6999999999999993</v>
      </c>
      <c r="O515" s="248">
        <v>-51.61</v>
      </c>
      <c r="P515" s="247" t="s">
        <v>1091</v>
      </c>
      <c r="Q515" s="247" t="s">
        <v>95</v>
      </c>
    </row>
    <row r="516" spans="1:17" x14ac:dyDescent="0.25">
      <c r="A516" s="247" t="s">
        <v>646</v>
      </c>
      <c r="B516" s="247" t="s">
        <v>25</v>
      </c>
      <c r="C516" s="247" t="s">
        <v>1092</v>
      </c>
      <c r="D516" s="247" t="s">
        <v>926</v>
      </c>
      <c r="E516" s="247" t="s">
        <v>946</v>
      </c>
      <c r="F516" s="247" t="s">
        <v>1808</v>
      </c>
      <c r="G516" s="247" t="s">
        <v>1093</v>
      </c>
      <c r="H516" s="247"/>
      <c r="I516" s="247" t="s">
        <v>1809</v>
      </c>
      <c r="J516" s="247">
        <v>16</v>
      </c>
      <c r="K516" s="247">
        <v>16</v>
      </c>
      <c r="L516" s="249" t="s">
        <v>646</v>
      </c>
      <c r="M516" s="249" t="s">
        <v>933</v>
      </c>
      <c r="N516" s="248">
        <v>0</v>
      </c>
      <c r="O516" s="248">
        <v>-6</v>
      </c>
      <c r="P516" s="247" t="s">
        <v>1094</v>
      </c>
      <c r="Q516" s="247" t="s">
        <v>84</v>
      </c>
    </row>
    <row r="517" spans="1:17" x14ac:dyDescent="0.25">
      <c r="A517" s="247" t="s">
        <v>646</v>
      </c>
      <c r="B517" s="247" t="s">
        <v>25</v>
      </c>
      <c r="C517" s="247" t="s">
        <v>1092</v>
      </c>
      <c r="D517" s="247" t="s">
        <v>926</v>
      </c>
      <c r="E517" s="247" t="s">
        <v>946</v>
      </c>
      <c r="F517" s="247" t="s">
        <v>1808</v>
      </c>
      <c r="G517" s="247" t="s">
        <v>1093</v>
      </c>
      <c r="H517" s="247"/>
      <c r="I517" s="247" t="s">
        <v>1809</v>
      </c>
      <c r="J517" s="247">
        <v>16</v>
      </c>
      <c r="K517" s="247">
        <v>16</v>
      </c>
      <c r="L517" s="249" t="s">
        <v>650</v>
      </c>
      <c r="M517" s="249" t="s">
        <v>933</v>
      </c>
      <c r="N517" s="248">
        <v>0</v>
      </c>
      <c r="O517" s="248">
        <v>-6</v>
      </c>
      <c r="P517" s="247" t="s">
        <v>1094</v>
      </c>
      <c r="Q517" s="247" t="s">
        <v>85</v>
      </c>
    </row>
    <row r="518" spans="1:17" x14ac:dyDescent="0.25">
      <c r="A518" s="247" t="s">
        <v>646</v>
      </c>
      <c r="B518" s="247" t="s">
        <v>25</v>
      </c>
      <c r="C518" s="247" t="s">
        <v>1092</v>
      </c>
      <c r="D518" s="247" t="s">
        <v>926</v>
      </c>
      <c r="E518" s="247" t="s">
        <v>946</v>
      </c>
      <c r="F518" s="247" t="s">
        <v>1808</v>
      </c>
      <c r="G518" s="247" t="s">
        <v>1093</v>
      </c>
      <c r="H518" s="247"/>
      <c r="I518" s="247" t="s">
        <v>1809</v>
      </c>
      <c r="J518" s="247">
        <v>16</v>
      </c>
      <c r="K518" s="247">
        <v>16</v>
      </c>
      <c r="L518" s="249" t="s">
        <v>652</v>
      </c>
      <c r="M518" s="249" t="s">
        <v>933</v>
      </c>
      <c r="N518" s="248">
        <v>0</v>
      </c>
      <c r="O518" s="248">
        <v>-6</v>
      </c>
      <c r="P518" s="247" t="s">
        <v>1094</v>
      </c>
      <c r="Q518" s="247" t="s">
        <v>86</v>
      </c>
    </row>
    <row r="519" spans="1:17" x14ac:dyDescent="0.25">
      <c r="A519" s="247" t="s">
        <v>646</v>
      </c>
      <c r="B519" s="247" t="s">
        <v>25</v>
      </c>
      <c r="C519" s="247" t="s">
        <v>1092</v>
      </c>
      <c r="D519" s="247" t="s">
        <v>1095</v>
      </c>
      <c r="E519" s="247" t="s">
        <v>967</v>
      </c>
      <c r="F519" s="247" t="s">
        <v>1810</v>
      </c>
      <c r="G519" s="247" t="s">
        <v>1096</v>
      </c>
      <c r="H519" s="247"/>
      <c r="I519" s="247" t="s">
        <v>1811</v>
      </c>
      <c r="J519" s="247">
        <v>16</v>
      </c>
      <c r="K519" s="247">
        <v>16</v>
      </c>
      <c r="L519" s="249" t="s">
        <v>646</v>
      </c>
      <c r="M519" s="249" t="s">
        <v>933</v>
      </c>
      <c r="N519" s="248">
        <v>-1</v>
      </c>
      <c r="O519" s="248">
        <v>-2</v>
      </c>
      <c r="P519" s="247" t="s">
        <v>1097</v>
      </c>
      <c r="Q519" s="247" t="s">
        <v>84</v>
      </c>
    </row>
    <row r="520" spans="1:17" x14ac:dyDescent="0.25">
      <c r="A520" s="247" t="s">
        <v>646</v>
      </c>
      <c r="B520" s="247" t="s">
        <v>25</v>
      </c>
      <c r="C520" s="247" t="s">
        <v>1092</v>
      </c>
      <c r="D520" s="247" t="s">
        <v>1095</v>
      </c>
      <c r="E520" s="247" t="s">
        <v>967</v>
      </c>
      <c r="F520" s="247" t="s">
        <v>1810</v>
      </c>
      <c r="G520" s="247" t="s">
        <v>1096</v>
      </c>
      <c r="H520" s="247"/>
      <c r="I520" s="247" t="s">
        <v>1811</v>
      </c>
      <c r="J520" s="247">
        <v>16</v>
      </c>
      <c r="K520" s="247">
        <v>16</v>
      </c>
      <c r="L520" s="249" t="s">
        <v>650</v>
      </c>
      <c r="M520" s="249" t="s">
        <v>933</v>
      </c>
      <c r="N520" s="248">
        <v>-2</v>
      </c>
      <c r="O520" s="248">
        <v>-4</v>
      </c>
      <c r="P520" s="247" t="s">
        <v>1097</v>
      </c>
      <c r="Q520" s="247" t="s">
        <v>85</v>
      </c>
    </row>
    <row r="521" spans="1:17" x14ac:dyDescent="0.25">
      <c r="A521" s="247" t="s">
        <v>646</v>
      </c>
      <c r="B521" s="247" t="s">
        <v>25</v>
      </c>
      <c r="C521" s="247" t="s">
        <v>1092</v>
      </c>
      <c r="D521" s="247" t="s">
        <v>1095</v>
      </c>
      <c r="E521" s="247" t="s">
        <v>967</v>
      </c>
      <c r="F521" s="247" t="s">
        <v>1810</v>
      </c>
      <c r="G521" s="247" t="s">
        <v>1096</v>
      </c>
      <c r="H521" s="247"/>
      <c r="I521" s="247" t="s">
        <v>1811</v>
      </c>
      <c r="J521" s="247">
        <v>16</v>
      </c>
      <c r="K521" s="247">
        <v>16</v>
      </c>
      <c r="L521" s="249" t="s">
        <v>652</v>
      </c>
      <c r="M521" s="249" t="s">
        <v>933</v>
      </c>
      <c r="N521" s="248">
        <v>-1</v>
      </c>
      <c r="O521" s="248">
        <v>-5</v>
      </c>
      <c r="P521" s="247" t="s">
        <v>1097</v>
      </c>
      <c r="Q521" s="247" t="s">
        <v>86</v>
      </c>
    </row>
    <row r="522" spans="1:17" x14ac:dyDescent="0.25">
      <c r="A522" s="247" t="s">
        <v>646</v>
      </c>
      <c r="B522" s="247" t="s">
        <v>25</v>
      </c>
      <c r="C522" s="247" t="s">
        <v>1092</v>
      </c>
      <c r="D522" s="247" t="s">
        <v>1095</v>
      </c>
      <c r="E522" s="247" t="s">
        <v>967</v>
      </c>
      <c r="F522" s="247" t="s">
        <v>1810</v>
      </c>
      <c r="G522" s="247" t="s">
        <v>1096</v>
      </c>
      <c r="H522" s="247"/>
      <c r="I522" s="247" t="s">
        <v>1811</v>
      </c>
      <c r="J522" s="247">
        <v>16</v>
      </c>
      <c r="K522" s="247">
        <v>16</v>
      </c>
      <c r="L522" s="249" t="s">
        <v>789</v>
      </c>
      <c r="M522" s="249" t="s">
        <v>929</v>
      </c>
      <c r="N522" s="248">
        <v>-2</v>
      </c>
      <c r="O522" s="248">
        <v>-2</v>
      </c>
      <c r="P522" s="247" t="s">
        <v>1097</v>
      </c>
      <c r="Q522" s="247" t="s">
        <v>87</v>
      </c>
    </row>
    <row r="523" spans="1:17" x14ac:dyDescent="0.25">
      <c r="A523" s="247" t="s">
        <v>646</v>
      </c>
      <c r="B523" s="247" t="s">
        <v>25</v>
      </c>
      <c r="C523" s="247" t="s">
        <v>1092</v>
      </c>
      <c r="D523" s="247" t="s">
        <v>1095</v>
      </c>
      <c r="E523" s="247" t="s">
        <v>967</v>
      </c>
      <c r="F523" s="247" t="s">
        <v>1810</v>
      </c>
      <c r="G523" s="247" t="s">
        <v>1096</v>
      </c>
      <c r="H523" s="247"/>
      <c r="I523" s="247" t="s">
        <v>1811</v>
      </c>
      <c r="J523" s="247">
        <v>16</v>
      </c>
      <c r="K523" s="247">
        <v>16</v>
      </c>
      <c r="L523" s="249" t="s">
        <v>791</v>
      </c>
      <c r="M523" s="249" t="s">
        <v>929</v>
      </c>
      <c r="N523" s="248">
        <v>-1</v>
      </c>
      <c r="O523" s="248">
        <v>-3</v>
      </c>
      <c r="P523" s="247" t="s">
        <v>1097</v>
      </c>
      <c r="Q523" s="247" t="s">
        <v>88</v>
      </c>
    </row>
    <row r="524" spans="1:17" x14ac:dyDescent="0.25">
      <c r="A524" s="247" t="s">
        <v>646</v>
      </c>
      <c r="B524" s="247" t="s">
        <v>25</v>
      </c>
      <c r="C524" s="247" t="s">
        <v>1092</v>
      </c>
      <c r="D524" s="247" t="s">
        <v>1095</v>
      </c>
      <c r="E524" s="247" t="s">
        <v>967</v>
      </c>
      <c r="F524" s="247" t="s">
        <v>1810</v>
      </c>
      <c r="G524" s="247" t="s">
        <v>1096</v>
      </c>
      <c r="H524" s="247"/>
      <c r="I524" s="247" t="s">
        <v>1811</v>
      </c>
      <c r="J524" s="247">
        <v>16</v>
      </c>
      <c r="K524" s="247">
        <v>16</v>
      </c>
      <c r="L524" s="249" t="s">
        <v>935</v>
      </c>
      <c r="M524" s="249" t="s">
        <v>929</v>
      </c>
      <c r="N524" s="248">
        <v>-4</v>
      </c>
      <c r="O524" s="248">
        <v>-7</v>
      </c>
      <c r="P524" s="247" t="s">
        <v>1097</v>
      </c>
      <c r="Q524" s="247" t="s">
        <v>89</v>
      </c>
    </row>
    <row r="525" spans="1:17" x14ac:dyDescent="0.25">
      <c r="A525" s="247" t="s">
        <v>646</v>
      </c>
      <c r="B525" s="247" t="s">
        <v>25</v>
      </c>
      <c r="C525" s="247" t="s">
        <v>1092</v>
      </c>
      <c r="D525" s="247" t="s">
        <v>1095</v>
      </c>
      <c r="E525" s="247" t="s">
        <v>967</v>
      </c>
      <c r="F525" s="247" t="s">
        <v>1810</v>
      </c>
      <c r="G525" s="247" t="s">
        <v>1096</v>
      </c>
      <c r="H525" s="247"/>
      <c r="I525" s="247" t="s">
        <v>1811</v>
      </c>
      <c r="J525" s="247">
        <v>16</v>
      </c>
      <c r="K525" s="247">
        <v>16</v>
      </c>
      <c r="L525" s="249" t="s">
        <v>936</v>
      </c>
      <c r="M525" s="249" t="s">
        <v>929</v>
      </c>
      <c r="N525" s="248">
        <v>-3</v>
      </c>
      <c r="O525" s="248">
        <v>-10</v>
      </c>
      <c r="P525" s="247" t="s">
        <v>1097</v>
      </c>
      <c r="Q525" s="247" t="s">
        <v>90</v>
      </c>
    </row>
    <row r="526" spans="1:17" x14ac:dyDescent="0.25">
      <c r="A526" s="247" t="s">
        <v>646</v>
      </c>
      <c r="B526" s="247" t="s">
        <v>25</v>
      </c>
      <c r="C526" s="247" t="s">
        <v>1092</v>
      </c>
      <c r="D526" s="247" t="s">
        <v>1095</v>
      </c>
      <c r="E526" s="247" t="s">
        <v>967</v>
      </c>
      <c r="F526" s="247" t="s">
        <v>1810</v>
      </c>
      <c r="G526" s="247" t="s">
        <v>1096</v>
      </c>
      <c r="H526" s="247"/>
      <c r="I526" s="247" t="s">
        <v>1811</v>
      </c>
      <c r="J526" s="247">
        <v>16</v>
      </c>
      <c r="K526" s="247">
        <v>16</v>
      </c>
      <c r="L526" s="249" t="s">
        <v>937</v>
      </c>
      <c r="M526" s="249" t="s">
        <v>929</v>
      </c>
      <c r="N526" s="248">
        <v>-1</v>
      </c>
      <c r="O526" s="248">
        <v>-11</v>
      </c>
      <c r="P526" s="247" t="s">
        <v>1097</v>
      </c>
      <c r="Q526" s="247" t="s">
        <v>91</v>
      </c>
    </row>
    <row r="527" spans="1:17" x14ac:dyDescent="0.25">
      <c r="A527" s="247" t="s">
        <v>646</v>
      </c>
      <c r="B527" s="247" t="s">
        <v>25</v>
      </c>
      <c r="C527" s="247" t="s">
        <v>1092</v>
      </c>
      <c r="D527" s="247" t="s">
        <v>1095</v>
      </c>
      <c r="E527" s="247" t="s">
        <v>967</v>
      </c>
      <c r="F527" s="247" t="s">
        <v>1810</v>
      </c>
      <c r="G527" s="247" t="s">
        <v>1096</v>
      </c>
      <c r="H527" s="247"/>
      <c r="I527" s="247" t="s">
        <v>1811</v>
      </c>
      <c r="J527" s="247">
        <v>16</v>
      </c>
      <c r="K527" s="247">
        <v>16</v>
      </c>
      <c r="L527" s="249" t="s">
        <v>938</v>
      </c>
      <c r="M527" s="249" t="s">
        <v>929</v>
      </c>
      <c r="N527" s="248">
        <v>1</v>
      </c>
      <c r="O527" s="248">
        <v>-10</v>
      </c>
      <c r="P527" s="247" t="s">
        <v>1097</v>
      </c>
      <c r="Q527" s="247" t="s">
        <v>92</v>
      </c>
    </row>
    <row r="528" spans="1:17" x14ac:dyDescent="0.25">
      <c r="A528" s="247" t="s">
        <v>646</v>
      </c>
      <c r="B528" s="247" t="s">
        <v>25</v>
      </c>
      <c r="C528" s="247" t="s">
        <v>1092</v>
      </c>
      <c r="D528" s="247" t="s">
        <v>1095</v>
      </c>
      <c r="E528" s="247" t="s">
        <v>967</v>
      </c>
      <c r="F528" s="247" t="s">
        <v>1810</v>
      </c>
      <c r="G528" s="247" t="s">
        <v>1096</v>
      </c>
      <c r="H528" s="247"/>
      <c r="I528" s="247" t="s">
        <v>1811</v>
      </c>
      <c r="J528" s="247">
        <v>16</v>
      </c>
      <c r="K528" s="247">
        <v>16</v>
      </c>
      <c r="L528" s="249" t="s">
        <v>939</v>
      </c>
      <c r="M528" s="249" t="s">
        <v>929</v>
      </c>
      <c r="N528" s="248">
        <v>0</v>
      </c>
      <c r="O528" s="248">
        <v>-10</v>
      </c>
      <c r="P528" s="247" t="s">
        <v>1097</v>
      </c>
      <c r="Q528" s="247" t="s">
        <v>93</v>
      </c>
    </row>
    <row r="529" spans="1:17" x14ac:dyDescent="0.25">
      <c r="A529" s="247" t="s">
        <v>646</v>
      </c>
      <c r="B529" s="247" t="s">
        <v>25</v>
      </c>
      <c r="C529" s="247" t="s">
        <v>1092</v>
      </c>
      <c r="D529" s="247" t="s">
        <v>1095</v>
      </c>
      <c r="E529" s="247" t="s">
        <v>967</v>
      </c>
      <c r="F529" s="247" t="s">
        <v>1810</v>
      </c>
      <c r="G529" s="247" t="s">
        <v>1096</v>
      </c>
      <c r="H529" s="247"/>
      <c r="I529" s="247" t="s">
        <v>1811</v>
      </c>
      <c r="J529" s="247">
        <v>16</v>
      </c>
      <c r="K529" s="247">
        <v>16</v>
      </c>
      <c r="L529" s="249" t="s">
        <v>940</v>
      </c>
      <c r="M529" s="249" t="s">
        <v>929</v>
      </c>
      <c r="N529" s="248">
        <v>0</v>
      </c>
      <c r="O529" s="248">
        <v>-10</v>
      </c>
      <c r="P529" s="247" t="s">
        <v>1097</v>
      </c>
      <c r="Q529" s="247" t="s">
        <v>94</v>
      </c>
    </row>
    <row r="530" spans="1:17" x14ac:dyDescent="0.25">
      <c r="A530" s="247" t="s">
        <v>646</v>
      </c>
      <c r="B530" s="247" t="s">
        <v>25</v>
      </c>
      <c r="C530" s="247" t="s">
        <v>1092</v>
      </c>
      <c r="D530" s="247" t="s">
        <v>1095</v>
      </c>
      <c r="E530" s="247" t="s">
        <v>967</v>
      </c>
      <c r="F530" s="247" t="s">
        <v>1810</v>
      </c>
      <c r="G530" s="247" t="s">
        <v>1096</v>
      </c>
      <c r="H530" s="247"/>
      <c r="I530" s="247" t="s">
        <v>1811</v>
      </c>
      <c r="J530" s="247">
        <v>16</v>
      </c>
      <c r="K530" s="247">
        <v>16</v>
      </c>
      <c r="L530" s="249" t="s">
        <v>642</v>
      </c>
      <c r="M530" s="249" t="s">
        <v>929</v>
      </c>
      <c r="N530" s="248">
        <v>-2</v>
      </c>
      <c r="O530" s="248">
        <v>-12</v>
      </c>
      <c r="P530" s="247" t="s">
        <v>1097</v>
      </c>
      <c r="Q530" s="247" t="s">
        <v>95</v>
      </c>
    </row>
    <row r="531" spans="1:17" x14ac:dyDescent="0.25">
      <c r="A531" s="247" t="s">
        <v>646</v>
      </c>
      <c r="B531" s="247" t="s">
        <v>25</v>
      </c>
      <c r="C531" s="247" t="s">
        <v>1098</v>
      </c>
      <c r="D531" s="247" t="s">
        <v>926</v>
      </c>
      <c r="E531" s="247" t="s">
        <v>711</v>
      </c>
      <c r="F531" s="247" t="s">
        <v>1812</v>
      </c>
      <c r="G531" s="247" t="s">
        <v>1099</v>
      </c>
      <c r="H531" s="247"/>
      <c r="I531" s="247" t="s">
        <v>1813</v>
      </c>
      <c r="J531" s="247">
        <v>11</v>
      </c>
      <c r="K531" s="247">
        <v>11</v>
      </c>
      <c r="L531" s="249" t="s">
        <v>646</v>
      </c>
      <c r="M531" s="249" t="s">
        <v>933</v>
      </c>
      <c r="N531" s="248">
        <v>0</v>
      </c>
      <c r="O531" s="248">
        <v>-69337.350000000006</v>
      </c>
      <c r="P531" s="247" t="s">
        <v>1100</v>
      </c>
      <c r="Q531" s="247" t="s">
        <v>84</v>
      </c>
    </row>
    <row r="532" spans="1:17" x14ac:dyDescent="0.25">
      <c r="A532" s="247" t="s">
        <v>646</v>
      </c>
      <c r="B532" s="247" t="s">
        <v>25</v>
      </c>
      <c r="C532" s="247" t="s">
        <v>1098</v>
      </c>
      <c r="D532" s="247" t="s">
        <v>926</v>
      </c>
      <c r="E532" s="247" t="s">
        <v>711</v>
      </c>
      <c r="F532" s="247" t="s">
        <v>1812</v>
      </c>
      <c r="G532" s="247" t="s">
        <v>1099</v>
      </c>
      <c r="H532" s="247"/>
      <c r="I532" s="247" t="s">
        <v>1813</v>
      </c>
      <c r="J532" s="247">
        <v>11</v>
      </c>
      <c r="K532" s="247">
        <v>11</v>
      </c>
      <c r="L532" s="249" t="s">
        <v>650</v>
      </c>
      <c r="M532" s="249" t="s">
        <v>933</v>
      </c>
      <c r="N532" s="248">
        <v>0</v>
      </c>
      <c r="O532" s="248">
        <v>-69337.350000000006</v>
      </c>
      <c r="P532" s="247" t="s">
        <v>1100</v>
      </c>
      <c r="Q532" s="247" t="s">
        <v>85</v>
      </c>
    </row>
    <row r="533" spans="1:17" x14ac:dyDescent="0.25">
      <c r="A533" s="247" t="s">
        <v>646</v>
      </c>
      <c r="B533" s="247" t="s">
        <v>25</v>
      </c>
      <c r="C533" s="247" t="s">
        <v>1098</v>
      </c>
      <c r="D533" s="247" t="s">
        <v>926</v>
      </c>
      <c r="E533" s="247" t="s">
        <v>711</v>
      </c>
      <c r="F533" s="247" t="s">
        <v>1812</v>
      </c>
      <c r="G533" s="247" t="s">
        <v>1099</v>
      </c>
      <c r="H533" s="247"/>
      <c r="I533" s="247" t="s">
        <v>1813</v>
      </c>
      <c r="J533" s="247">
        <v>11</v>
      </c>
      <c r="K533" s="247">
        <v>11</v>
      </c>
      <c r="L533" s="249" t="s">
        <v>652</v>
      </c>
      <c r="M533" s="249" t="s">
        <v>933</v>
      </c>
      <c r="N533" s="248">
        <v>0</v>
      </c>
      <c r="O533" s="248">
        <v>-69337.350000000006</v>
      </c>
      <c r="P533" s="247" t="s">
        <v>1100</v>
      </c>
      <c r="Q533" s="247" t="s">
        <v>86</v>
      </c>
    </row>
    <row r="534" spans="1:17" x14ac:dyDescent="0.25">
      <c r="A534" s="247" t="s">
        <v>646</v>
      </c>
      <c r="B534" s="247" t="s">
        <v>25</v>
      </c>
      <c r="C534" s="247" t="s">
        <v>1098</v>
      </c>
      <c r="D534" s="247" t="s">
        <v>926</v>
      </c>
      <c r="E534" s="247" t="s">
        <v>749</v>
      </c>
      <c r="F534" s="247" t="s">
        <v>1814</v>
      </c>
      <c r="G534" s="247" t="s">
        <v>1101</v>
      </c>
      <c r="H534" s="247"/>
      <c r="I534" s="247" t="s">
        <v>1815</v>
      </c>
      <c r="J534" s="247">
        <v>11</v>
      </c>
      <c r="K534" s="247">
        <v>11</v>
      </c>
      <c r="L534" s="249" t="s">
        <v>646</v>
      </c>
      <c r="M534" s="249" t="s">
        <v>933</v>
      </c>
      <c r="N534" s="248">
        <v>-9747.43</v>
      </c>
      <c r="O534" s="248">
        <v>-19445.57</v>
      </c>
      <c r="P534" s="247" t="s">
        <v>1102</v>
      </c>
      <c r="Q534" s="247" t="s">
        <v>84</v>
      </c>
    </row>
    <row r="535" spans="1:17" x14ac:dyDescent="0.25">
      <c r="A535" s="247" t="s">
        <v>646</v>
      </c>
      <c r="B535" s="247" t="s">
        <v>25</v>
      </c>
      <c r="C535" s="247" t="s">
        <v>1098</v>
      </c>
      <c r="D535" s="247" t="s">
        <v>926</v>
      </c>
      <c r="E535" s="247" t="s">
        <v>749</v>
      </c>
      <c r="F535" s="247" t="s">
        <v>1814</v>
      </c>
      <c r="G535" s="247" t="s">
        <v>1101</v>
      </c>
      <c r="H535" s="247"/>
      <c r="I535" s="247" t="s">
        <v>1815</v>
      </c>
      <c r="J535" s="247">
        <v>11</v>
      </c>
      <c r="K535" s="247">
        <v>11</v>
      </c>
      <c r="L535" s="249" t="s">
        <v>650</v>
      </c>
      <c r="M535" s="249" t="s">
        <v>933</v>
      </c>
      <c r="N535" s="248">
        <v>-9682.1200000000008</v>
      </c>
      <c r="O535" s="248">
        <v>-29127.69</v>
      </c>
      <c r="P535" s="247" t="s">
        <v>1102</v>
      </c>
      <c r="Q535" s="247" t="s">
        <v>85</v>
      </c>
    </row>
    <row r="536" spans="1:17" x14ac:dyDescent="0.25">
      <c r="A536" s="247" t="s">
        <v>646</v>
      </c>
      <c r="B536" s="247" t="s">
        <v>25</v>
      </c>
      <c r="C536" s="247" t="s">
        <v>1098</v>
      </c>
      <c r="D536" s="247" t="s">
        <v>926</v>
      </c>
      <c r="E536" s="247" t="s">
        <v>749</v>
      </c>
      <c r="F536" s="247" t="s">
        <v>1814</v>
      </c>
      <c r="G536" s="247" t="s">
        <v>1101</v>
      </c>
      <c r="H536" s="247"/>
      <c r="I536" s="247" t="s">
        <v>1815</v>
      </c>
      <c r="J536" s="247">
        <v>11</v>
      </c>
      <c r="K536" s="247">
        <v>11</v>
      </c>
      <c r="L536" s="249" t="s">
        <v>652</v>
      </c>
      <c r="M536" s="249" t="s">
        <v>933</v>
      </c>
      <c r="N536" s="248">
        <v>-9615.84</v>
      </c>
      <c r="O536" s="248">
        <v>-38743.53</v>
      </c>
      <c r="P536" s="247" t="s">
        <v>1102</v>
      </c>
      <c r="Q536" s="247" t="s">
        <v>86</v>
      </c>
    </row>
    <row r="537" spans="1:17" x14ac:dyDescent="0.25">
      <c r="A537" s="247" t="s">
        <v>646</v>
      </c>
      <c r="B537" s="247" t="s">
        <v>25</v>
      </c>
      <c r="C537" s="247" t="s">
        <v>1098</v>
      </c>
      <c r="D537" s="247" t="s">
        <v>926</v>
      </c>
      <c r="E537" s="247" t="s">
        <v>749</v>
      </c>
      <c r="F537" s="247" t="s">
        <v>1814</v>
      </c>
      <c r="G537" s="247" t="s">
        <v>1101</v>
      </c>
      <c r="H537" s="247"/>
      <c r="I537" s="247" t="s">
        <v>1815</v>
      </c>
      <c r="J537" s="247">
        <v>11</v>
      </c>
      <c r="K537" s="247">
        <v>11</v>
      </c>
      <c r="L537" s="249" t="s">
        <v>789</v>
      </c>
      <c r="M537" s="249" t="s">
        <v>929</v>
      </c>
      <c r="N537" s="248">
        <v>-9694.0400000000009</v>
      </c>
      <c r="O537" s="248">
        <v>-9694.0400000000009</v>
      </c>
      <c r="P537" s="247" t="s">
        <v>1102</v>
      </c>
      <c r="Q537" s="247" t="s">
        <v>87</v>
      </c>
    </row>
    <row r="538" spans="1:17" x14ac:dyDescent="0.25">
      <c r="A538" s="247" t="s">
        <v>646</v>
      </c>
      <c r="B538" s="247" t="s">
        <v>25</v>
      </c>
      <c r="C538" s="247" t="s">
        <v>1098</v>
      </c>
      <c r="D538" s="247" t="s">
        <v>926</v>
      </c>
      <c r="E538" s="247" t="s">
        <v>749</v>
      </c>
      <c r="F538" s="247" t="s">
        <v>1814</v>
      </c>
      <c r="G538" s="247" t="s">
        <v>1101</v>
      </c>
      <c r="H538" s="247"/>
      <c r="I538" s="247" t="s">
        <v>1815</v>
      </c>
      <c r="J538" s="247">
        <v>11</v>
      </c>
      <c r="K538" s="247">
        <v>11</v>
      </c>
      <c r="L538" s="249" t="s">
        <v>791</v>
      </c>
      <c r="M538" s="249" t="s">
        <v>929</v>
      </c>
      <c r="N538" s="248">
        <v>-9636.89</v>
      </c>
      <c r="O538" s="248">
        <v>-19330.93</v>
      </c>
      <c r="P538" s="247" t="s">
        <v>1102</v>
      </c>
      <c r="Q538" s="247" t="s">
        <v>88</v>
      </c>
    </row>
    <row r="539" spans="1:17" x14ac:dyDescent="0.25">
      <c r="A539" s="247" t="s">
        <v>646</v>
      </c>
      <c r="B539" s="247" t="s">
        <v>25</v>
      </c>
      <c r="C539" s="247" t="s">
        <v>1098</v>
      </c>
      <c r="D539" s="247" t="s">
        <v>926</v>
      </c>
      <c r="E539" s="247" t="s">
        <v>749</v>
      </c>
      <c r="F539" s="247" t="s">
        <v>1814</v>
      </c>
      <c r="G539" s="247" t="s">
        <v>1101</v>
      </c>
      <c r="H539" s="247"/>
      <c r="I539" s="247" t="s">
        <v>1815</v>
      </c>
      <c r="J539" s="247">
        <v>11</v>
      </c>
      <c r="K539" s="247">
        <v>11</v>
      </c>
      <c r="L539" s="249" t="s">
        <v>935</v>
      </c>
      <c r="M539" s="249" t="s">
        <v>929</v>
      </c>
      <c r="N539" s="248">
        <v>-9593.2199999999993</v>
      </c>
      <c r="O539" s="248">
        <v>-28924.15</v>
      </c>
      <c r="P539" s="247" t="s">
        <v>1102</v>
      </c>
      <c r="Q539" s="247" t="s">
        <v>89</v>
      </c>
    </row>
    <row r="540" spans="1:17" x14ac:dyDescent="0.25">
      <c r="A540" s="247" t="s">
        <v>646</v>
      </c>
      <c r="B540" s="247" t="s">
        <v>25</v>
      </c>
      <c r="C540" s="247" t="s">
        <v>1098</v>
      </c>
      <c r="D540" s="247" t="s">
        <v>926</v>
      </c>
      <c r="E540" s="247" t="s">
        <v>749</v>
      </c>
      <c r="F540" s="247" t="s">
        <v>1814</v>
      </c>
      <c r="G540" s="247" t="s">
        <v>1101</v>
      </c>
      <c r="H540" s="247"/>
      <c r="I540" s="247" t="s">
        <v>1815</v>
      </c>
      <c r="J540" s="247">
        <v>11</v>
      </c>
      <c r="K540" s="247">
        <v>11</v>
      </c>
      <c r="L540" s="249" t="s">
        <v>936</v>
      </c>
      <c r="M540" s="249" t="s">
        <v>929</v>
      </c>
      <c r="N540" s="248">
        <v>-12344.39</v>
      </c>
      <c r="O540" s="248">
        <v>-41268.54</v>
      </c>
      <c r="P540" s="247" t="s">
        <v>1102</v>
      </c>
      <c r="Q540" s="247" t="s">
        <v>90</v>
      </c>
    </row>
    <row r="541" spans="1:17" x14ac:dyDescent="0.25">
      <c r="A541" s="247" t="s">
        <v>646</v>
      </c>
      <c r="B541" s="247" t="s">
        <v>25</v>
      </c>
      <c r="C541" s="247" t="s">
        <v>1098</v>
      </c>
      <c r="D541" s="247" t="s">
        <v>926</v>
      </c>
      <c r="E541" s="247" t="s">
        <v>749</v>
      </c>
      <c r="F541" s="247" t="s">
        <v>1814</v>
      </c>
      <c r="G541" s="247" t="s">
        <v>1101</v>
      </c>
      <c r="H541" s="247"/>
      <c r="I541" s="247" t="s">
        <v>1815</v>
      </c>
      <c r="J541" s="247">
        <v>11</v>
      </c>
      <c r="K541" s="247">
        <v>11</v>
      </c>
      <c r="L541" s="249" t="s">
        <v>937</v>
      </c>
      <c r="M541" s="249" t="s">
        <v>929</v>
      </c>
      <c r="N541" s="248">
        <v>-9704.27</v>
      </c>
      <c r="O541" s="248">
        <v>-50972.81</v>
      </c>
      <c r="P541" s="247" t="s">
        <v>1102</v>
      </c>
      <c r="Q541" s="247" t="s">
        <v>91</v>
      </c>
    </row>
    <row r="542" spans="1:17" x14ac:dyDescent="0.25">
      <c r="A542" s="247" t="s">
        <v>646</v>
      </c>
      <c r="B542" s="247" t="s">
        <v>25</v>
      </c>
      <c r="C542" s="247" t="s">
        <v>1098</v>
      </c>
      <c r="D542" s="247" t="s">
        <v>926</v>
      </c>
      <c r="E542" s="247" t="s">
        <v>749</v>
      </c>
      <c r="F542" s="247" t="s">
        <v>1814</v>
      </c>
      <c r="G542" s="247" t="s">
        <v>1101</v>
      </c>
      <c r="H542" s="247"/>
      <c r="I542" s="247" t="s">
        <v>1815</v>
      </c>
      <c r="J542" s="247">
        <v>11</v>
      </c>
      <c r="K542" s="247">
        <v>11</v>
      </c>
      <c r="L542" s="249" t="s">
        <v>938</v>
      </c>
      <c r="M542" s="249" t="s">
        <v>929</v>
      </c>
      <c r="N542" s="248">
        <v>-9694.42</v>
      </c>
      <c r="O542" s="248">
        <v>-60667.23</v>
      </c>
      <c r="P542" s="247" t="s">
        <v>1102</v>
      </c>
      <c r="Q542" s="247" t="s">
        <v>92</v>
      </c>
    </row>
    <row r="543" spans="1:17" x14ac:dyDescent="0.25">
      <c r="A543" s="247" t="s">
        <v>646</v>
      </c>
      <c r="B543" s="247" t="s">
        <v>25</v>
      </c>
      <c r="C543" s="247" t="s">
        <v>1098</v>
      </c>
      <c r="D543" s="247" t="s">
        <v>926</v>
      </c>
      <c r="E543" s="247" t="s">
        <v>749</v>
      </c>
      <c r="F543" s="247" t="s">
        <v>1814</v>
      </c>
      <c r="G543" s="247" t="s">
        <v>1101</v>
      </c>
      <c r="H543" s="247"/>
      <c r="I543" s="247" t="s">
        <v>1815</v>
      </c>
      <c r="J543" s="247">
        <v>11</v>
      </c>
      <c r="K543" s="247">
        <v>11</v>
      </c>
      <c r="L543" s="249" t="s">
        <v>939</v>
      </c>
      <c r="M543" s="249" t="s">
        <v>929</v>
      </c>
      <c r="N543" s="248">
        <v>-9769.34</v>
      </c>
      <c r="O543" s="248">
        <v>-70436.570000000007</v>
      </c>
      <c r="P543" s="247" t="s">
        <v>1102</v>
      </c>
      <c r="Q543" s="247" t="s">
        <v>93</v>
      </c>
    </row>
    <row r="544" spans="1:17" x14ac:dyDescent="0.25">
      <c r="A544" s="247" t="s">
        <v>646</v>
      </c>
      <c r="B544" s="247" t="s">
        <v>25</v>
      </c>
      <c r="C544" s="247" t="s">
        <v>1098</v>
      </c>
      <c r="D544" s="247" t="s">
        <v>926</v>
      </c>
      <c r="E544" s="247" t="s">
        <v>749</v>
      </c>
      <c r="F544" s="247" t="s">
        <v>1814</v>
      </c>
      <c r="G544" s="247" t="s">
        <v>1101</v>
      </c>
      <c r="H544" s="247"/>
      <c r="I544" s="247" t="s">
        <v>1815</v>
      </c>
      <c r="J544" s="247">
        <v>11</v>
      </c>
      <c r="K544" s="247">
        <v>11</v>
      </c>
      <c r="L544" s="249" t="s">
        <v>940</v>
      </c>
      <c r="M544" s="249" t="s">
        <v>929</v>
      </c>
      <c r="N544" s="248">
        <v>-9711.48</v>
      </c>
      <c r="O544" s="248">
        <v>-80148.05</v>
      </c>
      <c r="P544" s="247" t="s">
        <v>1102</v>
      </c>
      <c r="Q544" s="247" t="s">
        <v>94</v>
      </c>
    </row>
    <row r="545" spans="1:17" x14ac:dyDescent="0.25">
      <c r="A545" s="247" t="s">
        <v>646</v>
      </c>
      <c r="B545" s="247" t="s">
        <v>25</v>
      </c>
      <c r="C545" s="247" t="s">
        <v>1098</v>
      </c>
      <c r="D545" s="247" t="s">
        <v>926</v>
      </c>
      <c r="E545" s="247" t="s">
        <v>749</v>
      </c>
      <c r="F545" s="247" t="s">
        <v>1814</v>
      </c>
      <c r="G545" s="247" t="s">
        <v>1101</v>
      </c>
      <c r="H545" s="247"/>
      <c r="I545" s="247" t="s">
        <v>1815</v>
      </c>
      <c r="J545" s="247">
        <v>11</v>
      </c>
      <c r="K545" s="247">
        <v>11</v>
      </c>
      <c r="L545" s="249" t="s">
        <v>642</v>
      </c>
      <c r="M545" s="249" t="s">
        <v>929</v>
      </c>
      <c r="N545" s="248">
        <v>-9796.7099999999991</v>
      </c>
      <c r="O545" s="248">
        <v>-89944.76</v>
      </c>
      <c r="P545" s="247" t="s">
        <v>1102</v>
      </c>
      <c r="Q545" s="247" t="s">
        <v>95</v>
      </c>
    </row>
    <row r="546" spans="1:17" x14ac:dyDescent="0.25">
      <c r="A546" s="247" t="s">
        <v>646</v>
      </c>
      <c r="B546" s="247" t="s">
        <v>25</v>
      </c>
      <c r="C546" s="247" t="s">
        <v>1098</v>
      </c>
      <c r="D546" s="247" t="s">
        <v>926</v>
      </c>
      <c r="E546" s="247" t="s">
        <v>569</v>
      </c>
      <c r="F546" s="247" t="s">
        <v>1816</v>
      </c>
      <c r="G546" s="247" t="s">
        <v>1103</v>
      </c>
      <c r="H546" s="247"/>
      <c r="I546" s="247" t="s">
        <v>1817</v>
      </c>
      <c r="J546" s="247">
        <v>11</v>
      </c>
      <c r="K546" s="247">
        <v>11</v>
      </c>
      <c r="L546" s="249" t="s">
        <v>646</v>
      </c>
      <c r="M546" s="249" t="s">
        <v>933</v>
      </c>
      <c r="N546" s="248">
        <v>0</v>
      </c>
      <c r="O546" s="248">
        <v>-18183.84</v>
      </c>
      <c r="P546" s="247" t="s">
        <v>1104</v>
      </c>
      <c r="Q546" s="247" t="s">
        <v>84</v>
      </c>
    </row>
    <row r="547" spans="1:17" x14ac:dyDescent="0.25">
      <c r="A547" s="247" t="s">
        <v>646</v>
      </c>
      <c r="B547" s="247" t="s">
        <v>25</v>
      </c>
      <c r="C547" s="247" t="s">
        <v>1098</v>
      </c>
      <c r="D547" s="247" t="s">
        <v>926</v>
      </c>
      <c r="E547" s="247" t="s">
        <v>569</v>
      </c>
      <c r="F547" s="247" t="s">
        <v>1816</v>
      </c>
      <c r="G547" s="247" t="s">
        <v>1103</v>
      </c>
      <c r="H547" s="247"/>
      <c r="I547" s="247" t="s">
        <v>1817</v>
      </c>
      <c r="J547" s="247">
        <v>11</v>
      </c>
      <c r="K547" s="247">
        <v>11</v>
      </c>
      <c r="L547" s="249" t="s">
        <v>650</v>
      </c>
      <c r="M547" s="249" t="s">
        <v>933</v>
      </c>
      <c r="N547" s="248">
        <v>0</v>
      </c>
      <c r="O547" s="248">
        <v>-18183.84</v>
      </c>
      <c r="P547" s="247" t="s">
        <v>1104</v>
      </c>
      <c r="Q547" s="247" t="s">
        <v>85</v>
      </c>
    </row>
    <row r="548" spans="1:17" x14ac:dyDescent="0.25">
      <c r="A548" s="247" t="s">
        <v>646</v>
      </c>
      <c r="B548" s="247" t="s">
        <v>25</v>
      </c>
      <c r="C548" s="247" t="s">
        <v>1098</v>
      </c>
      <c r="D548" s="247" t="s">
        <v>926</v>
      </c>
      <c r="E548" s="247" t="s">
        <v>569</v>
      </c>
      <c r="F548" s="247" t="s">
        <v>1816</v>
      </c>
      <c r="G548" s="247" t="s">
        <v>1103</v>
      </c>
      <c r="H548" s="247"/>
      <c r="I548" s="247" t="s">
        <v>1817</v>
      </c>
      <c r="J548" s="247">
        <v>11</v>
      </c>
      <c r="K548" s="247">
        <v>11</v>
      </c>
      <c r="L548" s="249" t="s">
        <v>652</v>
      </c>
      <c r="M548" s="249" t="s">
        <v>933</v>
      </c>
      <c r="N548" s="248">
        <v>0</v>
      </c>
      <c r="O548" s="248">
        <v>-18183.84</v>
      </c>
      <c r="P548" s="247" t="s">
        <v>1104</v>
      </c>
      <c r="Q548" s="247" t="s">
        <v>86</v>
      </c>
    </row>
    <row r="549" spans="1:17" x14ac:dyDescent="0.25">
      <c r="A549" s="247" t="s">
        <v>646</v>
      </c>
      <c r="B549" s="247" t="s">
        <v>25</v>
      </c>
      <c r="C549" s="247" t="s">
        <v>1098</v>
      </c>
      <c r="D549" s="247" t="s">
        <v>926</v>
      </c>
      <c r="E549" s="247" t="s">
        <v>519</v>
      </c>
      <c r="F549" s="247" t="s">
        <v>1818</v>
      </c>
      <c r="G549" s="247" t="s">
        <v>1105</v>
      </c>
      <c r="H549" s="247"/>
      <c r="I549" s="247" t="s">
        <v>1819</v>
      </c>
      <c r="J549" s="247">
        <v>11</v>
      </c>
      <c r="K549" s="247">
        <v>11</v>
      </c>
      <c r="L549" s="249" t="s">
        <v>646</v>
      </c>
      <c r="M549" s="249" t="s">
        <v>933</v>
      </c>
      <c r="N549" s="248">
        <v>-1926.37</v>
      </c>
      <c r="O549" s="248">
        <v>-3464.15</v>
      </c>
      <c r="P549" s="247" t="s">
        <v>1106</v>
      </c>
      <c r="Q549" s="247" t="s">
        <v>84</v>
      </c>
    </row>
    <row r="550" spans="1:17" x14ac:dyDescent="0.25">
      <c r="A550" s="247" t="s">
        <v>646</v>
      </c>
      <c r="B550" s="247" t="s">
        <v>25</v>
      </c>
      <c r="C550" s="247" t="s">
        <v>1098</v>
      </c>
      <c r="D550" s="247" t="s">
        <v>926</v>
      </c>
      <c r="E550" s="247" t="s">
        <v>519</v>
      </c>
      <c r="F550" s="247" t="s">
        <v>1818</v>
      </c>
      <c r="G550" s="247" t="s">
        <v>1105</v>
      </c>
      <c r="H550" s="247"/>
      <c r="I550" s="247" t="s">
        <v>1819</v>
      </c>
      <c r="J550" s="247">
        <v>11</v>
      </c>
      <c r="K550" s="247">
        <v>11</v>
      </c>
      <c r="L550" s="249" t="s">
        <v>650</v>
      </c>
      <c r="M550" s="249" t="s">
        <v>933</v>
      </c>
      <c r="N550" s="248">
        <v>-1518.17</v>
      </c>
      <c r="O550" s="248">
        <v>-4982.32</v>
      </c>
      <c r="P550" s="247" t="s">
        <v>1106</v>
      </c>
      <c r="Q550" s="247" t="s">
        <v>85</v>
      </c>
    </row>
    <row r="551" spans="1:17" x14ac:dyDescent="0.25">
      <c r="A551" s="247" t="s">
        <v>646</v>
      </c>
      <c r="B551" s="247" t="s">
        <v>25</v>
      </c>
      <c r="C551" s="247" t="s">
        <v>1098</v>
      </c>
      <c r="D551" s="247" t="s">
        <v>926</v>
      </c>
      <c r="E551" s="247" t="s">
        <v>519</v>
      </c>
      <c r="F551" s="247" t="s">
        <v>1818</v>
      </c>
      <c r="G551" s="247" t="s">
        <v>1105</v>
      </c>
      <c r="H551" s="247"/>
      <c r="I551" s="247" t="s">
        <v>1819</v>
      </c>
      <c r="J551" s="247">
        <v>11</v>
      </c>
      <c r="K551" s="247">
        <v>11</v>
      </c>
      <c r="L551" s="249" t="s">
        <v>652</v>
      </c>
      <c r="M551" s="249" t="s">
        <v>933</v>
      </c>
      <c r="N551" s="248">
        <v>-1518.17</v>
      </c>
      <c r="O551" s="248">
        <v>-6500.49</v>
      </c>
      <c r="P551" s="247" t="s">
        <v>1106</v>
      </c>
      <c r="Q551" s="247" t="s">
        <v>86</v>
      </c>
    </row>
    <row r="552" spans="1:17" x14ac:dyDescent="0.25">
      <c r="A552" s="247" t="s">
        <v>646</v>
      </c>
      <c r="B552" s="247" t="s">
        <v>25</v>
      </c>
      <c r="C552" s="247" t="s">
        <v>1098</v>
      </c>
      <c r="D552" s="247" t="s">
        <v>926</v>
      </c>
      <c r="E552" s="247" t="s">
        <v>519</v>
      </c>
      <c r="F552" s="247" t="s">
        <v>1818</v>
      </c>
      <c r="G552" s="247" t="s">
        <v>1105</v>
      </c>
      <c r="H552" s="247"/>
      <c r="I552" s="247" t="s">
        <v>1819</v>
      </c>
      <c r="J552" s="247">
        <v>11</v>
      </c>
      <c r="K552" s="247">
        <v>11</v>
      </c>
      <c r="L552" s="249" t="s">
        <v>789</v>
      </c>
      <c r="M552" s="249" t="s">
        <v>929</v>
      </c>
      <c r="N552" s="248">
        <v>-1518.17</v>
      </c>
      <c r="O552" s="248">
        <v>-1518.17</v>
      </c>
      <c r="P552" s="247" t="s">
        <v>1106</v>
      </c>
      <c r="Q552" s="247" t="s">
        <v>87</v>
      </c>
    </row>
    <row r="553" spans="1:17" x14ac:dyDescent="0.25">
      <c r="A553" s="247" t="s">
        <v>646</v>
      </c>
      <c r="B553" s="247" t="s">
        <v>25</v>
      </c>
      <c r="C553" s="247" t="s">
        <v>1098</v>
      </c>
      <c r="D553" s="247" t="s">
        <v>926</v>
      </c>
      <c r="E553" s="247" t="s">
        <v>519</v>
      </c>
      <c r="F553" s="247" t="s">
        <v>1818</v>
      </c>
      <c r="G553" s="247" t="s">
        <v>1105</v>
      </c>
      <c r="H553" s="247"/>
      <c r="I553" s="247" t="s">
        <v>1819</v>
      </c>
      <c r="J553" s="247">
        <v>11</v>
      </c>
      <c r="K553" s="247">
        <v>11</v>
      </c>
      <c r="L553" s="249" t="s">
        <v>791</v>
      </c>
      <c r="M553" s="249" t="s">
        <v>929</v>
      </c>
      <c r="N553" s="248">
        <v>-1590.16</v>
      </c>
      <c r="O553" s="248">
        <v>-3108.33</v>
      </c>
      <c r="P553" s="247" t="s">
        <v>1106</v>
      </c>
      <c r="Q553" s="247" t="s">
        <v>88</v>
      </c>
    </row>
    <row r="554" spans="1:17" x14ac:dyDescent="0.25">
      <c r="A554" s="247" t="s">
        <v>646</v>
      </c>
      <c r="B554" s="247" t="s">
        <v>25</v>
      </c>
      <c r="C554" s="247" t="s">
        <v>1098</v>
      </c>
      <c r="D554" s="247" t="s">
        <v>926</v>
      </c>
      <c r="E554" s="247" t="s">
        <v>519</v>
      </c>
      <c r="F554" s="247" t="s">
        <v>1818</v>
      </c>
      <c r="G554" s="247" t="s">
        <v>1105</v>
      </c>
      <c r="H554" s="247"/>
      <c r="I554" s="247" t="s">
        <v>1819</v>
      </c>
      <c r="J554" s="247">
        <v>11</v>
      </c>
      <c r="K554" s="247">
        <v>11</v>
      </c>
      <c r="L554" s="249" t="s">
        <v>935</v>
      </c>
      <c r="M554" s="249" t="s">
        <v>929</v>
      </c>
      <c r="N554" s="248">
        <v>-1481.36</v>
      </c>
      <c r="O554" s="248">
        <v>-4589.6899999999996</v>
      </c>
      <c r="P554" s="247" t="s">
        <v>1106</v>
      </c>
      <c r="Q554" s="247" t="s">
        <v>89</v>
      </c>
    </row>
    <row r="555" spans="1:17" x14ac:dyDescent="0.25">
      <c r="A555" s="247" t="s">
        <v>646</v>
      </c>
      <c r="B555" s="247" t="s">
        <v>25</v>
      </c>
      <c r="C555" s="247" t="s">
        <v>1098</v>
      </c>
      <c r="D555" s="247" t="s">
        <v>926</v>
      </c>
      <c r="E555" s="247" t="s">
        <v>519</v>
      </c>
      <c r="F555" s="247" t="s">
        <v>1818</v>
      </c>
      <c r="G555" s="247" t="s">
        <v>1105</v>
      </c>
      <c r="H555" s="247"/>
      <c r="I555" s="247" t="s">
        <v>1819</v>
      </c>
      <c r="J555" s="247">
        <v>11</v>
      </c>
      <c r="K555" s="247">
        <v>11</v>
      </c>
      <c r="L555" s="249" t="s">
        <v>936</v>
      </c>
      <c r="M555" s="249" t="s">
        <v>929</v>
      </c>
      <c r="N555" s="248">
        <v>-1481.36</v>
      </c>
      <c r="O555" s="248">
        <v>-6071.05</v>
      </c>
      <c r="P555" s="247" t="s">
        <v>1106</v>
      </c>
      <c r="Q555" s="247" t="s">
        <v>90</v>
      </c>
    </row>
    <row r="556" spans="1:17" x14ac:dyDescent="0.25">
      <c r="A556" s="247" t="s">
        <v>646</v>
      </c>
      <c r="B556" s="247" t="s">
        <v>25</v>
      </c>
      <c r="C556" s="247" t="s">
        <v>1098</v>
      </c>
      <c r="D556" s="247" t="s">
        <v>926</v>
      </c>
      <c r="E556" s="247" t="s">
        <v>519</v>
      </c>
      <c r="F556" s="247" t="s">
        <v>1818</v>
      </c>
      <c r="G556" s="247" t="s">
        <v>1105</v>
      </c>
      <c r="H556" s="247"/>
      <c r="I556" s="247" t="s">
        <v>1819</v>
      </c>
      <c r="J556" s="247">
        <v>11</v>
      </c>
      <c r="K556" s="247">
        <v>11</v>
      </c>
      <c r="L556" s="249" t="s">
        <v>937</v>
      </c>
      <c r="M556" s="249" t="s">
        <v>929</v>
      </c>
      <c r="N556" s="248">
        <v>-1580.97</v>
      </c>
      <c r="O556" s="248">
        <v>-7652.02</v>
      </c>
      <c r="P556" s="247" t="s">
        <v>1106</v>
      </c>
      <c r="Q556" s="247" t="s">
        <v>91</v>
      </c>
    </row>
    <row r="557" spans="1:17" x14ac:dyDescent="0.25">
      <c r="A557" s="247" t="s">
        <v>646</v>
      </c>
      <c r="B557" s="247" t="s">
        <v>25</v>
      </c>
      <c r="C557" s="247" t="s">
        <v>1098</v>
      </c>
      <c r="D557" s="247" t="s">
        <v>926</v>
      </c>
      <c r="E557" s="247" t="s">
        <v>519</v>
      </c>
      <c r="F557" s="247" t="s">
        <v>1818</v>
      </c>
      <c r="G557" s="247" t="s">
        <v>1105</v>
      </c>
      <c r="H557" s="247"/>
      <c r="I557" s="247" t="s">
        <v>1819</v>
      </c>
      <c r="J557" s="247">
        <v>11</v>
      </c>
      <c r="K557" s="247">
        <v>11</v>
      </c>
      <c r="L557" s="249" t="s">
        <v>938</v>
      </c>
      <c r="M557" s="249" t="s">
        <v>929</v>
      </c>
      <c r="N557" s="248">
        <v>-1538.11</v>
      </c>
      <c r="O557" s="248">
        <v>-9190.1299999999992</v>
      </c>
      <c r="P557" s="247" t="s">
        <v>1106</v>
      </c>
      <c r="Q557" s="247" t="s">
        <v>92</v>
      </c>
    </row>
    <row r="558" spans="1:17" x14ac:dyDescent="0.25">
      <c r="A558" s="247" t="s">
        <v>646</v>
      </c>
      <c r="B558" s="247" t="s">
        <v>25</v>
      </c>
      <c r="C558" s="247" t="s">
        <v>1098</v>
      </c>
      <c r="D558" s="247" t="s">
        <v>926</v>
      </c>
      <c r="E558" s="247" t="s">
        <v>519</v>
      </c>
      <c r="F558" s="247" t="s">
        <v>1818</v>
      </c>
      <c r="G558" s="247" t="s">
        <v>1105</v>
      </c>
      <c r="H558" s="247"/>
      <c r="I558" s="247" t="s">
        <v>1819</v>
      </c>
      <c r="J558" s="247">
        <v>11</v>
      </c>
      <c r="K558" s="247">
        <v>11</v>
      </c>
      <c r="L558" s="249" t="s">
        <v>939</v>
      </c>
      <c r="M558" s="249" t="s">
        <v>929</v>
      </c>
      <c r="N558" s="248">
        <v>-1518.17</v>
      </c>
      <c r="O558" s="248">
        <v>-10708.3</v>
      </c>
      <c r="P558" s="247" t="s">
        <v>1106</v>
      </c>
      <c r="Q558" s="247" t="s">
        <v>93</v>
      </c>
    </row>
    <row r="559" spans="1:17" x14ac:dyDescent="0.25">
      <c r="A559" s="247" t="s">
        <v>646</v>
      </c>
      <c r="B559" s="247" t="s">
        <v>25</v>
      </c>
      <c r="C559" s="247" t="s">
        <v>1098</v>
      </c>
      <c r="D559" s="247" t="s">
        <v>926</v>
      </c>
      <c r="E559" s="247" t="s">
        <v>519</v>
      </c>
      <c r="F559" s="247" t="s">
        <v>1818</v>
      </c>
      <c r="G559" s="247" t="s">
        <v>1105</v>
      </c>
      <c r="H559" s="247"/>
      <c r="I559" s="247" t="s">
        <v>1819</v>
      </c>
      <c r="J559" s="247">
        <v>11</v>
      </c>
      <c r="K559" s="247">
        <v>11</v>
      </c>
      <c r="L559" s="249" t="s">
        <v>940</v>
      </c>
      <c r="M559" s="249" t="s">
        <v>929</v>
      </c>
      <c r="N559" s="248">
        <v>-1905.69</v>
      </c>
      <c r="O559" s="248">
        <v>-12613.99</v>
      </c>
      <c r="P559" s="247" t="s">
        <v>1106</v>
      </c>
      <c r="Q559" s="247" t="s">
        <v>94</v>
      </c>
    </row>
    <row r="560" spans="1:17" x14ac:dyDescent="0.25">
      <c r="A560" s="247" t="s">
        <v>646</v>
      </c>
      <c r="B560" s="247" t="s">
        <v>25</v>
      </c>
      <c r="C560" s="247" t="s">
        <v>1098</v>
      </c>
      <c r="D560" s="247" t="s">
        <v>926</v>
      </c>
      <c r="E560" s="247" t="s">
        <v>519</v>
      </c>
      <c r="F560" s="247" t="s">
        <v>1818</v>
      </c>
      <c r="G560" s="247" t="s">
        <v>1105</v>
      </c>
      <c r="H560" s="247"/>
      <c r="I560" s="247" t="s">
        <v>1819</v>
      </c>
      <c r="J560" s="247">
        <v>11</v>
      </c>
      <c r="K560" s="247">
        <v>11</v>
      </c>
      <c r="L560" s="249" t="s">
        <v>642</v>
      </c>
      <c r="M560" s="249" t="s">
        <v>929</v>
      </c>
      <c r="N560" s="248">
        <v>-1616.41</v>
      </c>
      <c r="O560" s="248">
        <v>-14230.4</v>
      </c>
      <c r="P560" s="247" t="s">
        <v>1106</v>
      </c>
      <c r="Q560" s="247" t="s">
        <v>95</v>
      </c>
    </row>
    <row r="561" spans="1:17" x14ac:dyDescent="0.25">
      <c r="A561" s="247" t="s">
        <v>646</v>
      </c>
      <c r="B561" s="247" t="s">
        <v>25</v>
      </c>
      <c r="C561" s="247" t="s">
        <v>1098</v>
      </c>
      <c r="D561" s="247" t="s">
        <v>926</v>
      </c>
      <c r="E561" s="247" t="s">
        <v>946</v>
      </c>
      <c r="F561" s="247" t="s">
        <v>1820</v>
      </c>
      <c r="G561" s="247" t="s">
        <v>1107</v>
      </c>
      <c r="H561" s="247"/>
      <c r="I561" s="247" t="s">
        <v>1821</v>
      </c>
      <c r="J561" s="247">
        <v>11</v>
      </c>
      <c r="K561" s="247">
        <v>11</v>
      </c>
      <c r="L561" s="249" t="s">
        <v>646</v>
      </c>
      <c r="M561" s="249" t="s">
        <v>933</v>
      </c>
      <c r="N561" s="248">
        <v>0</v>
      </c>
      <c r="O561" s="248">
        <v>-8739.84</v>
      </c>
      <c r="P561" s="247" t="s">
        <v>1108</v>
      </c>
      <c r="Q561" s="247" t="s">
        <v>84</v>
      </c>
    </row>
    <row r="562" spans="1:17" x14ac:dyDescent="0.25">
      <c r="A562" s="247" t="s">
        <v>646</v>
      </c>
      <c r="B562" s="247" t="s">
        <v>25</v>
      </c>
      <c r="C562" s="247" t="s">
        <v>1098</v>
      </c>
      <c r="D562" s="247" t="s">
        <v>926</v>
      </c>
      <c r="E562" s="247" t="s">
        <v>946</v>
      </c>
      <c r="F562" s="247" t="s">
        <v>1820</v>
      </c>
      <c r="G562" s="247" t="s">
        <v>1107</v>
      </c>
      <c r="H562" s="247"/>
      <c r="I562" s="247" t="s">
        <v>1821</v>
      </c>
      <c r="J562" s="247">
        <v>11</v>
      </c>
      <c r="K562" s="247">
        <v>11</v>
      </c>
      <c r="L562" s="249" t="s">
        <v>650</v>
      </c>
      <c r="M562" s="249" t="s">
        <v>933</v>
      </c>
      <c r="N562" s="248">
        <v>0</v>
      </c>
      <c r="O562" s="248">
        <v>-8739.84</v>
      </c>
      <c r="P562" s="247" t="s">
        <v>1108</v>
      </c>
      <c r="Q562" s="247" t="s">
        <v>85</v>
      </c>
    </row>
    <row r="563" spans="1:17" x14ac:dyDescent="0.25">
      <c r="A563" s="247" t="s">
        <v>646</v>
      </c>
      <c r="B563" s="247" t="s">
        <v>25</v>
      </c>
      <c r="C563" s="247" t="s">
        <v>1098</v>
      </c>
      <c r="D563" s="247" t="s">
        <v>926</v>
      </c>
      <c r="E563" s="247" t="s">
        <v>946</v>
      </c>
      <c r="F563" s="247" t="s">
        <v>1820</v>
      </c>
      <c r="G563" s="247" t="s">
        <v>1107</v>
      </c>
      <c r="H563" s="247"/>
      <c r="I563" s="247" t="s">
        <v>1821</v>
      </c>
      <c r="J563" s="247">
        <v>11</v>
      </c>
      <c r="K563" s="247">
        <v>11</v>
      </c>
      <c r="L563" s="249" t="s">
        <v>652</v>
      </c>
      <c r="M563" s="249" t="s">
        <v>933</v>
      </c>
      <c r="N563" s="248">
        <v>0</v>
      </c>
      <c r="O563" s="248">
        <v>-8739.84</v>
      </c>
      <c r="P563" s="247" t="s">
        <v>1108</v>
      </c>
      <c r="Q563" s="247" t="s">
        <v>86</v>
      </c>
    </row>
    <row r="564" spans="1:17" x14ac:dyDescent="0.25">
      <c r="A564" s="247" t="s">
        <v>646</v>
      </c>
      <c r="B564" s="247" t="s">
        <v>25</v>
      </c>
      <c r="C564" s="247" t="s">
        <v>1098</v>
      </c>
      <c r="D564" s="247" t="s">
        <v>926</v>
      </c>
      <c r="E564" s="247" t="s">
        <v>1109</v>
      </c>
      <c r="F564" s="247" t="s">
        <v>1822</v>
      </c>
      <c r="G564" s="247" t="s">
        <v>1110</v>
      </c>
      <c r="H564" s="247"/>
      <c r="I564" s="247" t="s">
        <v>1823</v>
      </c>
      <c r="J564" s="247">
        <v>11</v>
      </c>
      <c r="K564" s="247">
        <v>11</v>
      </c>
      <c r="L564" s="249" t="s">
        <v>789</v>
      </c>
      <c r="M564" s="249" t="s">
        <v>929</v>
      </c>
      <c r="N564" s="248">
        <v>-9.26</v>
      </c>
      <c r="O564" s="248">
        <v>-9.26</v>
      </c>
      <c r="P564" s="247" t="s">
        <v>1111</v>
      </c>
      <c r="Q564" s="247" t="s">
        <v>87</v>
      </c>
    </row>
    <row r="565" spans="1:17" x14ac:dyDescent="0.25">
      <c r="A565" s="247" t="s">
        <v>646</v>
      </c>
      <c r="B565" s="247" t="s">
        <v>25</v>
      </c>
      <c r="C565" s="247" t="s">
        <v>1098</v>
      </c>
      <c r="D565" s="247" t="s">
        <v>926</v>
      </c>
      <c r="E565" s="247" t="s">
        <v>1109</v>
      </c>
      <c r="F565" s="247" t="s">
        <v>1822</v>
      </c>
      <c r="G565" s="247" t="s">
        <v>1110</v>
      </c>
      <c r="H565" s="247"/>
      <c r="I565" s="247" t="s">
        <v>1823</v>
      </c>
      <c r="J565" s="247">
        <v>11</v>
      </c>
      <c r="K565" s="247">
        <v>11</v>
      </c>
      <c r="L565" s="249" t="s">
        <v>791</v>
      </c>
      <c r="M565" s="249" t="s">
        <v>929</v>
      </c>
      <c r="N565" s="248">
        <v>0</v>
      </c>
      <c r="O565" s="248">
        <v>-9.26</v>
      </c>
      <c r="P565" s="247" t="s">
        <v>1111</v>
      </c>
      <c r="Q565" s="247" t="s">
        <v>88</v>
      </c>
    </row>
    <row r="566" spans="1:17" x14ac:dyDescent="0.25">
      <c r="A566" s="247" t="s">
        <v>646</v>
      </c>
      <c r="B566" s="247" t="s">
        <v>25</v>
      </c>
      <c r="C566" s="247" t="s">
        <v>1098</v>
      </c>
      <c r="D566" s="247" t="s">
        <v>926</v>
      </c>
      <c r="E566" s="247" t="s">
        <v>1109</v>
      </c>
      <c r="F566" s="247" t="s">
        <v>1822</v>
      </c>
      <c r="G566" s="247" t="s">
        <v>1110</v>
      </c>
      <c r="H566" s="247"/>
      <c r="I566" s="247" t="s">
        <v>1823</v>
      </c>
      <c r="J566" s="247">
        <v>11</v>
      </c>
      <c r="K566" s="247">
        <v>11</v>
      </c>
      <c r="L566" s="249" t="s">
        <v>935</v>
      </c>
      <c r="M566" s="249" t="s">
        <v>929</v>
      </c>
      <c r="N566" s="248">
        <v>0</v>
      </c>
      <c r="O566" s="248">
        <v>-9.26</v>
      </c>
      <c r="P566" s="247" t="s">
        <v>1111</v>
      </c>
      <c r="Q566" s="247" t="s">
        <v>89</v>
      </c>
    </row>
    <row r="567" spans="1:17" x14ac:dyDescent="0.25">
      <c r="A567" s="247" t="s">
        <v>646</v>
      </c>
      <c r="B567" s="247" t="s">
        <v>25</v>
      </c>
      <c r="C567" s="247" t="s">
        <v>1098</v>
      </c>
      <c r="D567" s="247" t="s">
        <v>926</v>
      </c>
      <c r="E567" s="247" t="s">
        <v>1109</v>
      </c>
      <c r="F567" s="247" t="s">
        <v>1822</v>
      </c>
      <c r="G567" s="247" t="s">
        <v>1110</v>
      </c>
      <c r="H567" s="247"/>
      <c r="I567" s="247" t="s">
        <v>1823</v>
      </c>
      <c r="J567" s="247">
        <v>11</v>
      </c>
      <c r="K567" s="247">
        <v>11</v>
      </c>
      <c r="L567" s="249" t="s">
        <v>936</v>
      </c>
      <c r="M567" s="249" t="s">
        <v>929</v>
      </c>
      <c r="N567" s="248">
        <v>-66.47</v>
      </c>
      <c r="O567" s="248">
        <v>-75.73</v>
      </c>
      <c r="P567" s="247" t="s">
        <v>1111</v>
      </c>
      <c r="Q567" s="247" t="s">
        <v>90</v>
      </c>
    </row>
    <row r="568" spans="1:17" x14ac:dyDescent="0.25">
      <c r="A568" s="247" t="s">
        <v>646</v>
      </c>
      <c r="B568" s="247" t="s">
        <v>25</v>
      </c>
      <c r="C568" s="247" t="s">
        <v>1098</v>
      </c>
      <c r="D568" s="247" t="s">
        <v>926</v>
      </c>
      <c r="E568" s="247" t="s">
        <v>1109</v>
      </c>
      <c r="F568" s="247" t="s">
        <v>1822</v>
      </c>
      <c r="G568" s="247" t="s">
        <v>1110</v>
      </c>
      <c r="H568" s="247"/>
      <c r="I568" s="247" t="s">
        <v>1823</v>
      </c>
      <c r="J568" s="247">
        <v>11</v>
      </c>
      <c r="K568" s="247">
        <v>11</v>
      </c>
      <c r="L568" s="249" t="s">
        <v>937</v>
      </c>
      <c r="M568" s="249" t="s">
        <v>929</v>
      </c>
      <c r="N568" s="248">
        <v>0</v>
      </c>
      <c r="O568" s="248">
        <v>-75.73</v>
      </c>
      <c r="P568" s="247" t="s">
        <v>1111</v>
      </c>
      <c r="Q568" s="247" t="s">
        <v>91</v>
      </c>
    </row>
    <row r="569" spans="1:17" x14ac:dyDescent="0.25">
      <c r="A569" s="247" t="s">
        <v>646</v>
      </c>
      <c r="B569" s="247" t="s">
        <v>25</v>
      </c>
      <c r="C569" s="247" t="s">
        <v>1098</v>
      </c>
      <c r="D569" s="247" t="s">
        <v>926</v>
      </c>
      <c r="E569" s="247" t="s">
        <v>1109</v>
      </c>
      <c r="F569" s="247" t="s">
        <v>1822</v>
      </c>
      <c r="G569" s="247" t="s">
        <v>1110</v>
      </c>
      <c r="H569" s="247"/>
      <c r="I569" s="247" t="s">
        <v>1823</v>
      </c>
      <c r="J569" s="247">
        <v>11</v>
      </c>
      <c r="K569" s="247">
        <v>11</v>
      </c>
      <c r="L569" s="249" t="s">
        <v>938</v>
      </c>
      <c r="M569" s="249" t="s">
        <v>929</v>
      </c>
      <c r="N569" s="248">
        <v>0</v>
      </c>
      <c r="O569" s="248">
        <v>-75.73</v>
      </c>
      <c r="P569" s="247" t="s">
        <v>1111</v>
      </c>
      <c r="Q569" s="247" t="s">
        <v>92</v>
      </c>
    </row>
    <row r="570" spans="1:17" x14ac:dyDescent="0.25">
      <c r="A570" s="247" t="s">
        <v>646</v>
      </c>
      <c r="B570" s="247" t="s">
        <v>25</v>
      </c>
      <c r="C570" s="247" t="s">
        <v>1098</v>
      </c>
      <c r="D570" s="247" t="s">
        <v>926</v>
      </c>
      <c r="E570" s="247" t="s">
        <v>1109</v>
      </c>
      <c r="F570" s="247" t="s">
        <v>1822</v>
      </c>
      <c r="G570" s="247" t="s">
        <v>1110</v>
      </c>
      <c r="H570" s="247"/>
      <c r="I570" s="247" t="s">
        <v>1823</v>
      </c>
      <c r="J570" s="247">
        <v>11</v>
      </c>
      <c r="K570" s="247">
        <v>11</v>
      </c>
      <c r="L570" s="249" t="s">
        <v>939</v>
      </c>
      <c r="M570" s="249" t="s">
        <v>929</v>
      </c>
      <c r="N570" s="248">
        <v>0</v>
      </c>
      <c r="O570" s="248">
        <v>-75.73</v>
      </c>
      <c r="P570" s="247" t="s">
        <v>1111</v>
      </c>
      <c r="Q570" s="247" t="s">
        <v>93</v>
      </c>
    </row>
    <row r="571" spans="1:17" x14ac:dyDescent="0.25">
      <c r="A571" s="247" t="s">
        <v>646</v>
      </c>
      <c r="B571" s="247" t="s">
        <v>25</v>
      </c>
      <c r="C571" s="247" t="s">
        <v>1098</v>
      </c>
      <c r="D571" s="247" t="s">
        <v>926</v>
      </c>
      <c r="E571" s="247" t="s">
        <v>1109</v>
      </c>
      <c r="F571" s="247" t="s">
        <v>1822</v>
      </c>
      <c r="G571" s="247" t="s">
        <v>1110</v>
      </c>
      <c r="H571" s="247"/>
      <c r="I571" s="247" t="s">
        <v>1823</v>
      </c>
      <c r="J571" s="247">
        <v>11</v>
      </c>
      <c r="K571" s="247">
        <v>11</v>
      </c>
      <c r="L571" s="249" t="s">
        <v>940</v>
      </c>
      <c r="M571" s="249" t="s">
        <v>929</v>
      </c>
      <c r="N571" s="248">
        <v>0</v>
      </c>
      <c r="O571" s="248">
        <v>-75.73</v>
      </c>
      <c r="P571" s="247" t="s">
        <v>1111</v>
      </c>
      <c r="Q571" s="247" t="s">
        <v>94</v>
      </c>
    </row>
    <row r="572" spans="1:17" x14ac:dyDescent="0.25">
      <c r="A572" s="247" t="s">
        <v>646</v>
      </c>
      <c r="B572" s="247" t="s">
        <v>25</v>
      </c>
      <c r="C572" s="247" t="s">
        <v>1098</v>
      </c>
      <c r="D572" s="247" t="s">
        <v>926</v>
      </c>
      <c r="E572" s="247" t="s">
        <v>1109</v>
      </c>
      <c r="F572" s="247" t="s">
        <v>1822</v>
      </c>
      <c r="G572" s="247" t="s">
        <v>1110</v>
      </c>
      <c r="H572" s="247"/>
      <c r="I572" s="247" t="s">
        <v>1823</v>
      </c>
      <c r="J572" s="247">
        <v>11</v>
      </c>
      <c r="K572" s="247">
        <v>11</v>
      </c>
      <c r="L572" s="249" t="s">
        <v>642</v>
      </c>
      <c r="M572" s="249" t="s">
        <v>929</v>
      </c>
      <c r="N572" s="248">
        <v>0</v>
      </c>
      <c r="O572" s="248">
        <v>-75.73</v>
      </c>
      <c r="P572" s="247" t="s">
        <v>1111</v>
      </c>
      <c r="Q572" s="247" t="s">
        <v>95</v>
      </c>
    </row>
    <row r="573" spans="1:17" x14ac:dyDescent="0.25">
      <c r="A573" s="247" t="s">
        <v>646</v>
      </c>
      <c r="B573" s="247" t="s">
        <v>25</v>
      </c>
      <c r="C573" s="247" t="s">
        <v>1098</v>
      </c>
      <c r="D573" s="247" t="s">
        <v>926</v>
      </c>
      <c r="E573" s="247" t="s">
        <v>1049</v>
      </c>
      <c r="F573" s="247" t="s">
        <v>1824</v>
      </c>
      <c r="G573" s="247" t="s">
        <v>1112</v>
      </c>
      <c r="H573" s="247"/>
      <c r="I573" s="247" t="s">
        <v>1825</v>
      </c>
      <c r="J573" s="247">
        <v>11</v>
      </c>
      <c r="K573" s="247">
        <v>11</v>
      </c>
      <c r="L573" s="249" t="s">
        <v>646</v>
      </c>
      <c r="M573" s="249" t="s">
        <v>933</v>
      </c>
      <c r="N573" s="248">
        <v>0</v>
      </c>
      <c r="O573" s="248">
        <v>-1673.75</v>
      </c>
      <c r="P573" s="247" t="s">
        <v>1113</v>
      </c>
      <c r="Q573" s="247" t="s">
        <v>84</v>
      </c>
    </row>
    <row r="574" spans="1:17" x14ac:dyDescent="0.25">
      <c r="A574" s="247" t="s">
        <v>646</v>
      </c>
      <c r="B574" s="247" t="s">
        <v>25</v>
      </c>
      <c r="C574" s="247" t="s">
        <v>1098</v>
      </c>
      <c r="D574" s="247" t="s">
        <v>926</v>
      </c>
      <c r="E574" s="247" t="s">
        <v>1049</v>
      </c>
      <c r="F574" s="247" t="s">
        <v>1824</v>
      </c>
      <c r="G574" s="247" t="s">
        <v>1112</v>
      </c>
      <c r="H574" s="247"/>
      <c r="I574" s="247" t="s">
        <v>1825</v>
      </c>
      <c r="J574" s="247">
        <v>11</v>
      </c>
      <c r="K574" s="247">
        <v>11</v>
      </c>
      <c r="L574" s="249" t="s">
        <v>650</v>
      </c>
      <c r="M574" s="249" t="s">
        <v>933</v>
      </c>
      <c r="N574" s="248">
        <v>0</v>
      </c>
      <c r="O574" s="248">
        <v>-1673.75</v>
      </c>
      <c r="P574" s="247" t="s">
        <v>1113</v>
      </c>
      <c r="Q574" s="247" t="s">
        <v>85</v>
      </c>
    </row>
    <row r="575" spans="1:17" x14ac:dyDescent="0.25">
      <c r="A575" s="247" t="s">
        <v>646</v>
      </c>
      <c r="B575" s="247" t="s">
        <v>25</v>
      </c>
      <c r="C575" s="247" t="s">
        <v>1098</v>
      </c>
      <c r="D575" s="247" t="s">
        <v>926</v>
      </c>
      <c r="E575" s="247" t="s">
        <v>1049</v>
      </c>
      <c r="F575" s="247" t="s">
        <v>1824</v>
      </c>
      <c r="G575" s="247" t="s">
        <v>1112</v>
      </c>
      <c r="H575" s="247"/>
      <c r="I575" s="247" t="s">
        <v>1825</v>
      </c>
      <c r="J575" s="247">
        <v>11</v>
      </c>
      <c r="K575" s="247">
        <v>11</v>
      </c>
      <c r="L575" s="249" t="s">
        <v>652</v>
      </c>
      <c r="M575" s="249" t="s">
        <v>933</v>
      </c>
      <c r="N575" s="248">
        <v>0</v>
      </c>
      <c r="O575" s="248">
        <v>-1673.75</v>
      </c>
      <c r="P575" s="247" t="s">
        <v>1113</v>
      </c>
      <c r="Q575" s="247" t="s">
        <v>86</v>
      </c>
    </row>
    <row r="576" spans="1:17" x14ac:dyDescent="0.25">
      <c r="A576" s="247" t="s">
        <v>646</v>
      </c>
      <c r="B576" s="247" t="s">
        <v>25</v>
      </c>
      <c r="C576" s="247" t="s">
        <v>1098</v>
      </c>
      <c r="D576" s="247" t="s">
        <v>926</v>
      </c>
      <c r="E576" s="247" t="s">
        <v>1114</v>
      </c>
      <c r="F576" s="247" t="s">
        <v>1826</v>
      </c>
      <c r="G576" s="247" t="s">
        <v>1115</v>
      </c>
      <c r="H576" s="247"/>
      <c r="I576" s="247" t="s">
        <v>1827</v>
      </c>
      <c r="J576" s="247">
        <v>11</v>
      </c>
      <c r="K576" s="247">
        <v>11</v>
      </c>
      <c r="L576" s="249" t="s">
        <v>652</v>
      </c>
      <c r="M576" s="249" t="s">
        <v>933</v>
      </c>
      <c r="N576" s="248">
        <v>-3.38</v>
      </c>
      <c r="O576" s="248">
        <v>-3.38</v>
      </c>
      <c r="P576" s="247" t="s">
        <v>1116</v>
      </c>
      <c r="Q576" s="247" t="s">
        <v>86</v>
      </c>
    </row>
    <row r="577" spans="1:17" x14ac:dyDescent="0.25">
      <c r="A577" s="247" t="s">
        <v>646</v>
      </c>
      <c r="B577" s="247" t="s">
        <v>25</v>
      </c>
      <c r="C577" s="247" t="s">
        <v>1098</v>
      </c>
      <c r="D577" s="247" t="s">
        <v>926</v>
      </c>
      <c r="E577" s="247" t="s">
        <v>1114</v>
      </c>
      <c r="F577" s="247" t="s">
        <v>1826</v>
      </c>
      <c r="G577" s="247" t="s">
        <v>1115</v>
      </c>
      <c r="H577" s="247"/>
      <c r="I577" s="247" t="s">
        <v>1827</v>
      </c>
      <c r="J577" s="247">
        <v>11</v>
      </c>
      <c r="K577" s="247">
        <v>11</v>
      </c>
      <c r="L577" s="249" t="s">
        <v>789</v>
      </c>
      <c r="M577" s="249" t="s">
        <v>929</v>
      </c>
      <c r="N577" s="248">
        <v>3.38</v>
      </c>
      <c r="O577" s="248">
        <v>3.38</v>
      </c>
      <c r="P577" s="247" t="s">
        <v>1116</v>
      </c>
      <c r="Q577" s="247" t="s">
        <v>87</v>
      </c>
    </row>
    <row r="578" spans="1:17" x14ac:dyDescent="0.25">
      <c r="A578" s="247" t="s">
        <v>646</v>
      </c>
      <c r="B578" s="247" t="s">
        <v>25</v>
      </c>
      <c r="C578" s="247" t="s">
        <v>1098</v>
      </c>
      <c r="D578" s="247" t="s">
        <v>926</v>
      </c>
      <c r="E578" s="247" t="s">
        <v>1114</v>
      </c>
      <c r="F578" s="247" t="s">
        <v>1826</v>
      </c>
      <c r="G578" s="247" t="s">
        <v>1115</v>
      </c>
      <c r="H578" s="247"/>
      <c r="I578" s="247" t="s">
        <v>1827</v>
      </c>
      <c r="J578" s="247">
        <v>11</v>
      </c>
      <c r="K578" s="247">
        <v>11</v>
      </c>
      <c r="L578" s="249" t="s">
        <v>791</v>
      </c>
      <c r="M578" s="249" t="s">
        <v>929</v>
      </c>
      <c r="N578" s="248">
        <v>0</v>
      </c>
      <c r="O578" s="248">
        <v>3.38</v>
      </c>
      <c r="P578" s="247" t="s">
        <v>1116</v>
      </c>
      <c r="Q578" s="247" t="s">
        <v>88</v>
      </c>
    </row>
    <row r="579" spans="1:17" x14ac:dyDescent="0.25">
      <c r="A579" s="247" t="s">
        <v>646</v>
      </c>
      <c r="B579" s="247" t="s">
        <v>25</v>
      </c>
      <c r="C579" s="247" t="s">
        <v>1098</v>
      </c>
      <c r="D579" s="247" t="s">
        <v>926</v>
      </c>
      <c r="E579" s="247" t="s">
        <v>1114</v>
      </c>
      <c r="F579" s="247" t="s">
        <v>1826</v>
      </c>
      <c r="G579" s="247" t="s">
        <v>1115</v>
      </c>
      <c r="H579" s="247"/>
      <c r="I579" s="247" t="s">
        <v>1827</v>
      </c>
      <c r="J579" s="247">
        <v>11</v>
      </c>
      <c r="K579" s="247">
        <v>11</v>
      </c>
      <c r="L579" s="249" t="s">
        <v>935</v>
      </c>
      <c r="M579" s="249" t="s">
        <v>929</v>
      </c>
      <c r="N579" s="248">
        <v>0</v>
      </c>
      <c r="O579" s="248">
        <v>3.38</v>
      </c>
      <c r="P579" s="247" t="s">
        <v>1116</v>
      </c>
      <c r="Q579" s="247" t="s">
        <v>89</v>
      </c>
    </row>
    <row r="580" spans="1:17" x14ac:dyDescent="0.25">
      <c r="A580" s="247" t="s">
        <v>646</v>
      </c>
      <c r="B580" s="247" t="s">
        <v>25</v>
      </c>
      <c r="C580" s="247" t="s">
        <v>1098</v>
      </c>
      <c r="D580" s="247" t="s">
        <v>926</v>
      </c>
      <c r="E580" s="247" t="s">
        <v>1114</v>
      </c>
      <c r="F580" s="247" t="s">
        <v>1826</v>
      </c>
      <c r="G580" s="247" t="s">
        <v>1115</v>
      </c>
      <c r="H580" s="247"/>
      <c r="I580" s="247" t="s">
        <v>1827</v>
      </c>
      <c r="J580" s="247">
        <v>11</v>
      </c>
      <c r="K580" s="247">
        <v>11</v>
      </c>
      <c r="L580" s="249" t="s">
        <v>936</v>
      </c>
      <c r="M580" s="249" t="s">
        <v>929</v>
      </c>
      <c r="N580" s="248">
        <v>0</v>
      </c>
      <c r="O580" s="248">
        <v>3.38</v>
      </c>
      <c r="P580" s="247" t="s">
        <v>1116</v>
      </c>
      <c r="Q580" s="247" t="s">
        <v>90</v>
      </c>
    </row>
    <row r="581" spans="1:17" x14ac:dyDescent="0.25">
      <c r="A581" s="247" t="s">
        <v>646</v>
      </c>
      <c r="B581" s="247" t="s">
        <v>25</v>
      </c>
      <c r="C581" s="247" t="s">
        <v>1098</v>
      </c>
      <c r="D581" s="247" t="s">
        <v>926</v>
      </c>
      <c r="E581" s="247" t="s">
        <v>1114</v>
      </c>
      <c r="F581" s="247" t="s">
        <v>1826</v>
      </c>
      <c r="G581" s="247" t="s">
        <v>1115</v>
      </c>
      <c r="H581" s="247"/>
      <c r="I581" s="247" t="s">
        <v>1827</v>
      </c>
      <c r="J581" s="247">
        <v>11</v>
      </c>
      <c r="K581" s="247">
        <v>11</v>
      </c>
      <c r="L581" s="249" t="s">
        <v>937</v>
      </c>
      <c r="M581" s="249" t="s">
        <v>929</v>
      </c>
      <c r="N581" s="248">
        <v>0</v>
      </c>
      <c r="O581" s="248">
        <v>3.38</v>
      </c>
      <c r="P581" s="247" t="s">
        <v>1116</v>
      </c>
      <c r="Q581" s="247" t="s">
        <v>91</v>
      </c>
    </row>
    <row r="582" spans="1:17" x14ac:dyDescent="0.25">
      <c r="A582" s="247" t="s">
        <v>646</v>
      </c>
      <c r="B582" s="247" t="s">
        <v>25</v>
      </c>
      <c r="C582" s="247" t="s">
        <v>1098</v>
      </c>
      <c r="D582" s="247" t="s">
        <v>926</v>
      </c>
      <c r="E582" s="247" t="s">
        <v>1114</v>
      </c>
      <c r="F582" s="247" t="s">
        <v>1826</v>
      </c>
      <c r="G582" s="247" t="s">
        <v>1115</v>
      </c>
      <c r="H582" s="247"/>
      <c r="I582" s="247" t="s">
        <v>1827</v>
      </c>
      <c r="J582" s="247">
        <v>11</v>
      </c>
      <c r="K582" s="247">
        <v>11</v>
      </c>
      <c r="L582" s="249" t="s">
        <v>938</v>
      </c>
      <c r="M582" s="249" t="s">
        <v>929</v>
      </c>
      <c r="N582" s="248">
        <v>0</v>
      </c>
      <c r="O582" s="248">
        <v>3.38</v>
      </c>
      <c r="P582" s="247" t="s">
        <v>1116</v>
      </c>
      <c r="Q582" s="247" t="s">
        <v>92</v>
      </c>
    </row>
    <row r="583" spans="1:17" x14ac:dyDescent="0.25">
      <c r="A583" s="247" t="s">
        <v>646</v>
      </c>
      <c r="B583" s="247" t="s">
        <v>25</v>
      </c>
      <c r="C583" s="247" t="s">
        <v>1098</v>
      </c>
      <c r="D583" s="247" t="s">
        <v>926</v>
      </c>
      <c r="E583" s="247" t="s">
        <v>1114</v>
      </c>
      <c r="F583" s="247" t="s">
        <v>1826</v>
      </c>
      <c r="G583" s="247" t="s">
        <v>1115</v>
      </c>
      <c r="H583" s="247"/>
      <c r="I583" s="247" t="s">
        <v>1827</v>
      </c>
      <c r="J583" s="247">
        <v>11</v>
      </c>
      <c r="K583" s="247">
        <v>11</v>
      </c>
      <c r="L583" s="249" t="s">
        <v>939</v>
      </c>
      <c r="M583" s="249" t="s">
        <v>929</v>
      </c>
      <c r="N583" s="248">
        <v>0</v>
      </c>
      <c r="O583" s="248">
        <v>3.38</v>
      </c>
      <c r="P583" s="247" t="s">
        <v>1116</v>
      </c>
      <c r="Q583" s="247" t="s">
        <v>93</v>
      </c>
    </row>
    <row r="584" spans="1:17" x14ac:dyDescent="0.25">
      <c r="A584" s="247" t="s">
        <v>646</v>
      </c>
      <c r="B584" s="247" t="s">
        <v>25</v>
      </c>
      <c r="C584" s="247" t="s">
        <v>1098</v>
      </c>
      <c r="D584" s="247" t="s">
        <v>926</v>
      </c>
      <c r="E584" s="247" t="s">
        <v>1114</v>
      </c>
      <c r="F584" s="247" t="s">
        <v>1826</v>
      </c>
      <c r="G584" s="247" t="s">
        <v>1115</v>
      </c>
      <c r="H584" s="247"/>
      <c r="I584" s="247" t="s">
        <v>1827</v>
      </c>
      <c r="J584" s="247">
        <v>11</v>
      </c>
      <c r="K584" s="247">
        <v>11</v>
      </c>
      <c r="L584" s="249" t="s">
        <v>940</v>
      </c>
      <c r="M584" s="249" t="s">
        <v>929</v>
      </c>
      <c r="N584" s="248">
        <v>0</v>
      </c>
      <c r="O584" s="248">
        <v>3.38</v>
      </c>
      <c r="P584" s="247" t="s">
        <v>1116</v>
      </c>
      <c r="Q584" s="247" t="s">
        <v>94</v>
      </c>
    </row>
    <row r="585" spans="1:17" x14ac:dyDescent="0.25">
      <c r="A585" s="247" t="s">
        <v>646</v>
      </c>
      <c r="B585" s="247" t="s">
        <v>25</v>
      </c>
      <c r="C585" s="247" t="s">
        <v>1098</v>
      </c>
      <c r="D585" s="247" t="s">
        <v>926</v>
      </c>
      <c r="E585" s="247" t="s">
        <v>1114</v>
      </c>
      <c r="F585" s="247" t="s">
        <v>1826</v>
      </c>
      <c r="G585" s="247" t="s">
        <v>1115</v>
      </c>
      <c r="H585" s="247"/>
      <c r="I585" s="247" t="s">
        <v>1827</v>
      </c>
      <c r="J585" s="247">
        <v>11</v>
      </c>
      <c r="K585" s="247">
        <v>11</v>
      </c>
      <c r="L585" s="249" t="s">
        <v>642</v>
      </c>
      <c r="M585" s="249" t="s">
        <v>929</v>
      </c>
      <c r="N585" s="248">
        <v>0</v>
      </c>
      <c r="O585" s="248">
        <v>3.38</v>
      </c>
      <c r="P585" s="247" t="s">
        <v>1116</v>
      </c>
      <c r="Q585" s="247" t="s">
        <v>95</v>
      </c>
    </row>
    <row r="586" spans="1:17" x14ac:dyDescent="0.25">
      <c r="A586" s="247" t="s">
        <v>646</v>
      </c>
      <c r="B586" s="247" t="s">
        <v>25</v>
      </c>
      <c r="C586" s="247" t="s">
        <v>1098</v>
      </c>
      <c r="D586" s="247" t="s">
        <v>1095</v>
      </c>
      <c r="E586" s="247" t="s">
        <v>1109</v>
      </c>
      <c r="F586" s="247" t="s">
        <v>1828</v>
      </c>
      <c r="G586" s="247" t="s">
        <v>1117</v>
      </c>
      <c r="H586" s="247"/>
      <c r="I586" s="247" t="s">
        <v>1829</v>
      </c>
      <c r="J586" s="247">
        <v>11</v>
      </c>
      <c r="K586" s="247">
        <v>11</v>
      </c>
      <c r="L586" s="249" t="s">
        <v>646</v>
      </c>
      <c r="M586" s="249" t="s">
        <v>933</v>
      </c>
      <c r="N586" s="248">
        <v>-927.72</v>
      </c>
      <c r="O586" s="248">
        <v>-1927.28</v>
      </c>
      <c r="P586" s="247" t="s">
        <v>1118</v>
      </c>
      <c r="Q586" s="247" t="s">
        <v>84</v>
      </c>
    </row>
    <row r="587" spans="1:17" x14ac:dyDescent="0.25">
      <c r="A587" s="247" t="s">
        <v>646</v>
      </c>
      <c r="B587" s="247" t="s">
        <v>25</v>
      </c>
      <c r="C587" s="247" t="s">
        <v>1098</v>
      </c>
      <c r="D587" s="247" t="s">
        <v>1095</v>
      </c>
      <c r="E587" s="247" t="s">
        <v>1109</v>
      </c>
      <c r="F587" s="247" t="s">
        <v>1828</v>
      </c>
      <c r="G587" s="247" t="s">
        <v>1117</v>
      </c>
      <c r="H587" s="247"/>
      <c r="I587" s="247" t="s">
        <v>1829</v>
      </c>
      <c r="J587" s="247">
        <v>11</v>
      </c>
      <c r="K587" s="247">
        <v>11</v>
      </c>
      <c r="L587" s="249" t="s">
        <v>650</v>
      </c>
      <c r="M587" s="249" t="s">
        <v>933</v>
      </c>
      <c r="N587" s="248">
        <v>-1260.5999999999999</v>
      </c>
      <c r="O587" s="248">
        <v>-3187.88</v>
      </c>
      <c r="P587" s="247" t="s">
        <v>1118</v>
      </c>
      <c r="Q587" s="247" t="s">
        <v>85</v>
      </c>
    </row>
    <row r="588" spans="1:17" x14ac:dyDescent="0.25">
      <c r="A588" s="247" t="s">
        <v>646</v>
      </c>
      <c r="B588" s="247" t="s">
        <v>25</v>
      </c>
      <c r="C588" s="247" t="s">
        <v>1098</v>
      </c>
      <c r="D588" s="247" t="s">
        <v>1095</v>
      </c>
      <c r="E588" s="247" t="s">
        <v>1109</v>
      </c>
      <c r="F588" s="247" t="s">
        <v>1828</v>
      </c>
      <c r="G588" s="247" t="s">
        <v>1117</v>
      </c>
      <c r="H588" s="247"/>
      <c r="I588" s="247" t="s">
        <v>1829</v>
      </c>
      <c r="J588" s="247">
        <v>11</v>
      </c>
      <c r="K588" s="247">
        <v>11</v>
      </c>
      <c r="L588" s="249" t="s">
        <v>652</v>
      </c>
      <c r="M588" s="249" t="s">
        <v>933</v>
      </c>
      <c r="N588" s="248">
        <v>-497.12</v>
      </c>
      <c r="O588" s="248">
        <v>-3685</v>
      </c>
      <c r="P588" s="247" t="s">
        <v>1118</v>
      </c>
      <c r="Q588" s="247" t="s">
        <v>86</v>
      </c>
    </row>
    <row r="589" spans="1:17" x14ac:dyDescent="0.25">
      <c r="A589" s="247" t="s">
        <v>646</v>
      </c>
      <c r="B589" s="247" t="s">
        <v>25</v>
      </c>
      <c r="C589" s="247" t="s">
        <v>1098</v>
      </c>
      <c r="D589" s="247" t="s">
        <v>1095</v>
      </c>
      <c r="E589" s="247" t="s">
        <v>1109</v>
      </c>
      <c r="F589" s="247" t="s">
        <v>1828</v>
      </c>
      <c r="G589" s="247" t="s">
        <v>1117</v>
      </c>
      <c r="H589" s="247"/>
      <c r="I589" s="247" t="s">
        <v>1829</v>
      </c>
      <c r="J589" s="247">
        <v>11</v>
      </c>
      <c r="K589" s="247">
        <v>11</v>
      </c>
      <c r="L589" s="249" t="s">
        <v>789</v>
      </c>
      <c r="M589" s="249" t="s">
        <v>929</v>
      </c>
      <c r="N589" s="248">
        <v>-662.87</v>
      </c>
      <c r="O589" s="248">
        <v>-662.87</v>
      </c>
      <c r="P589" s="247" t="s">
        <v>1118</v>
      </c>
      <c r="Q589" s="247" t="s">
        <v>87</v>
      </c>
    </row>
    <row r="590" spans="1:17" x14ac:dyDescent="0.25">
      <c r="A590" s="247" t="s">
        <v>646</v>
      </c>
      <c r="B590" s="247" t="s">
        <v>25</v>
      </c>
      <c r="C590" s="247" t="s">
        <v>1098</v>
      </c>
      <c r="D590" s="247" t="s">
        <v>1095</v>
      </c>
      <c r="E590" s="247" t="s">
        <v>1109</v>
      </c>
      <c r="F590" s="247" t="s">
        <v>1828</v>
      </c>
      <c r="G590" s="247" t="s">
        <v>1117</v>
      </c>
      <c r="H590" s="247"/>
      <c r="I590" s="247" t="s">
        <v>1829</v>
      </c>
      <c r="J590" s="247">
        <v>11</v>
      </c>
      <c r="K590" s="247">
        <v>11</v>
      </c>
      <c r="L590" s="249" t="s">
        <v>791</v>
      </c>
      <c r="M590" s="249" t="s">
        <v>929</v>
      </c>
      <c r="N590" s="248">
        <v>-504.24</v>
      </c>
      <c r="O590" s="248">
        <v>-1167.1099999999999</v>
      </c>
      <c r="P590" s="247" t="s">
        <v>1118</v>
      </c>
      <c r="Q590" s="247" t="s">
        <v>88</v>
      </c>
    </row>
    <row r="591" spans="1:17" x14ac:dyDescent="0.25">
      <c r="A591" s="247" t="s">
        <v>646</v>
      </c>
      <c r="B591" s="247" t="s">
        <v>25</v>
      </c>
      <c r="C591" s="247" t="s">
        <v>1098</v>
      </c>
      <c r="D591" s="247" t="s">
        <v>1095</v>
      </c>
      <c r="E591" s="247" t="s">
        <v>1109</v>
      </c>
      <c r="F591" s="247" t="s">
        <v>1828</v>
      </c>
      <c r="G591" s="247" t="s">
        <v>1117</v>
      </c>
      <c r="H591" s="247"/>
      <c r="I591" s="247" t="s">
        <v>1829</v>
      </c>
      <c r="J591" s="247">
        <v>11</v>
      </c>
      <c r="K591" s="247">
        <v>11</v>
      </c>
      <c r="L591" s="249" t="s">
        <v>935</v>
      </c>
      <c r="M591" s="249" t="s">
        <v>929</v>
      </c>
      <c r="N591" s="248">
        <v>-1253.48</v>
      </c>
      <c r="O591" s="248">
        <v>-2420.59</v>
      </c>
      <c r="P591" s="247" t="s">
        <v>1118</v>
      </c>
      <c r="Q591" s="247" t="s">
        <v>89</v>
      </c>
    </row>
    <row r="592" spans="1:17" x14ac:dyDescent="0.25">
      <c r="A592" s="247" t="s">
        <v>646</v>
      </c>
      <c r="B592" s="247" t="s">
        <v>25</v>
      </c>
      <c r="C592" s="247" t="s">
        <v>1098</v>
      </c>
      <c r="D592" s="247" t="s">
        <v>1095</v>
      </c>
      <c r="E592" s="247" t="s">
        <v>1109</v>
      </c>
      <c r="F592" s="247" t="s">
        <v>1828</v>
      </c>
      <c r="G592" s="247" t="s">
        <v>1117</v>
      </c>
      <c r="H592" s="247"/>
      <c r="I592" s="247" t="s">
        <v>1829</v>
      </c>
      <c r="J592" s="247">
        <v>11</v>
      </c>
      <c r="K592" s="247">
        <v>11</v>
      </c>
      <c r="L592" s="249" t="s">
        <v>936</v>
      </c>
      <c r="M592" s="249" t="s">
        <v>929</v>
      </c>
      <c r="N592" s="248">
        <v>-252.12</v>
      </c>
      <c r="O592" s="248">
        <v>-2672.71</v>
      </c>
      <c r="P592" s="247" t="s">
        <v>1118</v>
      </c>
      <c r="Q592" s="247" t="s">
        <v>90</v>
      </c>
    </row>
    <row r="593" spans="1:17" x14ac:dyDescent="0.25">
      <c r="A593" s="247" t="s">
        <v>646</v>
      </c>
      <c r="B593" s="247" t="s">
        <v>25</v>
      </c>
      <c r="C593" s="247" t="s">
        <v>1098</v>
      </c>
      <c r="D593" s="247" t="s">
        <v>1095</v>
      </c>
      <c r="E593" s="247" t="s">
        <v>1109</v>
      </c>
      <c r="F593" s="247" t="s">
        <v>1828</v>
      </c>
      <c r="G593" s="247" t="s">
        <v>1117</v>
      </c>
      <c r="H593" s="247"/>
      <c r="I593" s="247" t="s">
        <v>1829</v>
      </c>
      <c r="J593" s="247">
        <v>11</v>
      </c>
      <c r="K593" s="247">
        <v>11</v>
      </c>
      <c r="L593" s="249" t="s">
        <v>937</v>
      </c>
      <c r="M593" s="249" t="s">
        <v>929</v>
      </c>
      <c r="N593" s="248">
        <v>-1702.28</v>
      </c>
      <c r="O593" s="248">
        <v>-4374.99</v>
      </c>
      <c r="P593" s="247" t="s">
        <v>1118</v>
      </c>
      <c r="Q593" s="247" t="s">
        <v>91</v>
      </c>
    </row>
    <row r="594" spans="1:17" x14ac:dyDescent="0.25">
      <c r="A594" s="247" t="s">
        <v>646</v>
      </c>
      <c r="B594" s="247" t="s">
        <v>25</v>
      </c>
      <c r="C594" s="247" t="s">
        <v>1098</v>
      </c>
      <c r="D594" s="247" t="s">
        <v>1095</v>
      </c>
      <c r="E594" s="247" t="s">
        <v>1109</v>
      </c>
      <c r="F594" s="247" t="s">
        <v>1828</v>
      </c>
      <c r="G594" s="247" t="s">
        <v>1117</v>
      </c>
      <c r="H594" s="247"/>
      <c r="I594" s="247" t="s">
        <v>1829</v>
      </c>
      <c r="J594" s="247">
        <v>11</v>
      </c>
      <c r="K594" s="247">
        <v>11</v>
      </c>
      <c r="L594" s="249" t="s">
        <v>938</v>
      </c>
      <c r="M594" s="249" t="s">
        <v>929</v>
      </c>
      <c r="N594" s="248">
        <v>-749.24</v>
      </c>
      <c r="O594" s="248">
        <v>-5124.2299999999996</v>
      </c>
      <c r="P594" s="247" t="s">
        <v>1118</v>
      </c>
      <c r="Q594" s="247" t="s">
        <v>92</v>
      </c>
    </row>
    <row r="595" spans="1:17" x14ac:dyDescent="0.25">
      <c r="A595" s="247" t="s">
        <v>646</v>
      </c>
      <c r="B595" s="247" t="s">
        <v>25</v>
      </c>
      <c r="C595" s="247" t="s">
        <v>1098</v>
      </c>
      <c r="D595" s="247" t="s">
        <v>1095</v>
      </c>
      <c r="E595" s="247" t="s">
        <v>1109</v>
      </c>
      <c r="F595" s="247" t="s">
        <v>1828</v>
      </c>
      <c r="G595" s="247" t="s">
        <v>1117</v>
      </c>
      <c r="H595" s="247"/>
      <c r="I595" s="247" t="s">
        <v>1829</v>
      </c>
      <c r="J595" s="247">
        <v>11</v>
      </c>
      <c r="K595" s="247">
        <v>11</v>
      </c>
      <c r="L595" s="249" t="s">
        <v>939</v>
      </c>
      <c r="M595" s="249" t="s">
        <v>929</v>
      </c>
      <c r="N595" s="248">
        <v>-749.24</v>
      </c>
      <c r="O595" s="248">
        <v>-5873.47</v>
      </c>
      <c r="P595" s="247" t="s">
        <v>1118</v>
      </c>
      <c r="Q595" s="247" t="s">
        <v>93</v>
      </c>
    </row>
    <row r="596" spans="1:17" x14ac:dyDescent="0.25">
      <c r="A596" s="247" t="s">
        <v>646</v>
      </c>
      <c r="B596" s="247" t="s">
        <v>25</v>
      </c>
      <c r="C596" s="247" t="s">
        <v>1098</v>
      </c>
      <c r="D596" s="247" t="s">
        <v>1095</v>
      </c>
      <c r="E596" s="247" t="s">
        <v>1109</v>
      </c>
      <c r="F596" s="247" t="s">
        <v>1828</v>
      </c>
      <c r="G596" s="247" t="s">
        <v>1117</v>
      </c>
      <c r="H596" s="247"/>
      <c r="I596" s="247" t="s">
        <v>1829</v>
      </c>
      <c r="J596" s="247">
        <v>11</v>
      </c>
      <c r="K596" s="247">
        <v>11</v>
      </c>
      <c r="L596" s="249" t="s">
        <v>940</v>
      </c>
      <c r="M596" s="249" t="s">
        <v>929</v>
      </c>
      <c r="N596" s="248">
        <v>-1196.72</v>
      </c>
      <c r="O596" s="248">
        <v>-7070.19</v>
      </c>
      <c r="P596" s="247" t="s">
        <v>1118</v>
      </c>
      <c r="Q596" s="247" t="s">
        <v>94</v>
      </c>
    </row>
    <row r="597" spans="1:17" x14ac:dyDescent="0.25">
      <c r="A597" s="247" t="s">
        <v>646</v>
      </c>
      <c r="B597" s="247" t="s">
        <v>25</v>
      </c>
      <c r="C597" s="247" t="s">
        <v>1098</v>
      </c>
      <c r="D597" s="247" t="s">
        <v>1095</v>
      </c>
      <c r="E597" s="247" t="s">
        <v>1109</v>
      </c>
      <c r="F597" s="247" t="s">
        <v>1828</v>
      </c>
      <c r="G597" s="247" t="s">
        <v>1117</v>
      </c>
      <c r="H597" s="247"/>
      <c r="I597" s="247" t="s">
        <v>1829</v>
      </c>
      <c r="J597" s="247">
        <v>11</v>
      </c>
      <c r="K597" s="247">
        <v>11</v>
      </c>
      <c r="L597" s="249" t="s">
        <v>642</v>
      </c>
      <c r="M597" s="249" t="s">
        <v>929</v>
      </c>
      <c r="N597" s="248">
        <v>-1172.72</v>
      </c>
      <c r="O597" s="248">
        <v>-8242.91</v>
      </c>
      <c r="P597" s="247" t="s">
        <v>1118</v>
      </c>
      <c r="Q597" s="247" t="s">
        <v>95</v>
      </c>
    </row>
    <row r="598" spans="1:17" x14ac:dyDescent="0.25">
      <c r="A598" s="247" t="s">
        <v>646</v>
      </c>
      <c r="B598" s="247" t="s">
        <v>25</v>
      </c>
      <c r="C598" s="247" t="s">
        <v>1098</v>
      </c>
      <c r="D598" s="247" t="s">
        <v>1095</v>
      </c>
      <c r="E598" s="247" t="s">
        <v>1119</v>
      </c>
      <c r="F598" s="247" t="s">
        <v>1830</v>
      </c>
      <c r="G598" s="247" t="s">
        <v>1120</v>
      </c>
      <c r="H598" s="247"/>
      <c r="I598" s="247" t="s">
        <v>1831</v>
      </c>
      <c r="J598" s="247">
        <v>11</v>
      </c>
      <c r="K598" s="247">
        <v>11</v>
      </c>
      <c r="L598" s="249" t="s">
        <v>646</v>
      </c>
      <c r="M598" s="249" t="s">
        <v>933</v>
      </c>
      <c r="N598" s="248">
        <v>-125.33</v>
      </c>
      <c r="O598" s="248">
        <v>-251.51</v>
      </c>
      <c r="P598" s="247" t="s">
        <v>1121</v>
      </c>
      <c r="Q598" s="247" t="s">
        <v>84</v>
      </c>
    </row>
    <row r="599" spans="1:17" x14ac:dyDescent="0.25">
      <c r="A599" s="247" t="s">
        <v>646</v>
      </c>
      <c r="B599" s="247" t="s">
        <v>25</v>
      </c>
      <c r="C599" s="247" t="s">
        <v>1098</v>
      </c>
      <c r="D599" s="247" t="s">
        <v>1095</v>
      </c>
      <c r="E599" s="247" t="s">
        <v>1119</v>
      </c>
      <c r="F599" s="247" t="s">
        <v>1830</v>
      </c>
      <c r="G599" s="247" t="s">
        <v>1120</v>
      </c>
      <c r="H599" s="247"/>
      <c r="I599" s="247" t="s">
        <v>1831</v>
      </c>
      <c r="J599" s="247">
        <v>11</v>
      </c>
      <c r="K599" s="247">
        <v>11</v>
      </c>
      <c r="L599" s="249" t="s">
        <v>650</v>
      </c>
      <c r="M599" s="249" t="s">
        <v>933</v>
      </c>
      <c r="N599" s="248">
        <v>-311.62</v>
      </c>
      <c r="O599" s="248">
        <v>-563.13</v>
      </c>
      <c r="P599" s="247" t="s">
        <v>1121</v>
      </c>
      <c r="Q599" s="247" t="s">
        <v>85</v>
      </c>
    </row>
    <row r="600" spans="1:17" x14ac:dyDescent="0.25">
      <c r="A600" s="247" t="s">
        <v>646</v>
      </c>
      <c r="B600" s="247" t="s">
        <v>25</v>
      </c>
      <c r="C600" s="247" t="s">
        <v>1098</v>
      </c>
      <c r="D600" s="247" t="s">
        <v>1095</v>
      </c>
      <c r="E600" s="247" t="s">
        <v>1119</v>
      </c>
      <c r="F600" s="247" t="s">
        <v>1830</v>
      </c>
      <c r="G600" s="247" t="s">
        <v>1120</v>
      </c>
      <c r="H600" s="247"/>
      <c r="I600" s="247" t="s">
        <v>1831</v>
      </c>
      <c r="J600" s="247">
        <v>11</v>
      </c>
      <c r="K600" s="247">
        <v>11</v>
      </c>
      <c r="L600" s="249" t="s">
        <v>652</v>
      </c>
      <c r="M600" s="249" t="s">
        <v>933</v>
      </c>
      <c r="N600" s="248">
        <v>26.86</v>
      </c>
      <c r="O600" s="248">
        <v>-536.27</v>
      </c>
      <c r="P600" s="247" t="s">
        <v>1121</v>
      </c>
      <c r="Q600" s="247" t="s">
        <v>86</v>
      </c>
    </row>
    <row r="601" spans="1:17" x14ac:dyDescent="0.25">
      <c r="A601" s="247" t="s">
        <v>646</v>
      </c>
      <c r="B601" s="247" t="s">
        <v>25</v>
      </c>
      <c r="C601" s="247" t="s">
        <v>1098</v>
      </c>
      <c r="D601" s="247" t="s">
        <v>1095</v>
      </c>
      <c r="E601" s="247" t="s">
        <v>1119</v>
      </c>
      <c r="F601" s="247" t="s">
        <v>1830</v>
      </c>
      <c r="G601" s="247" t="s">
        <v>1120</v>
      </c>
      <c r="H601" s="247"/>
      <c r="I601" s="247" t="s">
        <v>1831</v>
      </c>
      <c r="J601" s="247">
        <v>11</v>
      </c>
      <c r="K601" s="247">
        <v>11</v>
      </c>
      <c r="L601" s="249" t="s">
        <v>789</v>
      </c>
      <c r="M601" s="249" t="s">
        <v>929</v>
      </c>
      <c r="N601" s="248">
        <v>-112.12</v>
      </c>
      <c r="O601" s="248">
        <v>-112.12</v>
      </c>
      <c r="P601" s="247" t="s">
        <v>1121</v>
      </c>
      <c r="Q601" s="247" t="s">
        <v>87</v>
      </c>
    </row>
    <row r="602" spans="1:17" x14ac:dyDescent="0.25">
      <c r="A602" s="247" t="s">
        <v>646</v>
      </c>
      <c r="B602" s="247" t="s">
        <v>25</v>
      </c>
      <c r="C602" s="247" t="s">
        <v>1098</v>
      </c>
      <c r="D602" s="247" t="s">
        <v>1095</v>
      </c>
      <c r="E602" s="247" t="s">
        <v>1119</v>
      </c>
      <c r="F602" s="247" t="s">
        <v>1830</v>
      </c>
      <c r="G602" s="247" t="s">
        <v>1120</v>
      </c>
      <c r="H602" s="247"/>
      <c r="I602" s="247" t="s">
        <v>1831</v>
      </c>
      <c r="J602" s="247">
        <v>11</v>
      </c>
      <c r="K602" s="247">
        <v>11</v>
      </c>
      <c r="L602" s="249" t="s">
        <v>791</v>
      </c>
      <c r="M602" s="249" t="s">
        <v>929</v>
      </c>
      <c r="N602" s="248">
        <v>-69.06</v>
      </c>
      <c r="O602" s="248">
        <v>-181.18</v>
      </c>
      <c r="P602" s="247" t="s">
        <v>1121</v>
      </c>
      <c r="Q602" s="247" t="s">
        <v>88</v>
      </c>
    </row>
    <row r="603" spans="1:17" x14ac:dyDescent="0.25">
      <c r="A603" s="247" t="s">
        <v>646</v>
      </c>
      <c r="B603" s="247" t="s">
        <v>25</v>
      </c>
      <c r="C603" s="247" t="s">
        <v>1098</v>
      </c>
      <c r="D603" s="247" t="s">
        <v>1095</v>
      </c>
      <c r="E603" s="247" t="s">
        <v>1119</v>
      </c>
      <c r="F603" s="247" t="s">
        <v>1830</v>
      </c>
      <c r="G603" s="247" t="s">
        <v>1120</v>
      </c>
      <c r="H603" s="247"/>
      <c r="I603" s="247" t="s">
        <v>1831</v>
      </c>
      <c r="J603" s="247">
        <v>11</v>
      </c>
      <c r="K603" s="247">
        <v>11</v>
      </c>
      <c r="L603" s="249" t="s">
        <v>935</v>
      </c>
      <c r="M603" s="249" t="s">
        <v>929</v>
      </c>
      <c r="N603" s="248">
        <v>-163.28</v>
      </c>
      <c r="O603" s="248">
        <v>-344.46</v>
      </c>
      <c r="P603" s="247" t="s">
        <v>1121</v>
      </c>
      <c r="Q603" s="247" t="s">
        <v>89</v>
      </c>
    </row>
    <row r="604" spans="1:17" x14ac:dyDescent="0.25">
      <c r="A604" s="247" t="s">
        <v>646</v>
      </c>
      <c r="B604" s="247" t="s">
        <v>25</v>
      </c>
      <c r="C604" s="247" t="s">
        <v>1098</v>
      </c>
      <c r="D604" s="247" t="s">
        <v>1095</v>
      </c>
      <c r="E604" s="247" t="s">
        <v>1119</v>
      </c>
      <c r="F604" s="247" t="s">
        <v>1830</v>
      </c>
      <c r="G604" s="247" t="s">
        <v>1120</v>
      </c>
      <c r="H604" s="247"/>
      <c r="I604" s="247" t="s">
        <v>1831</v>
      </c>
      <c r="J604" s="247">
        <v>11</v>
      </c>
      <c r="K604" s="247">
        <v>11</v>
      </c>
      <c r="L604" s="249" t="s">
        <v>936</v>
      </c>
      <c r="M604" s="249" t="s">
        <v>929</v>
      </c>
      <c r="N604" s="248">
        <v>-62.67</v>
      </c>
      <c r="O604" s="248">
        <v>-407.13</v>
      </c>
      <c r="P604" s="247" t="s">
        <v>1121</v>
      </c>
      <c r="Q604" s="247" t="s">
        <v>90</v>
      </c>
    </row>
    <row r="605" spans="1:17" x14ac:dyDescent="0.25">
      <c r="A605" s="247" t="s">
        <v>646</v>
      </c>
      <c r="B605" s="247" t="s">
        <v>25</v>
      </c>
      <c r="C605" s="247" t="s">
        <v>1098</v>
      </c>
      <c r="D605" s="247" t="s">
        <v>1095</v>
      </c>
      <c r="E605" s="247" t="s">
        <v>1119</v>
      </c>
      <c r="F605" s="247" t="s">
        <v>1830</v>
      </c>
      <c r="G605" s="247" t="s">
        <v>1120</v>
      </c>
      <c r="H605" s="247"/>
      <c r="I605" s="247" t="s">
        <v>1831</v>
      </c>
      <c r="J605" s="247">
        <v>11</v>
      </c>
      <c r="K605" s="247">
        <v>11</v>
      </c>
      <c r="L605" s="249" t="s">
        <v>937</v>
      </c>
      <c r="M605" s="249" t="s">
        <v>929</v>
      </c>
      <c r="N605" s="248">
        <v>-262.17</v>
      </c>
      <c r="O605" s="248">
        <v>-669.3</v>
      </c>
      <c r="P605" s="247" t="s">
        <v>1121</v>
      </c>
      <c r="Q605" s="247" t="s">
        <v>91</v>
      </c>
    </row>
    <row r="606" spans="1:17" x14ac:dyDescent="0.25">
      <c r="A606" s="247" t="s">
        <v>646</v>
      </c>
      <c r="B606" s="247" t="s">
        <v>25</v>
      </c>
      <c r="C606" s="247" t="s">
        <v>1098</v>
      </c>
      <c r="D606" s="247" t="s">
        <v>1095</v>
      </c>
      <c r="E606" s="247" t="s">
        <v>1119</v>
      </c>
      <c r="F606" s="247" t="s">
        <v>1830</v>
      </c>
      <c r="G606" s="247" t="s">
        <v>1120</v>
      </c>
      <c r="H606" s="247"/>
      <c r="I606" s="247" t="s">
        <v>1831</v>
      </c>
      <c r="J606" s="247">
        <v>11</v>
      </c>
      <c r="K606" s="247">
        <v>11</v>
      </c>
      <c r="L606" s="249" t="s">
        <v>938</v>
      </c>
      <c r="M606" s="249" t="s">
        <v>929</v>
      </c>
      <c r="N606" s="248">
        <v>-195.24</v>
      </c>
      <c r="O606" s="248">
        <v>-864.54</v>
      </c>
      <c r="P606" s="247" t="s">
        <v>1121</v>
      </c>
      <c r="Q606" s="247" t="s">
        <v>92</v>
      </c>
    </row>
    <row r="607" spans="1:17" x14ac:dyDescent="0.25">
      <c r="A607" s="247" t="s">
        <v>646</v>
      </c>
      <c r="B607" s="247" t="s">
        <v>25</v>
      </c>
      <c r="C607" s="247" t="s">
        <v>1098</v>
      </c>
      <c r="D607" s="247" t="s">
        <v>1095</v>
      </c>
      <c r="E607" s="247" t="s">
        <v>1119</v>
      </c>
      <c r="F607" s="247" t="s">
        <v>1830</v>
      </c>
      <c r="G607" s="247" t="s">
        <v>1120</v>
      </c>
      <c r="H607" s="247"/>
      <c r="I607" s="247" t="s">
        <v>1831</v>
      </c>
      <c r="J607" s="247">
        <v>11</v>
      </c>
      <c r="K607" s="247">
        <v>11</v>
      </c>
      <c r="L607" s="249" t="s">
        <v>939</v>
      </c>
      <c r="M607" s="249" t="s">
        <v>929</v>
      </c>
      <c r="N607" s="248">
        <v>-96.35</v>
      </c>
      <c r="O607" s="248">
        <v>-960.89</v>
      </c>
      <c r="P607" s="247" t="s">
        <v>1121</v>
      </c>
      <c r="Q607" s="247" t="s">
        <v>93</v>
      </c>
    </row>
    <row r="608" spans="1:17" x14ac:dyDescent="0.25">
      <c r="A608" s="247" t="s">
        <v>646</v>
      </c>
      <c r="B608" s="247" t="s">
        <v>25</v>
      </c>
      <c r="C608" s="247" t="s">
        <v>1098</v>
      </c>
      <c r="D608" s="247" t="s">
        <v>1095</v>
      </c>
      <c r="E608" s="247" t="s">
        <v>1119</v>
      </c>
      <c r="F608" s="247" t="s">
        <v>1830</v>
      </c>
      <c r="G608" s="247" t="s">
        <v>1120</v>
      </c>
      <c r="H608" s="247"/>
      <c r="I608" s="247" t="s">
        <v>1831</v>
      </c>
      <c r="J608" s="247">
        <v>11</v>
      </c>
      <c r="K608" s="247">
        <v>11</v>
      </c>
      <c r="L608" s="249" t="s">
        <v>940</v>
      </c>
      <c r="M608" s="249" t="s">
        <v>929</v>
      </c>
      <c r="N608" s="248">
        <v>-184.16</v>
      </c>
      <c r="O608" s="248">
        <v>-1145.05</v>
      </c>
      <c r="P608" s="247" t="s">
        <v>1121</v>
      </c>
      <c r="Q608" s="247" t="s">
        <v>94</v>
      </c>
    </row>
    <row r="609" spans="1:17" x14ac:dyDescent="0.25">
      <c r="A609" s="247" t="s">
        <v>646</v>
      </c>
      <c r="B609" s="247" t="s">
        <v>25</v>
      </c>
      <c r="C609" s="247" t="s">
        <v>1098</v>
      </c>
      <c r="D609" s="247" t="s">
        <v>1095</v>
      </c>
      <c r="E609" s="247" t="s">
        <v>1119</v>
      </c>
      <c r="F609" s="247" t="s">
        <v>1830</v>
      </c>
      <c r="G609" s="247" t="s">
        <v>1120</v>
      </c>
      <c r="H609" s="247"/>
      <c r="I609" s="247" t="s">
        <v>1831</v>
      </c>
      <c r="J609" s="247">
        <v>11</v>
      </c>
      <c r="K609" s="247">
        <v>11</v>
      </c>
      <c r="L609" s="249" t="s">
        <v>642</v>
      </c>
      <c r="M609" s="249" t="s">
        <v>929</v>
      </c>
      <c r="N609" s="248">
        <v>-188.92</v>
      </c>
      <c r="O609" s="248">
        <v>-1333.97</v>
      </c>
      <c r="P609" s="247" t="s">
        <v>1121</v>
      </c>
      <c r="Q609" s="247" t="s">
        <v>95</v>
      </c>
    </row>
    <row r="610" spans="1:17" x14ac:dyDescent="0.25">
      <c r="A610" s="247" t="s">
        <v>646</v>
      </c>
      <c r="B610" s="247" t="s">
        <v>25</v>
      </c>
      <c r="C610" s="247" t="s">
        <v>1122</v>
      </c>
      <c r="D610" s="247" t="s">
        <v>926</v>
      </c>
      <c r="E610" s="247" t="s">
        <v>711</v>
      </c>
      <c r="F610" s="247" t="s">
        <v>1832</v>
      </c>
      <c r="G610" s="247" t="s">
        <v>1123</v>
      </c>
      <c r="H610" s="247"/>
      <c r="I610" s="247" t="s">
        <v>1833</v>
      </c>
      <c r="J610" s="247">
        <v>10</v>
      </c>
      <c r="K610" s="247">
        <v>10</v>
      </c>
      <c r="L610" s="249" t="s">
        <v>646</v>
      </c>
      <c r="M610" s="249" t="s">
        <v>933</v>
      </c>
      <c r="N610" s="248">
        <v>0</v>
      </c>
      <c r="O610" s="248">
        <v>-108700</v>
      </c>
      <c r="P610" s="247" t="s">
        <v>1124</v>
      </c>
      <c r="Q610" s="247" t="s">
        <v>84</v>
      </c>
    </row>
    <row r="611" spans="1:17" x14ac:dyDescent="0.25">
      <c r="A611" s="247" t="s">
        <v>646</v>
      </c>
      <c r="B611" s="247" t="s">
        <v>25</v>
      </c>
      <c r="C611" s="247" t="s">
        <v>1122</v>
      </c>
      <c r="D611" s="247" t="s">
        <v>926</v>
      </c>
      <c r="E611" s="247" t="s">
        <v>711</v>
      </c>
      <c r="F611" s="247" t="s">
        <v>1832</v>
      </c>
      <c r="G611" s="247" t="s">
        <v>1123</v>
      </c>
      <c r="H611" s="247"/>
      <c r="I611" s="247" t="s">
        <v>1833</v>
      </c>
      <c r="J611" s="247">
        <v>10</v>
      </c>
      <c r="K611" s="247">
        <v>10</v>
      </c>
      <c r="L611" s="249" t="s">
        <v>650</v>
      </c>
      <c r="M611" s="249" t="s">
        <v>933</v>
      </c>
      <c r="N611" s="248">
        <v>0</v>
      </c>
      <c r="O611" s="248">
        <v>-108700</v>
      </c>
      <c r="P611" s="247" t="s">
        <v>1124</v>
      </c>
      <c r="Q611" s="247" t="s">
        <v>85</v>
      </c>
    </row>
    <row r="612" spans="1:17" x14ac:dyDescent="0.25">
      <c r="A612" s="247" t="s">
        <v>646</v>
      </c>
      <c r="B612" s="247" t="s">
        <v>25</v>
      </c>
      <c r="C612" s="247" t="s">
        <v>1122</v>
      </c>
      <c r="D612" s="247" t="s">
        <v>926</v>
      </c>
      <c r="E612" s="247" t="s">
        <v>711</v>
      </c>
      <c r="F612" s="247" t="s">
        <v>1832</v>
      </c>
      <c r="G612" s="247" t="s">
        <v>1123</v>
      </c>
      <c r="H612" s="247"/>
      <c r="I612" s="247" t="s">
        <v>1833</v>
      </c>
      <c r="J612" s="247">
        <v>10</v>
      </c>
      <c r="K612" s="247">
        <v>10</v>
      </c>
      <c r="L612" s="249" t="s">
        <v>652</v>
      </c>
      <c r="M612" s="249" t="s">
        <v>933</v>
      </c>
      <c r="N612" s="248">
        <v>0</v>
      </c>
      <c r="O612" s="248">
        <v>-108700</v>
      </c>
      <c r="P612" s="247" t="s">
        <v>1124</v>
      </c>
      <c r="Q612" s="247" t="s">
        <v>86</v>
      </c>
    </row>
    <row r="613" spans="1:17" x14ac:dyDescent="0.25">
      <c r="A613" s="247" t="s">
        <v>646</v>
      </c>
      <c r="B613" s="247" t="s">
        <v>25</v>
      </c>
      <c r="C613" s="247" t="s">
        <v>1122</v>
      </c>
      <c r="D613" s="247" t="s">
        <v>926</v>
      </c>
      <c r="E613" s="247" t="s">
        <v>569</v>
      </c>
      <c r="F613" s="247" t="s">
        <v>1834</v>
      </c>
      <c r="G613" s="247" t="s">
        <v>1125</v>
      </c>
      <c r="H613" s="247"/>
      <c r="I613" s="247" t="s">
        <v>1835</v>
      </c>
      <c r="J613" s="247">
        <v>10</v>
      </c>
      <c r="K613" s="247">
        <v>10</v>
      </c>
      <c r="L613" s="249" t="s">
        <v>646</v>
      </c>
      <c r="M613" s="249" t="s">
        <v>933</v>
      </c>
      <c r="N613" s="248">
        <v>0</v>
      </c>
      <c r="O613" s="248">
        <v>-65102.18</v>
      </c>
      <c r="P613" s="247" t="s">
        <v>1126</v>
      </c>
      <c r="Q613" s="247" t="s">
        <v>84</v>
      </c>
    </row>
    <row r="614" spans="1:17" x14ac:dyDescent="0.25">
      <c r="A614" s="247" t="s">
        <v>646</v>
      </c>
      <c r="B614" s="247" t="s">
        <v>25</v>
      </c>
      <c r="C614" s="247" t="s">
        <v>1122</v>
      </c>
      <c r="D614" s="247" t="s">
        <v>926</v>
      </c>
      <c r="E614" s="247" t="s">
        <v>569</v>
      </c>
      <c r="F614" s="247" t="s">
        <v>1834</v>
      </c>
      <c r="G614" s="247" t="s">
        <v>1125</v>
      </c>
      <c r="H614" s="247"/>
      <c r="I614" s="247" t="s">
        <v>1835</v>
      </c>
      <c r="J614" s="247">
        <v>10</v>
      </c>
      <c r="K614" s="247">
        <v>10</v>
      </c>
      <c r="L614" s="249" t="s">
        <v>650</v>
      </c>
      <c r="M614" s="249" t="s">
        <v>933</v>
      </c>
      <c r="N614" s="248">
        <v>0</v>
      </c>
      <c r="O614" s="248">
        <v>-65102.18</v>
      </c>
      <c r="P614" s="247" t="s">
        <v>1126</v>
      </c>
      <c r="Q614" s="247" t="s">
        <v>85</v>
      </c>
    </row>
    <row r="615" spans="1:17" x14ac:dyDescent="0.25">
      <c r="A615" s="247" t="s">
        <v>646</v>
      </c>
      <c r="B615" s="247" t="s">
        <v>25</v>
      </c>
      <c r="C615" s="247" t="s">
        <v>1122</v>
      </c>
      <c r="D615" s="247" t="s">
        <v>926</v>
      </c>
      <c r="E615" s="247" t="s">
        <v>569</v>
      </c>
      <c r="F615" s="247" t="s">
        <v>1834</v>
      </c>
      <c r="G615" s="247" t="s">
        <v>1125</v>
      </c>
      <c r="H615" s="247"/>
      <c r="I615" s="247" t="s">
        <v>1835</v>
      </c>
      <c r="J615" s="247">
        <v>10</v>
      </c>
      <c r="K615" s="247">
        <v>10</v>
      </c>
      <c r="L615" s="249" t="s">
        <v>652</v>
      </c>
      <c r="M615" s="249" t="s">
        <v>933</v>
      </c>
      <c r="N615" s="248">
        <v>0</v>
      </c>
      <c r="O615" s="248">
        <v>-65102.18</v>
      </c>
      <c r="P615" s="247" t="s">
        <v>1126</v>
      </c>
      <c r="Q615" s="247" t="s">
        <v>86</v>
      </c>
    </row>
    <row r="616" spans="1:17" x14ac:dyDescent="0.25">
      <c r="A616" s="247" t="s">
        <v>646</v>
      </c>
      <c r="B616" s="247" t="s">
        <v>25</v>
      </c>
      <c r="C616" s="247" t="s">
        <v>1122</v>
      </c>
      <c r="D616" s="247" t="s">
        <v>926</v>
      </c>
      <c r="E616" s="247" t="s">
        <v>946</v>
      </c>
      <c r="F616" s="247" t="s">
        <v>1836</v>
      </c>
      <c r="G616" s="247" t="s">
        <v>1127</v>
      </c>
      <c r="H616" s="247"/>
      <c r="I616" s="247" t="s">
        <v>1837</v>
      </c>
      <c r="J616" s="247">
        <v>10</v>
      </c>
      <c r="K616" s="247">
        <v>10</v>
      </c>
      <c r="L616" s="249" t="s">
        <v>646</v>
      </c>
      <c r="M616" s="249" t="s">
        <v>933</v>
      </c>
      <c r="N616" s="248">
        <v>0</v>
      </c>
      <c r="O616" s="248">
        <v>-18733.400000000001</v>
      </c>
      <c r="P616" s="247" t="s">
        <v>1128</v>
      </c>
      <c r="Q616" s="247" t="s">
        <v>84</v>
      </c>
    </row>
    <row r="617" spans="1:17" x14ac:dyDescent="0.25">
      <c r="A617" s="247" t="s">
        <v>646</v>
      </c>
      <c r="B617" s="247" t="s">
        <v>25</v>
      </c>
      <c r="C617" s="247" t="s">
        <v>1122</v>
      </c>
      <c r="D617" s="247" t="s">
        <v>926</v>
      </c>
      <c r="E617" s="247" t="s">
        <v>946</v>
      </c>
      <c r="F617" s="247" t="s">
        <v>1836</v>
      </c>
      <c r="G617" s="247" t="s">
        <v>1127</v>
      </c>
      <c r="H617" s="247"/>
      <c r="I617" s="247" t="s">
        <v>1837</v>
      </c>
      <c r="J617" s="247">
        <v>10</v>
      </c>
      <c r="K617" s="247">
        <v>10</v>
      </c>
      <c r="L617" s="249" t="s">
        <v>650</v>
      </c>
      <c r="M617" s="249" t="s">
        <v>933</v>
      </c>
      <c r="N617" s="248">
        <v>0</v>
      </c>
      <c r="O617" s="248">
        <v>-18733.400000000001</v>
      </c>
      <c r="P617" s="247" t="s">
        <v>1128</v>
      </c>
      <c r="Q617" s="247" t="s">
        <v>85</v>
      </c>
    </row>
    <row r="618" spans="1:17" x14ac:dyDescent="0.25">
      <c r="A618" s="247" t="s">
        <v>646</v>
      </c>
      <c r="B618" s="247" t="s">
        <v>25</v>
      </c>
      <c r="C618" s="247" t="s">
        <v>1122</v>
      </c>
      <c r="D618" s="247" t="s">
        <v>926</v>
      </c>
      <c r="E618" s="247" t="s">
        <v>946</v>
      </c>
      <c r="F618" s="247" t="s">
        <v>1836</v>
      </c>
      <c r="G618" s="247" t="s">
        <v>1127</v>
      </c>
      <c r="H618" s="247"/>
      <c r="I618" s="247" t="s">
        <v>1837</v>
      </c>
      <c r="J618" s="247">
        <v>10</v>
      </c>
      <c r="K618" s="247">
        <v>10</v>
      </c>
      <c r="L618" s="249" t="s">
        <v>652</v>
      </c>
      <c r="M618" s="249" t="s">
        <v>933</v>
      </c>
      <c r="N618" s="248">
        <v>0</v>
      </c>
      <c r="O618" s="248">
        <v>-18733.400000000001</v>
      </c>
      <c r="P618" s="247" t="s">
        <v>1128</v>
      </c>
      <c r="Q618" s="247" t="s">
        <v>86</v>
      </c>
    </row>
    <row r="619" spans="1:17" x14ac:dyDescent="0.25">
      <c r="A619" s="247" t="s">
        <v>646</v>
      </c>
      <c r="B619" s="247" t="s">
        <v>25</v>
      </c>
      <c r="C619" s="247" t="s">
        <v>1122</v>
      </c>
      <c r="D619" s="247" t="s">
        <v>926</v>
      </c>
      <c r="E619" s="247" t="s">
        <v>1049</v>
      </c>
      <c r="F619" s="247" t="s">
        <v>1838</v>
      </c>
      <c r="G619" s="247" t="s">
        <v>1129</v>
      </c>
      <c r="H619" s="247"/>
      <c r="I619" s="247" t="s">
        <v>1839</v>
      </c>
      <c r="J619" s="247">
        <v>10</v>
      </c>
      <c r="K619" s="247">
        <v>10</v>
      </c>
      <c r="L619" s="249" t="s">
        <v>646</v>
      </c>
      <c r="M619" s="249" t="s">
        <v>933</v>
      </c>
      <c r="N619" s="248">
        <v>0</v>
      </c>
      <c r="O619" s="248">
        <v>-2994.69</v>
      </c>
      <c r="P619" s="247" t="s">
        <v>1130</v>
      </c>
      <c r="Q619" s="247" t="s">
        <v>84</v>
      </c>
    </row>
    <row r="620" spans="1:17" x14ac:dyDescent="0.25">
      <c r="A620" s="247" t="s">
        <v>646</v>
      </c>
      <c r="B620" s="247" t="s">
        <v>25</v>
      </c>
      <c r="C620" s="247" t="s">
        <v>1122</v>
      </c>
      <c r="D620" s="247" t="s">
        <v>926</v>
      </c>
      <c r="E620" s="247" t="s">
        <v>1049</v>
      </c>
      <c r="F620" s="247" t="s">
        <v>1838</v>
      </c>
      <c r="G620" s="247" t="s">
        <v>1129</v>
      </c>
      <c r="H620" s="247"/>
      <c r="I620" s="247" t="s">
        <v>1839</v>
      </c>
      <c r="J620" s="247">
        <v>10</v>
      </c>
      <c r="K620" s="247">
        <v>10</v>
      </c>
      <c r="L620" s="249" t="s">
        <v>650</v>
      </c>
      <c r="M620" s="249" t="s">
        <v>933</v>
      </c>
      <c r="N620" s="248">
        <v>0</v>
      </c>
      <c r="O620" s="248">
        <v>-2994.69</v>
      </c>
      <c r="P620" s="247" t="s">
        <v>1130</v>
      </c>
      <c r="Q620" s="247" t="s">
        <v>85</v>
      </c>
    </row>
    <row r="621" spans="1:17" x14ac:dyDescent="0.25">
      <c r="A621" s="247" t="s">
        <v>646</v>
      </c>
      <c r="B621" s="247" t="s">
        <v>25</v>
      </c>
      <c r="C621" s="247" t="s">
        <v>1122</v>
      </c>
      <c r="D621" s="247" t="s">
        <v>926</v>
      </c>
      <c r="E621" s="247" t="s">
        <v>1049</v>
      </c>
      <c r="F621" s="247" t="s">
        <v>1838</v>
      </c>
      <c r="G621" s="247" t="s">
        <v>1129</v>
      </c>
      <c r="H621" s="247"/>
      <c r="I621" s="247" t="s">
        <v>1839</v>
      </c>
      <c r="J621" s="247">
        <v>10</v>
      </c>
      <c r="K621" s="247">
        <v>10</v>
      </c>
      <c r="L621" s="249" t="s">
        <v>652</v>
      </c>
      <c r="M621" s="249" t="s">
        <v>933</v>
      </c>
      <c r="N621" s="248">
        <v>0</v>
      </c>
      <c r="O621" s="248">
        <v>-2994.69</v>
      </c>
      <c r="P621" s="247" t="s">
        <v>1130</v>
      </c>
      <c r="Q621" s="247" t="s">
        <v>86</v>
      </c>
    </row>
    <row r="622" spans="1:17" x14ac:dyDescent="0.25">
      <c r="A622" s="247" t="s">
        <v>646</v>
      </c>
      <c r="B622" s="247" t="s">
        <v>25</v>
      </c>
      <c r="C622" s="247" t="s">
        <v>1122</v>
      </c>
      <c r="D622" s="247" t="s">
        <v>1095</v>
      </c>
      <c r="E622" s="247" t="s">
        <v>1131</v>
      </c>
      <c r="F622" s="247" t="s">
        <v>1840</v>
      </c>
      <c r="G622" s="247" t="s">
        <v>1132</v>
      </c>
      <c r="H622" s="247"/>
      <c r="I622" s="247" t="s">
        <v>1841</v>
      </c>
      <c r="J622" s="247">
        <v>10</v>
      </c>
      <c r="K622" s="247">
        <v>10</v>
      </c>
      <c r="L622" s="249" t="s">
        <v>646</v>
      </c>
      <c r="M622" s="249" t="s">
        <v>933</v>
      </c>
      <c r="N622" s="248">
        <v>-14367.65</v>
      </c>
      <c r="O622" s="248">
        <v>-28322.01</v>
      </c>
      <c r="P622" s="247" t="s">
        <v>1133</v>
      </c>
      <c r="Q622" s="247" t="s">
        <v>84</v>
      </c>
    </row>
    <row r="623" spans="1:17" x14ac:dyDescent="0.25">
      <c r="A623" s="247" t="s">
        <v>646</v>
      </c>
      <c r="B623" s="247" t="s">
        <v>25</v>
      </c>
      <c r="C623" s="247" t="s">
        <v>1122</v>
      </c>
      <c r="D623" s="247" t="s">
        <v>1095</v>
      </c>
      <c r="E623" s="247" t="s">
        <v>1131</v>
      </c>
      <c r="F623" s="247" t="s">
        <v>1840</v>
      </c>
      <c r="G623" s="247" t="s">
        <v>1132</v>
      </c>
      <c r="H623" s="247"/>
      <c r="I623" s="247" t="s">
        <v>1841</v>
      </c>
      <c r="J623" s="247">
        <v>10</v>
      </c>
      <c r="K623" s="247">
        <v>10</v>
      </c>
      <c r="L623" s="249" t="s">
        <v>650</v>
      </c>
      <c r="M623" s="249" t="s">
        <v>933</v>
      </c>
      <c r="N623" s="248">
        <v>-13505.88</v>
      </c>
      <c r="O623" s="248">
        <v>-41827.89</v>
      </c>
      <c r="P623" s="247" t="s">
        <v>1133</v>
      </c>
      <c r="Q623" s="247" t="s">
        <v>85</v>
      </c>
    </row>
    <row r="624" spans="1:17" x14ac:dyDescent="0.25">
      <c r="A624" s="247" t="s">
        <v>646</v>
      </c>
      <c r="B624" s="247" t="s">
        <v>25</v>
      </c>
      <c r="C624" s="247" t="s">
        <v>1122</v>
      </c>
      <c r="D624" s="247" t="s">
        <v>1095</v>
      </c>
      <c r="E624" s="247" t="s">
        <v>1131</v>
      </c>
      <c r="F624" s="247" t="s">
        <v>1840</v>
      </c>
      <c r="G624" s="247" t="s">
        <v>1132</v>
      </c>
      <c r="H624" s="247"/>
      <c r="I624" s="247" t="s">
        <v>1841</v>
      </c>
      <c r="J624" s="247">
        <v>10</v>
      </c>
      <c r="K624" s="247">
        <v>10</v>
      </c>
      <c r="L624" s="249" t="s">
        <v>652</v>
      </c>
      <c r="M624" s="249" t="s">
        <v>933</v>
      </c>
      <c r="N624" s="248">
        <v>-13681.12</v>
      </c>
      <c r="O624" s="248">
        <v>-55509.01</v>
      </c>
      <c r="P624" s="247" t="s">
        <v>1133</v>
      </c>
      <c r="Q624" s="247" t="s">
        <v>86</v>
      </c>
    </row>
    <row r="625" spans="1:17" x14ac:dyDescent="0.25">
      <c r="A625" s="247" t="s">
        <v>646</v>
      </c>
      <c r="B625" s="247" t="s">
        <v>25</v>
      </c>
      <c r="C625" s="247" t="s">
        <v>1122</v>
      </c>
      <c r="D625" s="247" t="s">
        <v>1095</v>
      </c>
      <c r="E625" s="247" t="s">
        <v>1131</v>
      </c>
      <c r="F625" s="247" t="s">
        <v>1840</v>
      </c>
      <c r="G625" s="247" t="s">
        <v>1132</v>
      </c>
      <c r="H625" s="247"/>
      <c r="I625" s="247" t="s">
        <v>1841</v>
      </c>
      <c r="J625" s="247">
        <v>10</v>
      </c>
      <c r="K625" s="247">
        <v>10</v>
      </c>
      <c r="L625" s="249" t="s">
        <v>789</v>
      </c>
      <c r="M625" s="249" t="s">
        <v>929</v>
      </c>
      <c r="N625" s="248">
        <v>-13563.85</v>
      </c>
      <c r="O625" s="248">
        <v>-13563.85</v>
      </c>
      <c r="P625" s="247" t="s">
        <v>1133</v>
      </c>
      <c r="Q625" s="247" t="s">
        <v>87</v>
      </c>
    </row>
    <row r="626" spans="1:17" x14ac:dyDescent="0.25">
      <c r="A626" s="247" t="s">
        <v>646</v>
      </c>
      <c r="B626" s="247" t="s">
        <v>25</v>
      </c>
      <c r="C626" s="247" t="s">
        <v>1122</v>
      </c>
      <c r="D626" s="247" t="s">
        <v>1095</v>
      </c>
      <c r="E626" s="247" t="s">
        <v>1131</v>
      </c>
      <c r="F626" s="247" t="s">
        <v>1840</v>
      </c>
      <c r="G626" s="247" t="s">
        <v>1132</v>
      </c>
      <c r="H626" s="247"/>
      <c r="I626" s="247" t="s">
        <v>1841</v>
      </c>
      <c r="J626" s="247">
        <v>10</v>
      </c>
      <c r="K626" s="247">
        <v>10</v>
      </c>
      <c r="L626" s="249" t="s">
        <v>791</v>
      </c>
      <c r="M626" s="249" t="s">
        <v>929</v>
      </c>
      <c r="N626" s="248">
        <v>-13999.3</v>
      </c>
      <c r="O626" s="248">
        <v>-27563.15</v>
      </c>
      <c r="P626" s="247" t="s">
        <v>1133</v>
      </c>
      <c r="Q626" s="247" t="s">
        <v>88</v>
      </c>
    </row>
    <row r="627" spans="1:17" x14ac:dyDescent="0.25">
      <c r="A627" s="247" t="s">
        <v>646</v>
      </c>
      <c r="B627" s="247" t="s">
        <v>25</v>
      </c>
      <c r="C627" s="247" t="s">
        <v>1122</v>
      </c>
      <c r="D627" s="247" t="s">
        <v>1095</v>
      </c>
      <c r="E627" s="247" t="s">
        <v>1131</v>
      </c>
      <c r="F627" s="247" t="s">
        <v>1840</v>
      </c>
      <c r="G627" s="247" t="s">
        <v>1132</v>
      </c>
      <c r="H627" s="247"/>
      <c r="I627" s="247" t="s">
        <v>1841</v>
      </c>
      <c r="J627" s="247">
        <v>10</v>
      </c>
      <c r="K627" s="247">
        <v>10</v>
      </c>
      <c r="L627" s="249" t="s">
        <v>935</v>
      </c>
      <c r="M627" s="249" t="s">
        <v>929</v>
      </c>
      <c r="N627" s="248">
        <v>-13397.73</v>
      </c>
      <c r="O627" s="248">
        <v>-40960.879999999997</v>
      </c>
      <c r="P627" s="247" t="s">
        <v>1133</v>
      </c>
      <c r="Q627" s="247" t="s">
        <v>89</v>
      </c>
    </row>
    <row r="628" spans="1:17" x14ac:dyDescent="0.25">
      <c r="A628" s="247" t="s">
        <v>646</v>
      </c>
      <c r="B628" s="247" t="s">
        <v>25</v>
      </c>
      <c r="C628" s="247" t="s">
        <v>1122</v>
      </c>
      <c r="D628" s="247" t="s">
        <v>1095</v>
      </c>
      <c r="E628" s="247" t="s">
        <v>1131</v>
      </c>
      <c r="F628" s="247" t="s">
        <v>1840</v>
      </c>
      <c r="G628" s="247" t="s">
        <v>1132</v>
      </c>
      <c r="H628" s="247"/>
      <c r="I628" s="247" t="s">
        <v>1841</v>
      </c>
      <c r="J628" s="247">
        <v>10</v>
      </c>
      <c r="K628" s="247">
        <v>10</v>
      </c>
      <c r="L628" s="249" t="s">
        <v>936</v>
      </c>
      <c r="M628" s="249" t="s">
        <v>929</v>
      </c>
      <c r="N628" s="248">
        <v>-14060.88</v>
      </c>
      <c r="O628" s="248">
        <v>-55021.760000000002</v>
      </c>
      <c r="P628" s="247" t="s">
        <v>1133</v>
      </c>
      <c r="Q628" s="247" t="s">
        <v>90</v>
      </c>
    </row>
    <row r="629" spans="1:17" x14ac:dyDescent="0.25">
      <c r="A629" s="247" t="s">
        <v>646</v>
      </c>
      <c r="B629" s="247" t="s">
        <v>25</v>
      </c>
      <c r="C629" s="247" t="s">
        <v>1122</v>
      </c>
      <c r="D629" s="247" t="s">
        <v>1095</v>
      </c>
      <c r="E629" s="247" t="s">
        <v>1131</v>
      </c>
      <c r="F629" s="247" t="s">
        <v>1840</v>
      </c>
      <c r="G629" s="247" t="s">
        <v>1132</v>
      </c>
      <c r="H629" s="247"/>
      <c r="I629" s="247" t="s">
        <v>1841</v>
      </c>
      <c r="J629" s="247">
        <v>10</v>
      </c>
      <c r="K629" s="247">
        <v>10</v>
      </c>
      <c r="L629" s="249" t="s">
        <v>937</v>
      </c>
      <c r="M629" s="249" t="s">
        <v>929</v>
      </c>
      <c r="N629" s="248">
        <v>-13571.15</v>
      </c>
      <c r="O629" s="248">
        <v>-68592.91</v>
      </c>
      <c r="P629" s="247" t="s">
        <v>1133</v>
      </c>
      <c r="Q629" s="247" t="s">
        <v>91</v>
      </c>
    </row>
    <row r="630" spans="1:17" x14ac:dyDescent="0.25">
      <c r="A630" s="247" t="s">
        <v>646</v>
      </c>
      <c r="B630" s="247" t="s">
        <v>25</v>
      </c>
      <c r="C630" s="247" t="s">
        <v>1122</v>
      </c>
      <c r="D630" s="247" t="s">
        <v>1095</v>
      </c>
      <c r="E630" s="247" t="s">
        <v>1131</v>
      </c>
      <c r="F630" s="247" t="s">
        <v>1840</v>
      </c>
      <c r="G630" s="247" t="s">
        <v>1132</v>
      </c>
      <c r="H630" s="247"/>
      <c r="I630" s="247" t="s">
        <v>1841</v>
      </c>
      <c r="J630" s="247">
        <v>10</v>
      </c>
      <c r="K630" s="247">
        <v>10</v>
      </c>
      <c r="L630" s="249" t="s">
        <v>938</v>
      </c>
      <c r="M630" s="249" t="s">
        <v>929</v>
      </c>
      <c r="N630" s="248">
        <v>-13958.46</v>
      </c>
      <c r="O630" s="248">
        <v>-82551.37</v>
      </c>
      <c r="P630" s="247" t="s">
        <v>1133</v>
      </c>
      <c r="Q630" s="247" t="s">
        <v>92</v>
      </c>
    </row>
    <row r="631" spans="1:17" x14ac:dyDescent="0.25">
      <c r="A631" s="247" t="s">
        <v>646</v>
      </c>
      <c r="B631" s="247" t="s">
        <v>25</v>
      </c>
      <c r="C631" s="247" t="s">
        <v>1122</v>
      </c>
      <c r="D631" s="247" t="s">
        <v>1095</v>
      </c>
      <c r="E631" s="247" t="s">
        <v>1131</v>
      </c>
      <c r="F631" s="247" t="s">
        <v>1840</v>
      </c>
      <c r="G631" s="247" t="s">
        <v>1132</v>
      </c>
      <c r="H631" s="247"/>
      <c r="I631" s="247" t="s">
        <v>1841</v>
      </c>
      <c r="J631" s="247">
        <v>10</v>
      </c>
      <c r="K631" s="247">
        <v>10</v>
      </c>
      <c r="L631" s="249" t="s">
        <v>939</v>
      </c>
      <c r="M631" s="249" t="s">
        <v>929</v>
      </c>
      <c r="N631" s="248">
        <v>-13818.74</v>
      </c>
      <c r="O631" s="248">
        <v>-96370.11</v>
      </c>
      <c r="P631" s="247" t="s">
        <v>1133</v>
      </c>
      <c r="Q631" s="247" t="s">
        <v>93</v>
      </c>
    </row>
    <row r="632" spans="1:17" x14ac:dyDescent="0.25">
      <c r="A632" s="247" t="s">
        <v>646</v>
      </c>
      <c r="B632" s="247" t="s">
        <v>25</v>
      </c>
      <c r="C632" s="247" t="s">
        <v>1122</v>
      </c>
      <c r="D632" s="247" t="s">
        <v>1095</v>
      </c>
      <c r="E632" s="247" t="s">
        <v>1131</v>
      </c>
      <c r="F632" s="247" t="s">
        <v>1840</v>
      </c>
      <c r="G632" s="247" t="s">
        <v>1132</v>
      </c>
      <c r="H632" s="247"/>
      <c r="I632" s="247" t="s">
        <v>1841</v>
      </c>
      <c r="J632" s="247">
        <v>10</v>
      </c>
      <c r="K632" s="247">
        <v>10</v>
      </c>
      <c r="L632" s="249" t="s">
        <v>940</v>
      </c>
      <c r="M632" s="249" t="s">
        <v>929</v>
      </c>
      <c r="N632" s="248">
        <v>-14029.03</v>
      </c>
      <c r="O632" s="248">
        <v>-110399.14</v>
      </c>
      <c r="P632" s="247" t="s">
        <v>1133</v>
      </c>
      <c r="Q632" s="247" t="s">
        <v>94</v>
      </c>
    </row>
    <row r="633" spans="1:17" x14ac:dyDescent="0.25">
      <c r="A633" s="247" t="s">
        <v>646</v>
      </c>
      <c r="B633" s="247" t="s">
        <v>25</v>
      </c>
      <c r="C633" s="247" t="s">
        <v>1122</v>
      </c>
      <c r="D633" s="247" t="s">
        <v>1095</v>
      </c>
      <c r="E633" s="247" t="s">
        <v>1131</v>
      </c>
      <c r="F633" s="247" t="s">
        <v>1840</v>
      </c>
      <c r="G633" s="247" t="s">
        <v>1132</v>
      </c>
      <c r="H633" s="247"/>
      <c r="I633" s="247" t="s">
        <v>1841</v>
      </c>
      <c r="J633" s="247">
        <v>10</v>
      </c>
      <c r="K633" s="247">
        <v>10</v>
      </c>
      <c r="L633" s="249" t="s">
        <v>642</v>
      </c>
      <c r="M633" s="249" t="s">
        <v>929</v>
      </c>
      <c r="N633" s="248">
        <v>-13573.74</v>
      </c>
      <c r="O633" s="248">
        <v>-123972.88</v>
      </c>
      <c r="P633" s="247" t="s">
        <v>1133</v>
      </c>
      <c r="Q633" s="247" t="s">
        <v>95</v>
      </c>
    </row>
    <row r="634" spans="1:17" x14ac:dyDescent="0.25">
      <c r="A634" s="247" t="s">
        <v>646</v>
      </c>
      <c r="B634" s="247" t="s">
        <v>25</v>
      </c>
      <c r="C634" s="247" t="s">
        <v>1122</v>
      </c>
      <c r="D634" s="247" t="s">
        <v>1095</v>
      </c>
      <c r="E634" s="247" t="s">
        <v>550</v>
      </c>
      <c r="F634" s="247" t="s">
        <v>1842</v>
      </c>
      <c r="G634" s="247" t="s">
        <v>1134</v>
      </c>
      <c r="H634" s="247"/>
      <c r="I634" s="247" t="s">
        <v>1843</v>
      </c>
      <c r="J634" s="247">
        <v>10</v>
      </c>
      <c r="K634" s="247">
        <v>10</v>
      </c>
      <c r="L634" s="249" t="s">
        <v>646</v>
      </c>
      <c r="M634" s="249" t="s">
        <v>933</v>
      </c>
      <c r="N634" s="248">
        <v>-7685.78</v>
      </c>
      <c r="O634" s="248">
        <v>-15419.78</v>
      </c>
      <c r="P634" s="247" t="s">
        <v>1135</v>
      </c>
      <c r="Q634" s="247" t="s">
        <v>84</v>
      </c>
    </row>
    <row r="635" spans="1:17" x14ac:dyDescent="0.25">
      <c r="A635" s="247" t="s">
        <v>646</v>
      </c>
      <c r="B635" s="247" t="s">
        <v>25</v>
      </c>
      <c r="C635" s="247" t="s">
        <v>1122</v>
      </c>
      <c r="D635" s="247" t="s">
        <v>1095</v>
      </c>
      <c r="E635" s="247" t="s">
        <v>550</v>
      </c>
      <c r="F635" s="247" t="s">
        <v>1842</v>
      </c>
      <c r="G635" s="247" t="s">
        <v>1134</v>
      </c>
      <c r="H635" s="247"/>
      <c r="I635" s="247" t="s">
        <v>1843</v>
      </c>
      <c r="J635" s="247">
        <v>10</v>
      </c>
      <c r="K635" s="247">
        <v>10</v>
      </c>
      <c r="L635" s="249" t="s">
        <v>650</v>
      </c>
      <c r="M635" s="249" t="s">
        <v>933</v>
      </c>
      <c r="N635" s="248">
        <v>-7581.13</v>
      </c>
      <c r="O635" s="248">
        <v>-23000.91</v>
      </c>
      <c r="P635" s="247" t="s">
        <v>1135</v>
      </c>
      <c r="Q635" s="247" t="s">
        <v>85</v>
      </c>
    </row>
    <row r="636" spans="1:17" x14ac:dyDescent="0.25">
      <c r="A636" s="247" t="s">
        <v>646</v>
      </c>
      <c r="B636" s="247" t="s">
        <v>25</v>
      </c>
      <c r="C636" s="247" t="s">
        <v>1122</v>
      </c>
      <c r="D636" s="247" t="s">
        <v>1095</v>
      </c>
      <c r="E636" s="247" t="s">
        <v>550</v>
      </c>
      <c r="F636" s="247" t="s">
        <v>1842</v>
      </c>
      <c r="G636" s="247" t="s">
        <v>1134</v>
      </c>
      <c r="H636" s="247"/>
      <c r="I636" s="247" t="s">
        <v>1843</v>
      </c>
      <c r="J636" s="247">
        <v>10</v>
      </c>
      <c r="K636" s="247">
        <v>10</v>
      </c>
      <c r="L636" s="249" t="s">
        <v>652</v>
      </c>
      <c r="M636" s="249" t="s">
        <v>933</v>
      </c>
      <c r="N636" s="248">
        <v>-7560.32</v>
      </c>
      <c r="O636" s="248">
        <v>-30561.23</v>
      </c>
      <c r="P636" s="247" t="s">
        <v>1135</v>
      </c>
      <c r="Q636" s="247" t="s">
        <v>86</v>
      </c>
    </row>
    <row r="637" spans="1:17" x14ac:dyDescent="0.25">
      <c r="A637" s="247" t="s">
        <v>646</v>
      </c>
      <c r="B637" s="247" t="s">
        <v>25</v>
      </c>
      <c r="C637" s="247" t="s">
        <v>1122</v>
      </c>
      <c r="D637" s="247" t="s">
        <v>1095</v>
      </c>
      <c r="E637" s="247" t="s">
        <v>550</v>
      </c>
      <c r="F637" s="247" t="s">
        <v>1842</v>
      </c>
      <c r="G637" s="247" t="s">
        <v>1134</v>
      </c>
      <c r="H637" s="247"/>
      <c r="I637" s="247" t="s">
        <v>1843</v>
      </c>
      <c r="J637" s="247">
        <v>10</v>
      </c>
      <c r="K637" s="247">
        <v>10</v>
      </c>
      <c r="L637" s="249" t="s">
        <v>789</v>
      </c>
      <c r="M637" s="249" t="s">
        <v>929</v>
      </c>
      <c r="N637" s="248">
        <v>-7503.5</v>
      </c>
      <c r="O637" s="248">
        <v>-7503.5</v>
      </c>
      <c r="P637" s="247" t="s">
        <v>1135</v>
      </c>
      <c r="Q637" s="247" t="s">
        <v>87</v>
      </c>
    </row>
    <row r="638" spans="1:17" x14ac:dyDescent="0.25">
      <c r="A638" s="247" t="s">
        <v>646</v>
      </c>
      <c r="B638" s="247" t="s">
        <v>25</v>
      </c>
      <c r="C638" s="247" t="s">
        <v>1122</v>
      </c>
      <c r="D638" s="247" t="s">
        <v>1095</v>
      </c>
      <c r="E638" s="247" t="s">
        <v>550</v>
      </c>
      <c r="F638" s="247" t="s">
        <v>1842</v>
      </c>
      <c r="G638" s="247" t="s">
        <v>1134</v>
      </c>
      <c r="H638" s="247"/>
      <c r="I638" s="247" t="s">
        <v>1843</v>
      </c>
      <c r="J638" s="247">
        <v>10</v>
      </c>
      <c r="K638" s="247">
        <v>10</v>
      </c>
      <c r="L638" s="249" t="s">
        <v>791</v>
      </c>
      <c r="M638" s="249" t="s">
        <v>929</v>
      </c>
      <c r="N638" s="248">
        <v>-7195.58</v>
      </c>
      <c r="O638" s="248">
        <v>-14699.08</v>
      </c>
      <c r="P638" s="247" t="s">
        <v>1135</v>
      </c>
      <c r="Q638" s="247" t="s">
        <v>88</v>
      </c>
    </row>
    <row r="639" spans="1:17" x14ac:dyDescent="0.25">
      <c r="A639" s="247" t="s">
        <v>646</v>
      </c>
      <c r="B639" s="247" t="s">
        <v>25</v>
      </c>
      <c r="C639" s="247" t="s">
        <v>1122</v>
      </c>
      <c r="D639" s="247" t="s">
        <v>1095</v>
      </c>
      <c r="E639" s="247" t="s">
        <v>550</v>
      </c>
      <c r="F639" s="247" t="s">
        <v>1842</v>
      </c>
      <c r="G639" s="247" t="s">
        <v>1134</v>
      </c>
      <c r="H639" s="247"/>
      <c r="I639" s="247" t="s">
        <v>1843</v>
      </c>
      <c r="J639" s="247">
        <v>10</v>
      </c>
      <c r="K639" s="247">
        <v>10</v>
      </c>
      <c r="L639" s="249" t="s">
        <v>935</v>
      </c>
      <c r="M639" s="249" t="s">
        <v>929</v>
      </c>
      <c r="N639" s="248">
        <v>-7734.5</v>
      </c>
      <c r="O639" s="248">
        <v>-22433.58</v>
      </c>
      <c r="P639" s="247" t="s">
        <v>1135</v>
      </c>
      <c r="Q639" s="247" t="s">
        <v>89</v>
      </c>
    </row>
    <row r="640" spans="1:17" x14ac:dyDescent="0.25">
      <c r="A640" s="247" t="s">
        <v>646</v>
      </c>
      <c r="B640" s="247" t="s">
        <v>25</v>
      </c>
      <c r="C640" s="247" t="s">
        <v>1122</v>
      </c>
      <c r="D640" s="247" t="s">
        <v>1095</v>
      </c>
      <c r="E640" s="247" t="s">
        <v>550</v>
      </c>
      <c r="F640" s="247" t="s">
        <v>1842</v>
      </c>
      <c r="G640" s="247" t="s">
        <v>1134</v>
      </c>
      <c r="H640" s="247"/>
      <c r="I640" s="247" t="s">
        <v>1843</v>
      </c>
      <c r="J640" s="247">
        <v>10</v>
      </c>
      <c r="K640" s="247">
        <v>10</v>
      </c>
      <c r="L640" s="249" t="s">
        <v>936</v>
      </c>
      <c r="M640" s="249" t="s">
        <v>929</v>
      </c>
      <c r="N640" s="248">
        <v>-7204.85</v>
      </c>
      <c r="O640" s="248">
        <v>-29638.43</v>
      </c>
      <c r="P640" s="247" t="s">
        <v>1135</v>
      </c>
      <c r="Q640" s="247" t="s">
        <v>90</v>
      </c>
    </row>
    <row r="641" spans="1:17" x14ac:dyDescent="0.25">
      <c r="A641" s="247" t="s">
        <v>646</v>
      </c>
      <c r="B641" s="247" t="s">
        <v>25</v>
      </c>
      <c r="C641" s="247" t="s">
        <v>1122</v>
      </c>
      <c r="D641" s="247" t="s">
        <v>1095</v>
      </c>
      <c r="E641" s="247" t="s">
        <v>550</v>
      </c>
      <c r="F641" s="247" t="s">
        <v>1842</v>
      </c>
      <c r="G641" s="247" t="s">
        <v>1134</v>
      </c>
      <c r="H641" s="247"/>
      <c r="I641" s="247" t="s">
        <v>1843</v>
      </c>
      <c r="J641" s="247">
        <v>10</v>
      </c>
      <c r="K641" s="247">
        <v>10</v>
      </c>
      <c r="L641" s="249" t="s">
        <v>937</v>
      </c>
      <c r="M641" s="249" t="s">
        <v>929</v>
      </c>
      <c r="N641" s="248">
        <v>-7596.13</v>
      </c>
      <c r="O641" s="248">
        <v>-37234.559999999998</v>
      </c>
      <c r="P641" s="247" t="s">
        <v>1135</v>
      </c>
      <c r="Q641" s="247" t="s">
        <v>91</v>
      </c>
    </row>
    <row r="642" spans="1:17" x14ac:dyDescent="0.25">
      <c r="A642" s="247" t="s">
        <v>646</v>
      </c>
      <c r="B642" s="247" t="s">
        <v>25</v>
      </c>
      <c r="C642" s="247" t="s">
        <v>1122</v>
      </c>
      <c r="D642" s="247" t="s">
        <v>1095</v>
      </c>
      <c r="E642" s="247" t="s">
        <v>550</v>
      </c>
      <c r="F642" s="247" t="s">
        <v>1842</v>
      </c>
      <c r="G642" s="247" t="s">
        <v>1134</v>
      </c>
      <c r="H642" s="247"/>
      <c r="I642" s="247" t="s">
        <v>1843</v>
      </c>
      <c r="J642" s="247">
        <v>10</v>
      </c>
      <c r="K642" s="247">
        <v>10</v>
      </c>
      <c r="L642" s="249" t="s">
        <v>938</v>
      </c>
      <c r="M642" s="249" t="s">
        <v>929</v>
      </c>
      <c r="N642" s="248">
        <v>-7651.89</v>
      </c>
      <c r="O642" s="248">
        <v>-44886.45</v>
      </c>
      <c r="P642" s="247" t="s">
        <v>1135</v>
      </c>
      <c r="Q642" s="247" t="s">
        <v>92</v>
      </c>
    </row>
    <row r="643" spans="1:17" x14ac:dyDescent="0.25">
      <c r="A643" s="247" t="s">
        <v>646</v>
      </c>
      <c r="B643" s="247" t="s">
        <v>25</v>
      </c>
      <c r="C643" s="247" t="s">
        <v>1122</v>
      </c>
      <c r="D643" s="247" t="s">
        <v>1095</v>
      </c>
      <c r="E643" s="247" t="s">
        <v>550</v>
      </c>
      <c r="F643" s="247" t="s">
        <v>1842</v>
      </c>
      <c r="G643" s="247" t="s">
        <v>1134</v>
      </c>
      <c r="H643" s="247"/>
      <c r="I643" s="247" t="s">
        <v>1843</v>
      </c>
      <c r="J643" s="247">
        <v>10</v>
      </c>
      <c r="K643" s="247">
        <v>10</v>
      </c>
      <c r="L643" s="249" t="s">
        <v>939</v>
      </c>
      <c r="M643" s="249" t="s">
        <v>929</v>
      </c>
      <c r="N643" s="248">
        <v>-8004.77</v>
      </c>
      <c r="O643" s="248">
        <v>-52891.22</v>
      </c>
      <c r="P643" s="247" t="s">
        <v>1135</v>
      </c>
      <c r="Q643" s="247" t="s">
        <v>93</v>
      </c>
    </row>
    <row r="644" spans="1:17" x14ac:dyDescent="0.25">
      <c r="A644" s="247" t="s">
        <v>646</v>
      </c>
      <c r="B644" s="247" t="s">
        <v>25</v>
      </c>
      <c r="C644" s="247" t="s">
        <v>1122</v>
      </c>
      <c r="D644" s="247" t="s">
        <v>1095</v>
      </c>
      <c r="E644" s="247" t="s">
        <v>550</v>
      </c>
      <c r="F644" s="247" t="s">
        <v>1842</v>
      </c>
      <c r="G644" s="247" t="s">
        <v>1134</v>
      </c>
      <c r="H644" s="247"/>
      <c r="I644" s="247" t="s">
        <v>1843</v>
      </c>
      <c r="J644" s="247">
        <v>10</v>
      </c>
      <c r="K644" s="247">
        <v>10</v>
      </c>
      <c r="L644" s="249" t="s">
        <v>940</v>
      </c>
      <c r="M644" s="249" t="s">
        <v>929</v>
      </c>
      <c r="N644" s="248">
        <v>-7700.89</v>
      </c>
      <c r="O644" s="248">
        <v>-60592.11</v>
      </c>
      <c r="P644" s="247" t="s">
        <v>1135</v>
      </c>
      <c r="Q644" s="247" t="s">
        <v>94</v>
      </c>
    </row>
    <row r="645" spans="1:17" x14ac:dyDescent="0.25">
      <c r="A645" s="247" t="s">
        <v>646</v>
      </c>
      <c r="B645" s="247" t="s">
        <v>25</v>
      </c>
      <c r="C645" s="247" t="s">
        <v>1122</v>
      </c>
      <c r="D645" s="247" t="s">
        <v>1095</v>
      </c>
      <c r="E645" s="247" t="s">
        <v>550</v>
      </c>
      <c r="F645" s="247" t="s">
        <v>1842</v>
      </c>
      <c r="G645" s="247" t="s">
        <v>1134</v>
      </c>
      <c r="H645" s="247"/>
      <c r="I645" s="247" t="s">
        <v>1843</v>
      </c>
      <c r="J645" s="247">
        <v>10</v>
      </c>
      <c r="K645" s="247">
        <v>10</v>
      </c>
      <c r="L645" s="249" t="s">
        <v>642</v>
      </c>
      <c r="M645" s="249" t="s">
        <v>929</v>
      </c>
      <c r="N645" s="248">
        <v>-7746.4</v>
      </c>
      <c r="O645" s="248">
        <v>-68338.509999999995</v>
      </c>
      <c r="P645" s="247" t="s">
        <v>1135</v>
      </c>
      <c r="Q645" s="247" t="s">
        <v>95</v>
      </c>
    </row>
    <row r="646" spans="1:17" x14ac:dyDescent="0.25">
      <c r="A646" s="247" t="s">
        <v>646</v>
      </c>
      <c r="B646" s="247" t="s">
        <v>25</v>
      </c>
      <c r="C646" s="247" t="s">
        <v>1122</v>
      </c>
      <c r="D646" s="247" t="s">
        <v>1095</v>
      </c>
      <c r="E646" s="247" t="s">
        <v>1136</v>
      </c>
      <c r="F646" s="247" t="s">
        <v>1844</v>
      </c>
      <c r="G646" s="247" t="s">
        <v>1137</v>
      </c>
      <c r="H646" s="247"/>
      <c r="I646" s="247" t="s">
        <v>1845</v>
      </c>
      <c r="J646" s="247">
        <v>10</v>
      </c>
      <c r="K646" s="247">
        <v>10</v>
      </c>
      <c r="L646" s="249" t="s">
        <v>646</v>
      </c>
      <c r="M646" s="249" t="s">
        <v>933</v>
      </c>
      <c r="N646" s="248">
        <v>-1890.15</v>
      </c>
      <c r="O646" s="248">
        <v>-4536.1400000000003</v>
      </c>
      <c r="P646" s="247" t="s">
        <v>1138</v>
      </c>
      <c r="Q646" s="247" t="s">
        <v>84</v>
      </c>
    </row>
    <row r="647" spans="1:17" x14ac:dyDescent="0.25">
      <c r="A647" s="247" t="s">
        <v>646</v>
      </c>
      <c r="B647" s="247" t="s">
        <v>25</v>
      </c>
      <c r="C647" s="247" t="s">
        <v>1122</v>
      </c>
      <c r="D647" s="247" t="s">
        <v>1095</v>
      </c>
      <c r="E647" s="247" t="s">
        <v>1136</v>
      </c>
      <c r="F647" s="247" t="s">
        <v>1844</v>
      </c>
      <c r="G647" s="247" t="s">
        <v>1137</v>
      </c>
      <c r="H647" s="247"/>
      <c r="I647" s="247" t="s">
        <v>1845</v>
      </c>
      <c r="J647" s="247">
        <v>10</v>
      </c>
      <c r="K647" s="247">
        <v>10</v>
      </c>
      <c r="L647" s="249" t="s">
        <v>650</v>
      </c>
      <c r="M647" s="249" t="s">
        <v>933</v>
      </c>
      <c r="N647" s="248">
        <v>-1853.12</v>
      </c>
      <c r="O647" s="248">
        <v>-6389.26</v>
      </c>
      <c r="P647" s="247" t="s">
        <v>1138</v>
      </c>
      <c r="Q647" s="247" t="s">
        <v>85</v>
      </c>
    </row>
    <row r="648" spans="1:17" x14ac:dyDescent="0.25">
      <c r="A648" s="247" t="s">
        <v>646</v>
      </c>
      <c r="B648" s="247" t="s">
        <v>25</v>
      </c>
      <c r="C648" s="247" t="s">
        <v>1122</v>
      </c>
      <c r="D648" s="247" t="s">
        <v>1095</v>
      </c>
      <c r="E648" s="247" t="s">
        <v>1136</v>
      </c>
      <c r="F648" s="247" t="s">
        <v>1844</v>
      </c>
      <c r="G648" s="247" t="s">
        <v>1137</v>
      </c>
      <c r="H648" s="247"/>
      <c r="I648" s="247" t="s">
        <v>1845</v>
      </c>
      <c r="J648" s="247">
        <v>10</v>
      </c>
      <c r="K648" s="247">
        <v>10</v>
      </c>
      <c r="L648" s="249" t="s">
        <v>652</v>
      </c>
      <c r="M648" s="249" t="s">
        <v>933</v>
      </c>
      <c r="N648" s="248">
        <v>-1818.07</v>
      </c>
      <c r="O648" s="248">
        <v>-8207.33</v>
      </c>
      <c r="P648" s="247" t="s">
        <v>1138</v>
      </c>
      <c r="Q648" s="247" t="s">
        <v>86</v>
      </c>
    </row>
    <row r="649" spans="1:17" x14ac:dyDescent="0.25">
      <c r="A649" s="247" t="s">
        <v>646</v>
      </c>
      <c r="B649" s="247" t="s">
        <v>25</v>
      </c>
      <c r="C649" s="247" t="s">
        <v>1122</v>
      </c>
      <c r="D649" s="247" t="s">
        <v>1095</v>
      </c>
      <c r="E649" s="247" t="s">
        <v>1136</v>
      </c>
      <c r="F649" s="247" t="s">
        <v>1844</v>
      </c>
      <c r="G649" s="247" t="s">
        <v>1137</v>
      </c>
      <c r="H649" s="247"/>
      <c r="I649" s="247" t="s">
        <v>1845</v>
      </c>
      <c r="J649" s="247">
        <v>10</v>
      </c>
      <c r="K649" s="247">
        <v>10</v>
      </c>
      <c r="L649" s="249" t="s">
        <v>789</v>
      </c>
      <c r="M649" s="249" t="s">
        <v>929</v>
      </c>
      <c r="N649" s="248">
        <v>-1646.09</v>
      </c>
      <c r="O649" s="248">
        <v>-1646.09</v>
      </c>
      <c r="P649" s="247" t="s">
        <v>1138</v>
      </c>
      <c r="Q649" s="247" t="s">
        <v>87</v>
      </c>
    </row>
    <row r="650" spans="1:17" x14ac:dyDescent="0.25">
      <c r="A650" s="247" t="s">
        <v>646</v>
      </c>
      <c r="B650" s="247" t="s">
        <v>25</v>
      </c>
      <c r="C650" s="247" t="s">
        <v>1122</v>
      </c>
      <c r="D650" s="247" t="s">
        <v>1095</v>
      </c>
      <c r="E650" s="247" t="s">
        <v>1136</v>
      </c>
      <c r="F650" s="247" t="s">
        <v>1844</v>
      </c>
      <c r="G650" s="247" t="s">
        <v>1137</v>
      </c>
      <c r="H650" s="247"/>
      <c r="I650" s="247" t="s">
        <v>1845</v>
      </c>
      <c r="J650" s="247">
        <v>10</v>
      </c>
      <c r="K650" s="247">
        <v>10</v>
      </c>
      <c r="L650" s="249" t="s">
        <v>791</v>
      </c>
      <c r="M650" s="249" t="s">
        <v>929</v>
      </c>
      <c r="N650" s="248">
        <v>-1456.79</v>
      </c>
      <c r="O650" s="248">
        <v>-3102.88</v>
      </c>
      <c r="P650" s="247" t="s">
        <v>1138</v>
      </c>
      <c r="Q650" s="247" t="s">
        <v>88</v>
      </c>
    </row>
    <row r="651" spans="1:17" x14ac:dyDescent="0.25">
      <c r="A651" s="247" t="s">
        <v>646</v>
      </c>
      <c r="B651" s="247" t="s">
        <v>25</v>
      </c>
      <c r="C651" s="247" t="s">
        <v>1122</v>
      </c>
      <c r="D651" s="247" t="s">
        <v>1095</v>
      </c>
      <c r="E651" s="247" t="s">
        <v>1136</v>
      </c>
      <c r="F651" s="247" t="s">
        <v>1844</v>
      </c>
      <c r="G651" s="247" t="s">
        <v>1137</v>
      </c>
      <c r="H651" s="247"/>
      <c r="I651" s="247" t="s">
        <v>1845</v>
      </c>
      <c r="J651" s="247">
        <v>10</v>
      </c>
      <c r="K651" s="247">
        <v>10</v>
      </c>
      <c r="L651" s="249" t="s">
        <v>935</v>
      </c>
      <c r="M651" s="249" t="s">
        <v>929</v>
      </c>
      <c r="N651" s="248">
        <v>-2450.46</v>
      </c>
      <c r="O651" s="248">
        <v>-5553.34</v>
      </c>
      <c r="P651" s="247" t="s">
        <v>1138</v>
      </c>
      <c r="Q651" s="247" t="s">
        <v>89</v>
      </c>
    </row>
    <row r="652" spans="1:17" x14ac:dyDescent="0.25">
      <c r="A652" s="247" t="s">
        <v>646</v>
      </c>
      <c r="B652" s="247" t="s">
        <v>25</v>
      </c>
      <c r="C652" s="247" t="s">
        <v>1122</v>
      </c>
      <c r="D652" s="247" t="s">
        <v>1095</v>
      </c>
      <c r="E652" s="247" t="s">
        <v>1136</v>
      </c>
      <c r="F652" s="247" t="s">
        <v>1844</v>
      </c>
      <c r="G652" s="247" t="s">
        <v>1137</v>
      </c>
      <c r="H652" s="247"/>
      <c r="I652" s="247" t="s">
        <v>1845</v>
      </c>
      <c r="J652" s="247">
        <v>10</v>
      </c>
      <c r="K652" s="247">
        <v>10</v>
      </c>
      <c r="L652" s="249" t="s">
        <v>936</v>
      </c>
      <c r="M652" s="249" t="s">
        <v>929</v>
      </c>
      <c r="N652" s="248">
        <v>-2061.37</v>
      </c>
      <c r="O652" s="248">
        <v>-7614.71</v>
      </c>
      <c r="P652" s="247" t="s">
        <v>1138</v>
      </c>
      <c r="Q652" s="247" t="s">
        <v>90</v>
      </c>
    </row>
    <row r="653" spans="1:17" x14ac:dyDescent="0.25">
      <c r="A653" s="247" t="s">
        <v>646</v>
      </c>
      <c r="B653" s="247" t="s">
        <v>25</v>
      </c>
      <c r="C653" s="247" t="s">
        <v>1122</v>
      </c>
      <c r="D653" s="247" t="s">
        <v>1095</v>
      </c>
      <c r="E653" s="247" t="s">
        <v>1136</v>
      </c>
      <c r="F653" s="247" t="s">
        <v>1844</v>
      </c>
      <c r="G653" s="247" t="s">
        <v>1137</v>
      </c>
      <c r="H653" s="247"/>
      <c r="I653" s="247" t="s">
        <v>1845</v>
      </c>
      <c r="J653" s="247">
        <v>10</v>
      </c>
      <c r="K653" s="247">
        <v>10</v>
      </c>
      <c r="L653" s="249" t="s">
        <v>937</v>
      </c>
      <c r="M653" s="249" t="s">
        <v>929</v>
      </c>
      <c r="N653" s="248">
        <v>-2384.86</v>
      </c>
      <c r="O653" s="248">
        <v>-9999.57</v>
      </c>
      <c r="P653" s="247" t="s">
        <v>1138</v>
      </c>
      <c r="Q653" s="247" t="s">
        <v>91</v>
      </c>
    </row>
    <row r="654" spans="1:17" x14ac:dyDescent="0.25">
      <c r="A654" s="247" t="s">
        <v>646</v>
      </c>
      <c r="B654" s="247" t="s">
        <v>25</v>
      </c>
      <c r="C654" s="247" t="s">
        <v>1122</v>
      </c>
      <c r="D654" s="247" t="s">
        <v>1095</v>
      </c>
      <c r="E654" s="247" t="s">
        <v>1136</v>
      </c>
      <c r="F654" s="247" t="s">
        <v>1844</v>
      </c>
      <c r="G654" s="247" t="s">
        <v>1137</v>
      </c>
      <c r="H654" s="247"/>
      <c r="I654" s="247" t="s">
        <v>1845</v>
      </c>
      <c r="J654" s="247">
        <v>10</v>
      </c>
      <c r="K654" s="247">
        <v>10</v>
      </c>
      <c r="L654" s="249" t="s">
        <v>938</v>
      </c>
      <c r="M654" s="249" t="s">
        <v>929</v>
      </c>
      <c r="N654" s="248">
        <v>-1706.08</v>
      </c>
      <c r="O654" s="248">
        <v>-11705.65</v>
      </c>
      <c r="P654" s="247" t="s">
        <v>1138</v>
      </c>
      <c r="Q654" s="247" t="s">
        <v>92</v>
      </c>
    </row>
    <row r="655" spans="1:17" x14ac:dyDescent="0.25">
      <c r="A655" s="247" t="s">
        <v>646</v>
      </c>
      <c r="B655" s="247" t="s">
        <v>25</v>
      </c>
      <c r="C655" s="247" t="s">
        <v>1122</v>
      </c>
      <c r="D655" s="247" t="s">
        <v>1095</v>
      </c>
      <c r="E655" s="247" t="s">
        <v>1136</v>
      </c>
      <c r="F655" s="247" t="s">
        <v>1844</v>
      </c>
      <c r="G655" s="247" t="s">
        <v>1137</v>
      </c>
      <c r="H655" s="247"/>
      <c r="I655" s="247" t="s">
        <v>1845</v>
      </c>
      <c r="J655" s="247">
        <v>10</v>
      </c>
      <c r="K655" s="247">
        <v>10</v>
      </c>
      <c r="L655" s="249" t="s">
        <v>939</v>
      </c>
      <c r="M655" s="249" t="s">
        <v>929</v>
      </c>
      <c r="N655" s="248">
        <v>-3001.34</v>
      </c>
      <c r="O655" s="248">
        <v>-14706.99</v>
      </c>
      <c r="P655" s="247" t="s">
        <v>1138</v>
      </c>
      <c r="Q655" s="247" t="s">
        <v>93</v>
      </c>
    </row>
    <row r="656" spans="1:17" x14ac:dyDescent="0.25">
      <c r="A656" s="247" t="s">
        <v>646</v>
      </c>
      <c r="B656" s="247" t="s">
        <v>25</v>
      </c>
      <c r="C656" s="247" t="s">
        <v>1122</v>
      </c>
      <c r="D656" s="247" t="s">
        <v>1095</v>
      </c>
      <c r="E656" s="247" t="s">
        <v>1136</v>
      </c>
      <c r="F656" s="247" t="s">
        <v>1844</v>
      </c>
      <c r="G656" s="247" t="s">
        <v>1137</v>
      </c>
      <c r="H656" s="247"/>
      <c r="I656" s="247" t="s">
        <v>1845</v>
      </c>
      <c r="J656" s="247">
        <v>10</v>
      </c>
      <c r="K656" s="247">
        <v>10</v>
      </c>
      <c r="L656" s="249" t="s">
        <v>940</v>
      </c>
      <c r="M656" s="249" t="s">
        <v>929</v>
      </c>
      <c r="N656" s="248">
        <v>-4124.83</v>
      </c>
      <c r="O656" s="248">
        <v>-18831.82</v>
      </c>
      <c r="P656" s="247" t="s">
        <v>1138</v>
      </c>
      <c r="Q656" s="247" t="s">
        <v>94</v>
      </c>
    </row>
    <row r="657" spans="1:17" x14ac:dyDescent="0.25">
      <c r="A657" s="247" t="s">
        <v>646</v>
      </c>
      <c r="B657" s="247" t="s">
        <v>25</v>
      </c>
      <c r="C657" s="247" t="s">
        <v>1122</v>
      </c>
      <c r="D657" s="247" t="s">
        <v>1095</v>
      </c>
      <c r="E657" s="247" t="s">
        <v>1136</v>
      </c>
      <c r="F657" s="247" t="s">
        <v>1844</v>
      </c>
      <c r="G657" s="247" t="s">
        <v>1137</v>
      </c>
      <c r="H657" s="247"/>
      <c r="I657" s="247" t="s">
        <v>1845</v>
      </c>
      <c r="J657" s="247">
        <v>10</v>
      </c>
      <c r="K657" s="247">
        <v>10</v>
      </c>
      <c r="L657" s="249" t="s">
        <v>642</v>
      </c>
      <c r="M657" s="249" t="s">
        <v>929</v>
      </c>
      <c r="N657" s="248">
        <v>-2648.62</v>
      </c>
      <c r="O657" s="248">
        <v>-21480.44</v>
      </c>
      <c r="P657" s="247" t="s">
        <v>1138</v>
      </c>
      <c r="Q657" s="247" t="s">
        <v>95</v>
      </c>
    </row>
    <row r="658" spans="1:17" x14ac:dyDescent="0.25">
      <c r="A658" s="247" t="s">
        <v>646</v>
      </c>
      <c r="B658" s="247" t="s">
        <v>25</v>
      </c>
      <c r="C658" s="247" t="s">
        <v>1122</v>
      </c>
      <c r="D658" s="247" t="s">
        <v>1095</v>
      </c>
      <c r="E658" s="247" t="s">
        <v>1139</v>
      </c>
      <c r="F658" s="247" t="s">
        <v>1846</v>
      </c>
      <c r="G658" s="247" t="s">
        <v>1140</v>
      </c>
      <c r="H658" s="247"/>
      <c r="I658" s="247" t="s">
        <v>1847</v>
      </c>
      <c r="J658" s="247">
        <v>10</v>
      </c>
      <c r="K658" s="247">
        <v>10</v>
      </c>
      <c r="L658" s="249" t="s">
        <v>646</v>
      </c>
      <c r="M658" s="249" t="s">
        <v>933</v>
      </c>
      <c r="N658" s="248">
        <v>-450.11</v>
      </c>
      <c r="O658" s="248">
        <v>-987.5</v>
      </c>
      <c r="P658" s="247" t="s">
        <v>1141</v>
      </c>
      <c r="Q658" s="247" t="s">
        <v>84</v>
      </c>
    </row>
    <row r="659" spans="1:17" x14ac:dyDescent="0.25">
      <c r="A659" s="247" t="s">
        <v>646</v>
      </c>
      <c r="B659" s="247" t="s">
        <v>25</v>
      </c>
      <c r="C659" s="247" t="s">
        <v>1122</v>
      </c>
      <c r="D659" s="247" t="s">
        <v>1095</v>
      </c>
      <c r="E659" s="247" t="s">
        <v>1139</v>
      </c>
      <c r="F659" s="247" t="s">
        <v>1846</v>
      </c>
      <c r="G659" s="247" t="s">
        <v>1140</v>
      </c>
      <c r="H659" s="247"/>
      <c r="I659" s="247" t="s">
        <v>1847</v>
      </c>
      <c r="J659" s="247">
        <v>10</v>
      </c>
      <c r="K659" s="247">
        <v>10</v>
      </c>
      <c r="L659" s="249" t="s">
        <v>650</v>
      </c>
      <c r="M659" s="249" t="s">
        <v>933</v>
      </c>
      <c r="N659" s="248">
        <v>-374.87</v>
      </c>
      <c r="O659" s="248">
        <v>-1362.37</v>
      </c>
      <c r="P659" s="247" t="s">
        <v>1141</v>
      </c>
      <c r="Q659" s="247" t="s">
        <v>85</v>
      </c>
    </row>
    <row r="660" spans="1:17" x14ac:dyDescent="0.25">
      <c r="A660" s="247" t="s">
        <v>646</v>
      </c>
      <c r="B660" s="247" t="s">
        <v>25</v>
      </c>
      <c r="C660" s="247" t="s">
        <v>1122</v>
      </c>
      <c r="D660" s="247" t="s">
        <v>1095</v>
      </c>
      <c r="E660" s="247" t="s">
        <v>1139</v>
      </c>
      <c r="F660" s="247" t="s">
        <v>1846</v>
      </c>
      <c r="G660" s="247" t="s">
        <v>1140</v>
      </c>
      <c r="H660" s="247"/>
      <c r="I660" s="247" t="s">
        <v>1847</v>
      </c>
      <c r="J660" s="247">
        <v>10</v>
      </c>
      <c r="K660" s="247">
        <v>10</v>
      </c>
      <c r="L660" s="249" t="s">
        <v>652</v>
      </c>
      <c r="M660" s="249" t="s">
        <v>933</v>
      </c>
      <c r="N660" s="248">
        <v>-307.81</v>
      </c>
      <c r="O660" s="248">
        <v>-1670.18</v>
      </c>
      <c r="P660" s="247" t="s">
        <v>1141</v>
      </c>
      <c r="Q660" s="247" t="s">
        <v>86</v>
      </c>
    </row>
    <row r="661" spans="1:17" x14ac:dyDescent="0.25">
      <c r="A661" s="247" t="s">
        <v>646</v>
      </c>
      <c r="B661" s="247" t="s">
        <v>25</v>
      </c>
      <c r="C661" s="247" t="s">
        <v>1122</v>
      </c>
      <c r="D661" s="247" t="s">
        <v>1095</v>
      </c>
      <c r="E661" s="247" t="s">
        <v>1139</v>
      </c>
      <c r="F661" s="247" t="s">
        <v>1846</v>
      </c>
      <c r="G661" s="247" t="s">
        <v>1140</v>
      </c>
      <c r="H661" s="247"/>
      <c r="I661" s="247" t="s">
        <v>1847</v>
      </c>
      <c r="J661" s="247">
        <v>10</v>
      </c>
      <c r="K661" s="247">
        <v>10</v>
      </c>
      <c r="L661" s="249" t="s">
        <v>789</v>
      </c>
      <c r="M661" s="249" t="s">
        <v>929</v>
      </c>
      <c r="N661" s="248">
        <v>-272.12</v>
      </c>
      <c r="O661" s="248">
        <v>-272.12</v>
      </c>
      <c r="P661" s="247" t="s">
        <v>1141</v>
      </c>
      <c r="Q661" s="247" t="s">
        <v>87</v>
      </c>
    </row>
    <row r="662" spans="1:17" x14ac:dyDescent="0.25">
      <c r="A662" s="247" t="s">
        <v>646</v>
      </c>
      <c r="B662" s="247" t="s">
        <v>25</v>
      </c>
      <c r="C662" s="247" t="s">
        <v>1122</v>
      </c>
      <c r="D662" s="247" t="s">
        <v>1095</v>
      </c>
      <c r="E662" s="247" t="s">
        <v>1139</v>
      </c>
      <c r="F662" s="247" t="s">
        <v>1846</v>
      </c>
      <c r="G662" s="247" t="s">
        <v>1140</v>
      </c>
      <c r="H662" s="247"/>
      <c r="I662" s="247" t="s">
        <v>1847</v>
      </c>
      <c r="J662" s="247">
        <v>10</v>
      </c>
      <c r="K662" s="247">
        <v>10</v>
      </c>
      <c r="L662" s="249" t="s">
        <v>791</v>
      </c>
      <c r="M662" s="249" t="s">
        <v>929</v>
      </c>
      <c r="N662" s="248">
        <v>-361.1</v>
      </c>
      <c r="O662" s="248">
        <v>-633.22</v>
      </c>
      <c r="P662" s="247" t="s">
        <v>1141</v>
      </c>
      <c r="Q662" s="247" t="s">
        <v>88</v>
      </c>
    </row>
    <row r="663" spans="1:17" x14ac:dyDescent="0.25">
      <c r="A663" s="247" t="s">
        <v>646</v>
      </c>
      <c r="B663" s="247" t="s">
        <v>25</v>
      </c>
      <c r="C663" s="247" t="s">
        <v>1122</v>
      </c>
      <c r="D663" s="247" t="s">
        <v>1095</v>
      </c>
      <c r="E663" s="247" t="s">
        <v>1139</v>
      </c>
      <c r="F663" s="247" t="s">
        <v>1846</v>
      </c>
      <c r="G663" s="247" t="s">
        <v>1140</v>
      </c>
      <c r="H663" s="247"/>
      <c r="I663" s="247" t="s">
        <v>1847</v>
      </c>
      <c r="J663" s="247">
        <v>10</v>
      </c>
      <c r="K663" s="247">
        <v>10</v>
      </c>
      <c r="L663" s="249" t="s">
        <v>935</v>
      </c>
      <c r="M663" s="249" t="s">
        <v>929</v>
      </c>
      <c r="N663" s="248">
        <v>-494.39</v>
      </c>
      <c r="O663" s="248">
        <v>-1127.6099999999999</v>
      </c>
      <c r="P663" s="247" t="s">
        <v>1141</v>
      </c>
      <c r="Q663" s="247" t="s">
        <v>89</v>
      </c>
    </row>
    <row r="664" spans="1:17" x14ac:dyDescent="0.25">
      <c r="A664" s="247" t="s">
        <v>646</v>
      </c>
      <c r="B664" s="247" t="s">
        <v>25</v>
      </c>
      <c r="C664" s="247" t="s">
        <v>1122</v>
      </c>
      <c r="D664" s="247" t="s">
        <v>1095</v>
      </c>
      <c r="E664" s="247" t="s">
        <v>1139</v>
      </c>
      <c r="F664" s="247" t="s">
        <v>1846</v>
      </c>
      <c r="G664" s="247" t="s">
        <v>1140</v>
      </c>
      <c r="H664" s="247"/>
      <c r="I664" s="247" t="s">
        <v>1847</v>
      </c>
      <c r="J664" s="247">
        <v>10</v>
      </c>
      <c r="K664" s="247">
        <v>10</v>
      </c>
      <c r="L664" s="249" t="s">
        <v>936</v>
      </c>
      <c r="M664" s="249" t="s">
        <v>929</v>
      </c>
      <c r="N664" s="248">
        <v>-271.7</v>
      </c>
      <c r="O664" s="248">
        <v>-1399.31</v>
      </c>
      <c r="P664" s="247" t="s">
        <v>1141</v>
      </c>
      <c r="Q664" s="247" t="s">
        <v>90</v>
      </c>
    </row>
    <row r="665" spans="1:17" x14ac:dyDescent="0.25">
      <c r="A665" s="247" t="s">
        <v>646</v>
      </c>
      <c r="B665" s="247" t="s">
        <v>25</v>
      </c>
      <c r="C665" s="247" t="s">
        <v>1122</v>
      </c>
      <c r="D665" s="247" t="s">
        <v>1095</v>
      </c>
      <c r="E665" s="247" t="s">
        <v>1139</v>
      </c>
      <c r="F665" s="247" t="s">
        <v>1846</v>
      </c>
      <c r="G665" s="247" t="s">
        <v>1140</v>
      </c>
      <c r="H665" s="247"/>
      <c r="I665" s="247" t="s">
        <v>1847</v>
      </c>
      <c r="J665" s="247">
        <v>10</v>
      </c>
      <c r="K665" s="247">
        <v>10</v>
      </c>
      <c r="L665" s="249" t="s">
        <v>937</v>
      </c>
      <c r="M665" s="249" t="s">
        <v>929</v>
      </c>
      <c r="N665" s="248">
        <v>-429.9</v>
      </c>
      <c r="O665" s="248">
        <v>-1829.21</v>
      </c>
      <c r="P665" s="247" t="s">
        <v>1141</v>
      </c>
      <c r="Q665" s="247" t="s">
        <v>91</v>
      </c>
    </row>
    <row r="666" spans="1:17" x14ac:dyDescent="0.25">
      <c r="A666" s="247" t="s">
        <v>646</v>
      </c>
      <c r="B666" s="247" t="s">
        <v>25</v>
      </c>
      <c r="C666" s="247" t="s">
        <v>1122</v>
      </c>
      <c r="D666" s="247" t="s">
        <v>1095</v>
      </c>
      <c r="E666" s="247" t="s">
        <v>1139</v>
      </c>
      <c r="F666" s="247" t="s">
        <v>1846</v>
      </c>
      <c r="G666" s="247" t="s">
        <v>1140</v>
      </c>
      <c r="H666" s="247"/>
      <c r="I666" s="247" t="s">
        <v>1847</v>
      </c>
      <c r="J666" s="247">
        <v>10</v>
      </c>
      <c r="K666" s="247">
        <v>10</v>
      </c>
      <c r="L666" s="249" t="s">
        <v>938</v>
      </c>
      <c r="M666" s="249" t="s">
        <v>929</v>
      </c>
      <c r="N666" s="248">
        <v>-283.74</v>
      </c>
      <c r="O666" s="248">
        <v>-2112.9499999999998</v>
      </c>
      <c r="P666" s="247" t="s">
        <v>1141</v>
      </c>
      <c r="Q666" s="247" t="s">
        <v>92</v>
      </c>
    </row>
    <row r="667" spans="1:17" x14ac:dyDescent="0.25">
      <c r="A667" s="247" t="s">
        <v>646</v>
      </c>
      <c r="B667" s="247" t="s">
        <v>25</v>
      </c>
      <c r="C667" s="247" t="s">
        <v>1122</v>
      </c>
      <c r="D667" s="247" t="s">
        <v>1095</v>
      </c>
      <c r="E667" s="247" t="s">
        <v>1139</v>
      </c>
      <c r="F667" s="247" t="s">
        <v>1846</v>
      </c>
      <c r="G667" s="247" t="s">
        <v>1140</v>
      </c>
      <c r="H667" s="247"/>
      <c r="I667" s="247" t="s">
        <v>1847</v>
      </c>
      <c r="J667" s="247">
        <v>10</v>
      </c>
      <c r="K667" s="247">
        <v>10</v>
      </c>
      <c r="L667" s="249" t="s">
        <v>939</v>
      </c>
      <c r="M667" s="249" t="s">
        <v>929</v>
      </c>
      <c r="N667" s="248">
        <v>-1106.1400000000001</v>
      </c>
      <c r="O667" s="248">
        <v>-3219.09</v>
      </c>
      <c r="P667" s="247" t="s">
        <v>1141</v>
      </c>
      <c r="Q667" s="247" t="s">
        <v>93</v>
      </c>
    </row>
    <row r="668" spans="1:17" x14ac:dyDescent="0.25">
      <c r="A668" s="247" t="s">
        <v>646</v>
      </c>
      <c r="B668" s="247" t="s">
        <v>25</v>
      </c>
      <c r="C668" s="247" t="s">
        <v>1122</v>
      </c>
      <c r="D668" s="247" t="s">
        <v>1095</v>
      </c>
      <c r="E668" s="247" t="s">
        <v>1139</v>
      </c>
      <c r="F668" s="247" t="s">
        <v>1846</v>
      </c>
      <c r="G668" s="247" t="s">
        <v>1140</v>
      </c>
      <c r="H668" s="247"/>
      <c r="I668" s="247" t="s">
        <v>1847</v>
      </c>
      <c r="J668" s="247">
        <v>10</v>
      </c>
      <c r="K668" s="247">
        <v>10</v>
      </c>
      <c r="L668" s="249" t="s">
        <v>940</v>
      </c>
      <c r="M668" s="249" t="s">
        <v>929</v>
      </c>
      <c r="N668" s="248">
        <v>-1243.28</v>
      </c>
      <c r="O668" s="248">
        <v>-4462.37</v>
      </c>
      <c r="P668" s="247" t="s">
        <v>1141</v>
      </c>
      <c r="Q668" s="247" t="s">
        <v>94</v>
      </c>
    </row>
    <row r="669" spans="1:17" x14ac:dyDescent="0.25">
      <c r="A669" s="247" t="s">
        <v>646</v>
      </c>
      <c r="B669" s="247" t="s">
        <v>25</v>
      </c>
      <c r="C669" s="247" t="s">
        <v>1122</v>
      </c>
      <c r="D669" s="247" t="s">
        <v>1095</v>
      </c>
      <c r="E669" s="247" t="s">
        <v>1139</v>
      </c>
      <c r="F669" s="247" t="s">
        <v>1846</v>
      </c>
      <c r="G669" s="247" t="s">
        <v>1140</v>
      </c>
      <c r="H669" s="247"/>
      <c r="I669" s="247" t="s">
        <v>1847</v>
      </c>
      <c r="J669" s="247">
        <v>10</v>
      </c>
      <c r="K669" s="247">
        <v>10</v>
      </c>
      <c r="L669" s="249" t="s">
        <v>642</v>
      </c>
      <c r="M669" s="249" t="s">
        <v>929</v>
      </c>
      <c r="N669" s="248">
        <v>-760.07</v>
      </c>
      <c r="O669" s="248">
        <v>-5222.4399999999996</v>
      </c>
      <c r="P669" s="247" t="s">
        <v>1141</v>
      </c>
      <c r="Q669" s="247" t="s">
        <v>95</v>
      </c>
    </row>
    <row r="670" spans="1:17" x14ac:dyDescent="0.25">
      <c r="A670" s="247" t="s">
        <v>646</v>
      </c>
      <c r="B670" s="247" t="s">
        <v>25</v>
      </c>
      <c r="C670" s="247" t="s">
        <v>1122</v>
      </c>
      <c r="D670" s="247" t="s">
        <v>1095</v>
      </c>
      <c r="E670" s="247" t="s">
        <v>1142</v>
      </c>
      <c r="F670" s="247" t="s">
        <v>1848</v>
      </c>
      <c r="G670" s="247" t="s">
        <v>1143</v>
      </c>
      <c r="H670" s="247"/>
      <c r="I670" s="247" t="s">
        <v>1849</v>
      </c>
      <c r="J670" s="247">
        <v>10</v>
      </c>
      <c r="K670" s="247">
        <v>10</v>
      </c>
      <c r="L670" s="249" t="s">
        <v>646</v>
      </c>
      <c r="M670" s="249" t="s">
        <v>933</v>
      </c>
      <c r="N670" s="248">
        <v>-73.63</v>
      </c>
      <c r="O670" s="248">
        <v>-168.81</v>
      </c>
      <c r="P670" s="247" t="s">
        <v>1144</v>
      </c>
      <c r="Q670" s="247" t="s">
        <v>84</v>
      </c>
    </row>
    <row r="671" spans="1:17" x14ac:dyDescent="0.25">
      <c r="A671" s="247" t="s">
        <v>646</v>
      </c>
      <c r="B671" s="247" t="s">
        <v>25</v>
      </c>
      <c r="C671" s="247" t="s">
        <v>1122</v>
      </c>
      <c r="D671" s="247" t="s">
        <v>1095</v>
      </c>
      <c r="E671" s="247" t="s">
        <v>1142</v>
      </c>
      <c r="F671" s="247" t="s">
        <v>1848</v>
      </c>
      <c r="G671" s="247" t="s">
        <v>1143</v>
      </c>
      <c r="H671" s="247"/>
      <c r="I671" s="247" t="s">
        <v>1849</v>
      </c>
      <c r="J671" s="247">
        <v>10</v>
      </c>
      <c r="K671" s="247">
        <v>10</v>
      </c>
      <c r="L671" s="249" t="s">
        <v>650</v>
      </c>
      <c r="M671" s="249" t="s">
        <v>933</v>
      </c>
      <c r="N671" s="248">
        <v>-98.98</v>
      </c>
      <c r="O671" s="248">
        <v>-267.79000000000002</v>
      </c>
      <c r="P671" s="247" t="s">
        <v>1144</v>
      </c>
      <c r="Q671" s="247" t="s">
        <v>85</v>
      </c>
    </row>
    <row r="672" spans="1:17" x14ac:dyDescent="0.25">
      <c r="A672" s="247" t="s">
        <v>646</v>
      </c>
      <c r="B672" s="247" t="s">
        <v>25</v>
      </c>
      <c r="C672" s="247" t="s">
        <v>1122</v>
      </c>
      <c r="D672" s="247" t="s">
        <v>1095</v>
      </c>
      <c r="E672" s="247" t="s">
        <v>1142</v>
      </c>
      <c r="F672" s="247" t="s">
        <v>1848</v>
      </c>
      <c r="G672" s="247" t="s">
        <v>1143</v>
      </c>
      <c r="H672" s="247"/>
      <c r="I672" s="247" t="s">
        <v>1849</v>
      </c>
      <c r="J672" s="247">
        <v>10</v>
      </c>
      <c r="K672" s="247">
        <v>10</v>
      </c>
      <c r="L672" s="249" t="s">
        <v>652</v>
      </c>
      <c r="M672" s="249" t="s">
        <v>933</v>
      </c>
      <c r="N672" s="248">
        <v>-60.42</v>
      </c>
      <c r="O672" s="248">
        <v>-328.21</v>
      </c>
      <c r="P672" s="247" t="s">
        <v>1144</v>
      </c>
      <c r="Q672" s="247" t="s">
        <v>86</v>
      </c>
    </row>
    <row r="673" spans="1:17" x14ac:dyDescent="0.25">
      <c r="A673" s="247" t="s">
        <v>646</v>
      </c>
      <c r="B673" s="247" t="s">
        <v>25</v>
      </c>
      <c r="C673" s="247" t="s">
        <v>1122</v>
      </c>
      <c r="D673" s="247" t="s">
        <v>1095</v>
      </c>
      <c r="E673" s="247" t="s">
        <v>1142</v>
      </c>
      <c r="F673" s="247" t="s">
        <v>1848</v>
      </c>
      <c r="G673" s="247" t="s">
        <v>1143</v>
      </c>
      <c r="H673" s="247"/>
      <c r="I673" s="247" t="s">
        <v>1849</v>
      </c>
      <c r="J673" s="247">
        <v>10</v>
      </c>
      <c r="K673" s="247">
        <v>10</v>
      </c>
      <c r="L673" s="249" t="s">
        <v>789</v>
      </c>
      <c r="M673" s="249" t="s">
        <v>929</v>
      </c>
      <c r="N673" s="248">
        <v>-129.41999999999999</v>
      </c>
      <c r="O673" s="248">
        <v>-129.41999999999999</v>
      </c>
      <c r="P673" s="247" t="s">
        <v>1144</v>
      </c>
      <c r="Q673" s="247" t="s">
        <v>87</v>
      </c>
    </row>
    <row r="674" spans="1:17" x14ac:dyDescent="0.25">
      <c r="A674" s="247" t="s">
        <v>646</v>
      </c>
      <c r="B674" s="247" t="s">
        <v>25</v>
      </c>
      <c r="C674" s="247" t="s">
        <v>1122</v>
      </c>
      <c r="D674" s="247" t="s">
        <v>1095</v>
      </c>
      <c r="E674" s="247" t="s">
        <v>1142</v>
      </c>
      <c r="F674" s="247" t="s">
        <v>1848</v>
      </c>
      <c r="G674" s="247" t="s">
        <v>1143</v>
      </c>
      <c r="H674" s="247"/>
      <c r="I674" s="247" t="s">
        <v>1849</v>
      </c>
      <c r="J674" s="247">
        <v>10</v>
      </c>
      <c r="K674" s="247">
        <v>10</v>
      </c>
      <c r="L674" s="249" t="s">
        <v>791</v>
      </c>
      <c r="M674" s="249" t="s">
        <v>929</v>
      </c>
      <c r="N674" s="248">
        <v>-48.93</v>
      </c>
      <c r="O674" s="248">
        <v>-178.35</v>
      </c>
      <c r="P674" s="247" t="s">
        <v>1144</v>
      </c>
      <c r="Q674" s="247" t="s">
        <v>88</v>
      </c>
    </row>
    <row r="675" spans="1:17" x14ac:dyDescent="0.25">
      <c r="A675" s="247" t="s">
        <v>646</v>
      </c>
      <c r="B675" s="247" t="s">
        <v>25</v>
      </c>
      <c r="C675" s="247" t="s">
        <v>1122</v>
      </c>
      <c r="D675" s="247" t="s">
        <v>1095</v>
      </c>
      <c r="E675" s="247" t="s">
        <v>1142</v>
      </c>
      <c r="F675" s="247" t="s">
        <v>1848</v>
      </c>
      <c r="G675" s="247" t="s">
        <v>1143</v>
      </c>
      <c r="H675" s="247"/>
      <c r="I675" s="247" t="s">
        <v>1849</v>
      </c>
      <c r="J675" s="247">
        <v>10</v>
      </c>
      <c r="K675" s="247">
        <v>10</v>
      </c>
      <c r="L675" s="249" t="s">
        <v>935</v>
      </c>
      <c r="M675" s="249" t="s">
        <v>929</v>
      </c>
      <c r="N675" s="248">
        <v>-83.12</v>
      </c>
      <c r="O675" s="248">
        <v>-261.47000000000003</v>
      </c>
      <c r="P675" s="247" t="s">
        <v>1144</v>
      </c>
      <c r="Q675" s="247" t="s">
        <v>89</v>
      </c>
    </row>
    <row r="676" spans="1:17" x14ac:dyDescent="0.25">
      <c r="A676" s="247" t="s">
        <v>646</v>
      </c>
      <c r="B676" s="247" t="s">
        <v>25</v>
      </c>
      <c r="C676" s="247" t="s">
        <v>1122</v>
      </c>
      <c r="D676" s="247" t="s">
        <v>1095</v>
      </c>
      <c r="E676" s="247" t="s">
        <v>1142</v>
      </c>
      <c r="F676" s="247" t="s">
        <v>1848</v>
      </c>
      <c r="G676" s="247" t="s">
        <v>1143</v>
      </c>
      <c r="H676" s="247"/>
      <c r="I676" s="247" t="s">
        <v>1849</v>
      </c>
      <c r="J676" s="247">
        <v>10</v>
      </c>
      <c r="K676" s="247">
        <v>10</v>
      </c>
      <c r="L676" s="249" t="s">
        <v>936</v>
      </c>
      <c r="M676" s="249" t="s">
        <v>929</v>
      </c>
      <c r="N676" s="248">
        <v>-51.6</v>
      </c>
      <c r="O676" s="248">
        <v>-313.07</v>
      </c>
      <c r="P676" s="247" t="s">
        <v>1144</v>
      </c>
      <c r="Q676" s="247" t="s">
        <v>90</v>
      </c>
    </row>
    <row r="677" spans="1:17" x14ac:dyDescent="0.25">
      <c r="A677" s="247" t="s">
        <v>646</v>
      </c>
      <c r="B677" s="247" t="s">
        <v>25</v>
      </c>
      <c r="C677" s="247" t="s">
        <v>1122</v>
      </c>
      <c r="D677" s="247" t="s">
        <v>1095</v>
      </c>
      <c r="E677" s="247" t="s">
        <v>1142</v>
      </c>
      <c r="F677" s="247" t="s">
        <v>1848</v>
      </c>
      <c r="G677" s="247" t="s">
        <v>1143</v>
      </c>
      <c r="H677" s="247"/>
      <c r="I677" s="247" t="s">
        <v>1849</v>
      </c>
      <c r="J677" s="247">
        <v>10</v>
      </c>
      <c r="K677" s="247">
        <v>10</v>
      </c>
      <c r="L677" s="249" t="s">
        <v>937</v>
      </c>
      <c r="M677" s="249" t="s">
        <v>929</v>
      </c>
      <c r="N677" s="248">
        <v>-108.25</v>
      </c>
      <c r="O677" s="248">
        <v>-421.32</v>
      </c>
      <c r="P677" s="247" t="s">
        <v>1144</v>
      </c>
      <c r="Q677" s="247" t="s">
        <v>91</v>
      </c>
    </row>
    <row r="678" spans="1:17" x14ac:dyDescent="0.25">
      <c r="A678" s="247" t="s">
        <v>646</v>
      </c>
      <c r="B678" s="247" t="s">
        <v>25</v>
      </c>
      <c r="C678" s="247" t="s">
        <v>1122</v>
      </c>
      <c r="D678" s="247" t="s">
        <v>1095</v>
      </c>
      <c r="E678" s="247" t="s">
        <v>1142</v>
      </c>
      <c r="F678" s="247" t="s">
        <v>1848</v>
      </c>
      <c r="G678" s="247" t="s">
        <v>1143</v>
      </c>
      <c r="H678" s="247"/>
      <c r="I678" s="247" t="s">
        <v>1849</v>
      </c>
      <c r="J678" s="247">
        <v>10</v>
      </c>
      <c r="K678" s="247">
        <v>10</v>
      </c>
      <c r="L678" s="249" t="s">
        <v>938</v>
      </c>
      <c r="M678" s="249" t="s">
        <v>929</v>
      </c>
      <c r="N678" s="248">
        <v>-80.099999999999994</v>
      </c>
      <c r="O678" s="248">
        <v>-501.42</v>
      </c>
      <c r="P678" s="247" t="s">
        <v>1144</v>
      </c>
      <c r="Q678" s="247" t="s">
        <v>92</v>
      </c>
    </row>
    <row r="679" spans="1:17" x14ac:dyDescent="0.25">
      <c r="A679" s="247" t="s">
        <v>646</v>
      </c>
      <c r="B679" s="247" t="s">
        <v>25</v>
      </c>
      <c r="C679" s="247" t="s">
        <v>1122</v>
      </c>
      <c r="D679" s="247" t="s">
        <v>1095</v>
      </c>
      <c r="E679" s="247" t="s">
        <v>1142</v>
      </c>
      <c r="F679" s="247" t="s">
        <v>1848</v>
      </c>
      <c r="G679" s="247" t="s">
        <v>1143</v>
      </c>
      <c r="H679" s="247"/>
      <c r="I679" s="247" t="s">
        <v>1849</v>
      </c>
      <c r="J679" s="247">
        <v>10</v>
      </c>
      <c r="K679" s="247">
        <v>10</v>
      </c>
      <c r="L679" s="249" t="s">
        <v>939</v>
      </c>
      <c r="M679" s="249" t="s">
        <v>929</v>
      </c>
      <c r="N679" s="248">
        <v>-85.21</v>
      </c>
      <c r="O679" s="248">
        <v>-586.63</v>
      </c>
      <c r="P679" s="247" t="s">
        <v>1144</v>
      </c>
      <c r="Q679" s="247" t="s">
        <v>93</v>
      </c>
    </row>
    <row r="680" spans="1:17" x14ac:dyDescent="0.25">
      <c r="A680" s="247" t="s">
        <v>646</v>
      </c>
      <c r="B680" s="247" t="s">
        <v>25</v>
      </c>
      <c r="C680" s="247" t="s">
        <v>1122</v>
      </c>
      <c r="D680" s="247" t="s">
        <v>1095</v>
      </c>
      <c r="E680" s="247" t="s">
        <v>1142</v>
      </c>
      <c r="F680" s="247" t="s">
        <v>1848</v>
      </c>
      <c r="G680" s="247" t="s">
        <v>1143</v>
      </c>
      <c r="H680" s="247"/>
      <c r="I680" s="247" t="s">
        <v>1849</v>
      </c>
      <c r="J680" s="247">
        <v>10</v>
      </c>
      <c r="K680" s="247">
        <v>10</v>
      </c>
      <c r="L680" s="249" t="s">
        <v>940</v>
      </c>
      <c r="M680" s="249" t="s">
        <v>929</v>
      </c>
      <c r="N680" s="248">
        <v>-71.260000000000005</v>
      </c>
      <c r="O680" s="248">
        <v>-657.89</v>
      </c>
      <c r="P680" s="247" t="s">
        <v>1144</v>
      </c>
      <c r="Q680" s="247" t="s">
        <v>94</v>
      </c>
    </row>
    <row r="681" spans="1:17" x14ac:dyDescent="0.25">
      <c r="A681" s="247" t="s">
        <v>646</v>
      </c>
      <c r="B681" s="247" t="s">
        <v>25</v>
      </c>
      <c r="C681" s="247" t="s">
        <v>1122</v>
      </c>
      <c r="D681" s="247" t="s">
        <v>1095</v>
      </c>
      <c r="E681" s="247" t="s">
        <v>1142</v>
      </c>
      <c r="F681" s="247" t="s">
        <v>1848</v>
      </c>
      <c r="G681" s="247" t="s">
        <v>1143</v>
      </c>
      <c r="H681" s="247"/>
      <c r="I681" s="247" t="s">
        <v>1849</v>
      </c>
      <c r="J681" s="247">
        <v>10</v>
      </c>
      <c r="K681" s="247">
        <v>10</v>
      </c>
      <c r="L681" s="249" t="s">
        <v>642</v>
      </c>
      <c r="M681" s="249" t="s">
        <v>929</v>
      </c>
      <c r="N681" s="248">
        <v>-105.74</v>
      </c>
      <c r="O681" s="248">
        <v>-763.63</v>
      </c>
      <c r="P681" s="247" t="s">
        <v>1144</v>
      </c>
      <c r="Q681" s="247" t="s">
        <v>95</v>
      </c>
    </row>
    <row r="682" spans="1:17" x14ac:dyDescent="0.25">
      <c r="A682" s="247" t="s">
        <v>646</v>
      </c>
      <c r="B682" s="247" t="s">
        <v>25</v>
      </c>
      <c r="C682" s="247" t="s">
        <v>1145</v>
      </c>
      <c r="D682" s="247" t="s">
        <v>926</v>
      </c>
      <c r="E682" s="247" t="s">
        <v>711</v>
      </c>
      <c r="F682" s="247" t="s">
        <v>1850</v>
      </c>
      <c r="G682" s="247" t="s">
        <v>1146</v>
      </c>
      <c r="H682" s="247"/>
      <c r="I682" s="247" t="s">
        <v>1851</v>
      </c>
      <c r="J682" s="247">
        <v>9</v>
      </c>
      <c r="K682" s="247">
        <v>9</v>
      </c>
      <c r="L682" s="249" t="s">
        <v>646</v>
      </c>
      <c r="M682" s="249" t="s">
        <v>933</v>
      </c>
      <c r="N682" s="248">
        <v>0</v>
      </c>
      <c r="O682" s="248">
        <v>-77377.41</v>
      </c>
      <c r="P682" s="247" t="s">
        <v>1147</v>
      </c>
      <c r="Q682" s="247" t="s">
        <v>84</v>
      </c>
    </row>
    <row r="683" spans="1:17" x14ac:dyDescent="0.25">
      <c r="A683" s="247" t="s">
        <v>646</v>
      </c>
      <c r="B683" s="247" t="s">
        <v>25</v>
      </c>
      <c r="C683" s="247" t="s">
        <v>1145</v>
      </c>
      <c r="D683" s="247" t="s">
        <v>926</v>
      </c>
      <c r="E683" s="247" t="s">
        <v>711</v>
      </c>
      <c r="F683" s="247" t="s">
        <v>1850</v>
      </c>
      <c r="G683" s="247" t="s">
        <v>1146</v>
      </c>
      <c r="H683" s="247"/>
      <c r="I683" s="247" t="s">
        <v>1851</v>
      </c>
      <c r="J683" s="247">
        <v>9</v>
      </c>
      <c r="K683" s="247">
        <v>9</v>
      </c>
      <c r="L683" s="249" t="s">
        <v>650</v>
      </c>
      <c r="M683" s="249" t="s">
        <v>933</v>
      </c>
      <c r="N683" s="248">
        <v>0</v>
      </c>
      <c r="O683" s="248">
        <v>-77377.41</v>
      </c>
      <c r="P683" s="247" t="s">
        <v>1147</v>
      </c>
      <c r="Q683" s="247" t="s">
        <v>85</v>
      </c>
    </row>
    <row r="684" spans="1:17" x14ac:dyDescent="0.25">
      <c r="A684" s="247" t="s">
        <v>646</v>
      </c>
      <c r="B684" s="247" t="s">
        <v>25</v>
      </c>
      <c r="C684" s="247" t="s">
        <v>1145</v>
      </c>
      <c r="D684" s="247" t="s">
        <v>926</v>
      </c>
      <c r="E684" s="247" t="s">
        <v>711</v>
      </c>
      <c r="F684" s="247" t="s">
        <v>1850</v>
      </c>
      <c r="G684" s="247" t="s">
        <v>1146</v>
      </c>
      <c r="H684" s="247"/>
      <c r="I684" s="247" t="s">
        <v>1851</v>
      </c>
      <c r="J684" s="247">
        <v>9</v>
      </c>
      <c r="K684" s="247">
        <v>9</v>
      </c>
      <c r="L684" s="249" t="s">
        <v>652</v>
      </c>
      <c r="M684" s="249" t="s">
        <v>933</v>
      </c>
      <c r="N684" s="248">
        <v>0</v>
      </c>
      <c r="O684" s="248">
        <v>-77377.41</v>
      </c>
      <c r="P684" s="247" t="s">
        <v>1147</v>
      </c>
      <c r="Q684" s="247" t="s">
        <v>86</v>
      </c>
    </row>
    <row r="685" spans="1:17" x14ac:dyDescent="0.25">
      <c r="A685" s="247" t="s">
        <v>646</v>
      </c>
      <c r="B685" s="247" t="s">
        <v>25</v>
      </c>
      <c r="C685" s="247" t="s">
        <v>1145</v>
      </c>
      <c r="D685" s="247" t="s">
        <v>926</v>
      </c>
      <c r="E685" s="247" t="s">
        <v>731</v>
      </c>
      <c r="F685" s="247" t="s">
        <v>1852</v>
      </c>
      <c r="G685" s="247" t="s">
        <v>1148</v>
      </c>
      <c r="H685" s="247"/>
      <c r="I685" s="247" t="s">
        <v>1853</v>
      </c>
      <c r="J685" s="247">
        <v>9</v>
      </c>
      <c r="K685" s="247">
        <v>9</v>
      </c>
      <c r="L685" s="249" t="s">
        <v>646</v>
      </c>
      <c r="M685" s="249" t="s">
        <v>933</v>
      </c>
      <c r="N685" s="248">
        <v>-11598.61</v>
      </c>
      <c r="O685" s="248">
        <v>-23179.09</v>
      </c>
      <c r="P685" s="247" t="s">
        <v>1149</v>
      </c>
      <c r="Q685" s="247" t="s">
        <v>84</v>
      </c>
    </row>
    <row r="686" spans="1:17" x14ac:dyDescent="0.25">
      <c r="A686" s="247" t="s">
        <v>646</v>
      </c>
      <c r="B686" s="247" t="s">
        <v>25</v>
      </c>
      <c r="C686" s="247" t="s">
        <v>1145</v>
      </c>
      <c r="D686" s="247" t="s">
        <v>926</v>
      </c>
      <c r="E686" s="247" t="s">
        <v>731</v>
      </c>
      <c r="F686" s="247" t="s">
        <v>1852</v>
      </c>
      <c r="G686" s="247" t="s">
        <v>1148</v>
      </c>
      <c r="H686" s="247"/>
      <c r="I686" s="247" t="s">
        <v>1853</v>
      </c>
      <c r="J686" s="247">
        <v>9</v>
      </c>
      <c r="K686" s="247">
        <v>9</v>
      </c>
      <c r="L686" s="249" t="s">
        <v>650</v>
      </c>
      <c r="M686" s="249" t="s">
        <v>933</v>
      </c>
      <c r="N686" s="248">
        <v>-11645.56</v>
      </c>
      <c r="O686" s="248">
        <v>-34824.65</v>
      </c>
      <c r="P686" s="247" t="s">
        <v>1149</v>
      </c>
      <c r="Q686" s="247" t="s">
        <v>85</v>
      </c>
    </row>
    <row r="687" spans="1:17" x14ac:dyDescent="0.25">
      <c r="A687" s="247" t="s">
        <v>646</v>
      </c>
      <c r="B687" s="247" t="s">
        <v>25</v>
      </c>
      <c r="C687" s="247" t="s">
        <v>1145</v>
      </c>
      <c r="D687" s="247" t="s">
        <v>926</v>
      </c>
      <c r="E687" s="247" t="s">
        <v>731</v>
      </c>
      <c r="F687" s="247" t="s">
        <v>1852</v>
      </c>
      <c r="G687" s="247" t="s">
        <v>1148</v>
      </c>
      <c r="H687" s="247"/>
      <c r="I687" s="247" t="s">
        <v>1853</v>
      </c>
      <c r="J687" s="247">
        <v>9</v>
      </c>
      <c r="K687" s="247">
        <v>9</v>
      </c>
      <c r="L687" s="249" t="s">
        <v>652</v>
      </c>
      <c r="M687" s="249" t="s">
        <v>933</v>
      </c>
      <c r="N687" s="248">
        <v>-11648.81</v>
      </c>
      <c r="O687" s="248">
        <v>-46473.46</v>
      </c>
      <c r="P687" s="247" t="s">
        <v>1149</v>
      </c>
      <c r="Q687" s="247" t="s">
        <v>86</v>
      </c>
    </row>
    <row r="688" spans="1:17" x14ac:dyDescent="0.25">
      <c r="A688" s="247" t="s">
        <v>646</v>
      </c>
      <c r="B688" s="247" t="s">
        <v>25</v>
      </c>
      <c r="C688" s="247" t="s">
        <v>1145</v>
      </c>
      <c r="D688" s="247" t="s">
        <v>926</v>
      </c>
      <c r="E688" s="247" t="s">
        <v>731</v>
      </c>
      <c r="F688" s="247" t="s">
        <v>1852</v>
      </c>
      <c r="G688" s="247" t="s">
        <v>1148</v>
      </c>
      <c r="H688" s="247"/>
      <c r="I688" s="247" t="s">
        <v>1853</v>
      </c>
      <c r="J688" s="247">
        <v>9</v>
      </c>
      <c r="K688" s="247">
        <v>9</v>
      </c>
      <c r="L688" s="249" t="s">
        <v>789</v>
      </c>
      <c r="M688" s="249" t="s">
        <v>929</v>
      </c>
      <c r="N688" s="248">
        <v>-4477.2299999999996</v>
      </c>
      <c r="O688" s="248">
        <v>-4477.2299999999996</v>
      </c>
      <c r="P688" s="247" t="s">
        <v>1149</v>
      </c>
      <c r="Q688" s="247" t="s">
        <v>87</v>
      </c>
    </row>
    <row r="689" spans="1:17" x14ac:dyDescent="0.25">
      <c r="A689" s="247" t="s">
        <v>646</v>
      </c>
      <c r="B689" s="247" t="s">
        <v>25</v>
      </c>
      <c r="C689" s="247" t="s">
        <v>1145</v>
      </c>
      <c r="D689" s="247" t="s">
        <v>926</v>
      </c>
      <c r="E689" s="247" t="s">
        <v>731</v>
      </c>
      <c r="F689" s="247" t="s">
        <v>1852</v>
      </c>
      <c r="G689" s="247" t="s">
        <v>1148</v>
      </c>
      <c r="H689" s="247"/>
      <c r="I689" s="247" t="s">
        <v>1853</v>
      </c>
      <c r="J689" s="247">
        <v>9</v>
      </c>
      <c r="K689" s="247">
        <v>9</v>
      </c>
      <c r="L689" s="249" t="s">
        <v>791</v>
      </c>
      <c r="M689" s="249" t="s">
        <v>929</v>
      </c>
      <c r="N689" s="248">
        <v>0</v>
      </c>
      <c r="O689" s="248">
        <v>-4477.2299999999996</v>
      </c>
      <c r="P689" s="247" t="s">
        <v>1149</v>
      </c>
      <c r="Q689" s="247" t="s">
        <v>88</v>
      </c>
    </row>
    <row r="690" spans="1:17" x14ac:dyDescent="0.25">
      <c r="A690" s="247" t="s">
        <v>646</v>
      </c>
      <c r="B690" s="247" t="s">
        <v>25</v>
      </c>
      <c r="C690" s="247" t="s">
        <v>1145</v>
      </c>
      <c r="D690" s="247" t="s">
        <v>926</v>
      </c>
      <c r="E690" s="247" t="s">
        <v>731</v>
      </c>
      <c r="F690" s="247" t="s">
        <v>1852</v>
      </c>
      <c r="G690" s="247" t="s">
        <v>1148</v>
      </c>
      <c r="H690" s="247"/>
      <c r="I690" s="247" t="s">
        <v>1853</v>
      </c>
      <c r="J690" s="247">
        <v>9</v>
      </c>
      <c r="K690" s="247">
        <v>9</v>
      </c>
      <c r="L690" s="249" t="s">
        <v>935</v>
      </c>
      <c r="M690" s="249" t="s">
        <v>929</v>
      </c>
      <c r="N690" s="248">
        <v>0</v>
      </c>
      <c r="O690" s="248">
        <v>-4477.2299999999996</v>
      </c>
      <c r="P690" s="247" t="s">
        <v>1149</v>
      </c>
      <c r="Q690" s="247" t="s">
        <v>89</v>
      </c>
    </row>
    <row r="691" spans="1:17" x14ac:dyDescent="0.25">
      <c r="A691" s="247" t="s">
        <v>646</v>
      </c>
      <c r="B691" s="247" t="s">
        <v>25</v>
      </c>
      <c r="C691" s="247" t="s">
        <v>1145</v>
      </c>
      <c r="D691" s="247" t="s">
        <v>926</v>
      </c>
      <c r="E691" s="247" t="s">
        <v>731</v>
      </c>
      <c r="F691" s="247" t="s">
        <v>1852</v>
      </c>
      <c r="G691" s="247" t="s">
        <v>1148</v>
      </c>
      <c r="H691" s="247"/>
      <c r="I691" s="247" t="s">
        <v>1853</v>
      </c>
      <c r="J691" s="247">
        <v>9</v>
      </c>
      <c r="K691" s="247">
        <v>9</v>
      </c>
      <c r="L691" s="249" t="s">
        <v>936</v>
      </c>
      <c r="M691" s="249" t="s">
        <v>929</v>
      </c>
      <c r="N691" s="248">
        <v>0</v>
      </c>
      <c r="O691" s="248">
        <v>-4477.2299999999996</v>
      </c>
      <c r="P691" s="247" t="s">
        <v>1149</v>
      </c>
      <c r="Q691" s="247" t="s">
        <v>90</v>
      </c>
    </row>
    <row r="692" spans="1:17" x14ac:dyDescent="0.25">
      <c r="A692" s="247" t="s">
        <v>646</v>
      </c>
      <c r="B692" s="247" t="s">
        <v>25</v>
      </c>
      <c r="C692" s="247" t="s">
        <v>1145</v>
      </c>
      <c r="D692" s="247" t="s">
        <v>926</v>
      </c>
      <c r="E692" s="247" t="s">
        <v>731</v>
      </c>
      <c r="F692" s="247" t="s">
        <v>1852</v>
      </c>
      <c r="G692" s="247" t="s">
        <v>1148</v>
      </c>
      <c r="H692" s="247"/>
      <c r="I692" s="247" t="s">
        <v>1853</v>
      </c>
      <c r="J692" s="247">
        <v>9</v>
      </c>
      <c r="K692" s="247">
        <v>9</v>
      </c>
      <c r="L692" s="249" t="s">
        <v>937</v>
      </c>
      <c r="M692" s="249" t="s">
        <v>929</v>
      </c>
      <c r="N692" s="248">
        <v>0</v>
      </c>
      <c r="O692" s="248">
        <v>-4477.2299999999996</v>
      </c>
      <c r="P692" s="247" t="s">
        <v>1149</v>
      </c>
      <c r="Q692" s="247" t="s">
        <v>91</v>
      </c>
    </row>
    <row r="693" spans="1:17" x14ac:dyDescent="0.25">
      <c r="A693" s="247" t="s">
        <v>646</v>
      </c>
      <c r="B693" s="247" t="s">
        <v>25</v>
      </c>
      <c r="C693" s="247" t="s">
        <v>1145</v>
      </c>
      <c r="D693" s="247" t="s">
        <v>926</v>
      </c>
      <c r="E693" s="247" t="s">
        <v>731</v>
      </c>
      <c r="F693" s="247" t="s">
        <v>1852</v>
      </c>
      <c r="G693" s="247" t="s">
        <v>1148</v>
      </c>
      <c r="H693" s="247"/>
      <c r="I693" s="247" t="s">
        <v>1853</v>
      </c>
      <c r="J693" s="247">
        <v>9</v>
      </c>
      <c r="K693" s="247">
        <v>9</v>
      </c>
      <c r="L693" s="249" t="s">
        <v>938</v>
      </c>
      <c r="M693" s="249" t="s">
        <v>929</v>
      </c>
      <c r="N693" s="248">
        <v>0</v>
      </c>
      <c r="O693" s="248">
        <v>-4477.2299999999996</v>
      </c>
      <c r="P693" s="247" t="s">
        <v>1149</v>
      </c>
      <c r="Q693" s="247" t="s">
        <v>92</v>
      </c>
    </row>
    <row r="694" spans="1:17" x14ac:dyDescent="0.25">
      <c r="A694" s="247" t="s">
        <v>646</v>
      </c>
      <c r="B694" s="247" t="s">
        <v>25</v>
      </c>
      <c r="C694" s="247" t="s">
        <v>1145</v>
      </c>
      <c r="D694" s="247" t="s">
        <v>926</v>
      </c>
      <c r="E694" s="247" t="s">
        <v>731</v>
      </c>
      <c r="F694" s="247" t="s">
        <v>1852</v>
      </c>
      <c r="G694" s="247" t="s">
        <v>1148</v>
      </c>
      <c r="H694" s="247"/>
      <c r="I694" s="247" t="s">
        <v>1853</v>
      </c>
      <c r="J694" s="247">
        <v>9</v>
      </c>
      <c r="K694" s="247">
        <v>9</v>
      </c>
      <c r="L694" s="249" t="s">
        <v>939</v>
      </c>
      <c r="M694" s="249" t="s">
        <v>929</v>
      </c>
      <c r="N694" s="248">
        <v>0</v>
      </c>
      <c r="O694" s="248">
        <v>-4477.2299999999996</v>
      </c>
      <c r="P694" s="247" t="s">
        <v>1149</v>
      </c>
      <c r="Q694" s="247" t="s">
        <v>93</v>
      </c>
    </row>
    <row r="695" spans="1:17" x14ac:dyDescent="0.25">
      <c r="A695" s="247" t="s">
        <v>646</v>
      </c>
      <c r="B695" s="247" t="s">
        <v>25</v>
      </c>
      <c r="C695" s="247" t="s">
        <v>1145</v>
      </c>
      <c r="D695" s="247" t="s">
        <v>926</v>
      </c>
      <c r="E695" s="247" t="s">
        <v>731</v>
      </c>
      <c r="F695" s="247" t="s">
        <v>1852</v>
      </c>
      <c r="G695" s="247" t="s">
        <v>1148</v>
      </c>
      <c r="H695" s="247"/>
      <c r="I695" s="247" t="s">
        <v>1853</v>
      </c>
      <c r="J695" s="247">
        <v>9</v>
      </c>
      <c r="K695" s="247">
        <v>9</v>
      </c>
      <c r="L695" s="249" t="s">
        <v>940</v>
      </c>
      <c r="M695" s="249" t="s">
        <v>929</v>
      </c>
      <c r="N695" s="248">
        <v>0</v>
      </c>
      <c r="O695" s="248">
        <v>-4477.2299999999996</v>
      </c>
      <c r="P695" s="247" t="s">
        <v>1149</v>
      </c>
      <c r="Q695" s="247" t="s">
        <v>94</v>
      </c>
    </row>
    <row r="696" spans="1:17" x14ac:dyDescent="0.25">
      <c r="A696" s="247" t="s">
        <v>646</v>
      </c>
      <c r="B696" s="247" t="s">
        <v>25</v>
      </c>
      <c r="C696" s="247" t="s">
        <v>1145</v>
      </c>
      <c r="D696" s="247" t="s">
        <v>926</v>
      </c>
      <c r="E696" s="247" t="s">
        <v>731</v>
      </c>
      <c r="F696" s="247" t="s">
        <v>1852</v>
      </c>
      <c r="G696" s="247" t="s">
        <v>1148</v>
      </c>
      <c r="H696" s="247"/>
      <c r="I696" s="247" t="s">
        <v>1853</v>
      </c>
      <c r="J696" s="247">
        <v>9</v>
      </c>
      <c r="K696" s="247">
        <v>9</v>
      </c>
      <c r="L696" s="249" t="s">
        <v>642</v>
      </c>
      <c r="M696" s="249" t="s">
        <v>929</v>
      </c>
      <c r="N696" s="248">
        <v>0</v>
      </c>
      <c r="O696" s="248">
        <v>-4477.2299999999996</v>
      </c>
      <c r="P696" s="247" t="s">
        <v>1149</v>
      </c>
      <c r="Q696" s="247" t="s">
        <v>95</v>
      </c>
    </row>
    <row r="697" spans="1:17" x14ac:dyDescent="0.25">
      <c r="A697" s="247" t="s">
        <v>646</v>
      </c>
      <c r="B697" s="247" t="s">
        <v>25</v>
      </c>
      <c r="C697" s="247" t="s">
        <v>1145</v>
      </c>
      <c r="D697" s="247" t="s">
        <v>926</v>
      </c>
      <c r="E697" s="247" t="s">
        <v>569</v>
      </c>
      <c r="F697" s="247" t="s">
        <v>1854</v>
      </c>
      <c r="G697" s="247" t="s">
        <v>1150</v>
      </c>
      <c r="H697" s="247"/>
      <c r="I697" s="247" t="s">
        <v>1855</v>
      </c>
      <c r="J697" s="247">
        <v>9</v>
      </c>
      <c r="K697" s="247">
        <v>9</v>
      </c>
      <c r="L697" s="249" t="s">
        <v>646</v>
      </c>
      <c r="M697" s="249" t="s">
        <v>933</v>
      </c>
      <c r="N697" s="248">
        <v>0</v>
      </c>
      <c r="O697" s="248">
        <v>-71488.78</v>
      </c>
      <c r="P697" s="247" t="s">
        <v>1151</v>
      </c>
      <c r="Q697" s="247" t="s">
        <v>84</v>
      </c>
    </row>
    <row r="698" spans="1:17" x14ac:dyDescent="0.25">
      <c r="A698" s="247" t="s">
        <v>646</v>
      </c>
      <c r="B698" s="247" t="s">
        <v>25</v>
      </c>
      <c r="C698" s="247" t="s">
        <v>1145</v>
      </c>
      <c r="D698" s="247" t="s">
        <v>926</v>
      </c>
      <c r="E698" s="247" t="s">
        <v>569</v>
      </c>
      <c r="F698" s="247" t="s">
        <v>1854</v>
      </c>
      <c r="G698" s="247" t="s">
        <v>1150</v>
      </c>
      <c r="H698" s="247"/>
      <c r="I698" s="247" t="s">
        <v>1855</v>
      </c>
      <c r="J698" s="247">
        <v>9</v>
      </c>
      <c r="K698" s="247">
        <v>9</v>
      </c>
      <c r="L698" s="249" t="s">
        <v>650</v>
      </c>
      <c r="M698" s="249" t="s">
        <v>933</v>
      </c>
      <c r="N698" s="248">
        <v>0</v>
      </c>
      <c r="O698" s="248">
        <v>-71488.78</v>
      </c>
      <c r="P698" s="247" t="s">
        <v>1151</v>
      </c>
      <c r="Q698" s="247" t="s">
        <v>85</v>
      </c>
    </row>
    <row r="699" spans="1:17" x14ac:dyDescent="0.25">
      <c r="A699" s="247" t="s">
        <v>646</v>
      </c>
      <c r="B699" s="247" t="s">
        <v>25</v>
      </c>
      <c r="C699" s="247" t="s">
        <v>1145</v>
      </c>
      <c r="D699" s="247" t="s">
        <v>926</v>
      </c>
      <c r="E699" s="247" t="s">
        <v>569</v>
      </c>
      <c r="F699" s="247" t="s">
        <v>1854</v>
      </c>
      <c r="G699" s="247" t="s">
        <v>1150</v>
      </c>
      <c r="H699" s="247"/>
      <c r="I699" s="247" t="s">
        <v>1855</v>
      </c>
      <c r="J699" s="247">
        <v>9</v>
      </c>
      <c r="K699" s="247">
        <v>9</v>
      </c>
      <c r="L699" s="249" t="s">
        <v>652</v>
      </c>
      <c r="M699" s="249" t="s">
        <v>933</v>
      </c>
      <c r="N699" s="248">
        <v>0</v>
      </c>
      <c r="O699" s="248">
        <v>-71488.78</v>
      </c>
      <c r="P699" s="247" t="s">
        <v>1151</v>
      </c>
      <c r="Q699" s="247" t="s">
        <v>86</v>
      </c>
    </row>
    <row r="700" spans="1:17" x14ac:dyDescent="0.25">
      <c r="A700" s="247" t="s">
        <v>646</v>
      </c>
      <c r="B700" s="247" t="s">
        <v>25</v>
      </c>
      <c r="C700" s="247" t="s">
        <v>1145</v>
      </c>
      <c r="D700" s="247" t="s">
        <v>926</v>
      </c>
      <c r="E700" s="247" t="s">
        <v>465</v>
      </c>
      <c r="F700" s="247" t="s">
        <v>1856</v>
      </c>
      <c r="G700" s="247" t="s">
        <v>1152</v>
      </c>
      <c r="H700" s="247"/>
      <c r="I700" s="247" t="s">
        <v>1857</v>
      </c>
      <c r="J700" s="247">
        <v>9</v>
      </c>
      <c r="K700" s="247">
        <v>9</v>
      </c>
      <c r="L700" s="249" t="s">
        <v>646</v>
      </c>
      <c r="M700" s="249" t="s">
        <v>933</v>
      </c>
      <c r="N700" s="248">
        <v>-7148.47</v>
      </c>
      <c r="O700" s="248">
        <v>-14581.04</v>
      </c>
      <c r="P700" s="247" t="s">
        <v>1153</v>
      </c>
      <c r="Q700" s="247" t="s">
        <v>84</v>
      </c>
    </row>
    <row r="701" spans="1:17" x14ac:dyDescent="0.25">
      <c r="A701" s="247" t="s">
        <v>646</v>
      </c>
      <c r="B701" s="247" t="s">
        <v>25</v>
      </c>
      <c r="C701" s="247" t="s">
        <v>1145</v>
      </c>
      <c r="D701" s="247" t="s">
        <v>926</v>
      </c>
      <c r="E701" s="247" t="s">
        <v>465</v>
      </c>
      <c r="F701" s="247" t="s">
        <v>1856</v>
      </c>
      <c r="G701" s="247" t="s">
        <v>1152</v>
      </c>
      <c r="H701" s="247"/>
      <c r="I701" s="247" t="s">
        <v>1857</v>
      </c>
      <c r="J701" s="247">
        <v>9</v>
      </c>
      <c r="K701" s="247">
        <v>9</v>
      </c>
      <c r="L701" s="249" t="s">
        <v>650</v>
      </c>
      <c r="M701" s="249" t="s">
        <v>933</v>
      </c>
      <c r="N701" s="248">
        <v>-7300.81</v>
      </c>
      <c r="O701" s="248">
        <v>-21881.85</v>
      </c>
      <c r="P701" s="247" t="s">
        <v>1153</v>
      </c>
      <c r="Q701" s="247" t="s">
        <v>85</v>
      </c>
    </row>
    <row r="702" spans="1:17" x14ac:dyDescent="0.25">
      <c r="A702" s="247" t="s">
        <v>646</v>
      </c>
      <c r="B702" s="247" t="s">
        <v>25</v>
      </c>
      <c r="C702" s="247" t="s">
        <v>1145</v>
      </c>
      <c r="D702" s="247" t="s">
        <v>926</v>
      </c>
      <c r="E702" s="247" t="s">
        <v>465</v>
      </c>
      <c r="F702" s="247" t="s">
        <v>1856</v>
      </c>
      <c r="G702" s="247" t="s">
        <v>1152</v>
      </c>
      <c r="H702" s="247"/>
      <c r="I702" s="247" t="s">
        <v>1857</v>
      </c>
      <c r="J702" s="247">
        <v>9</v>
      </c>
      <c r="K702" s="247">
        <v>9</v>
      </c>
      <c r="L702" s="249" t="s">
        <v>652</v>
      </c>
      <c r="M702" s="249" t="s">
        <v>933</v>
      </c>
      <c r="N702" s="248">
        <v>-7258.09</v>
      </c>
      <c r="O702" s="248">
        <v>-29139.94</v>
      </c>
      <c r="P702" s="247" t="s">
        <v>1153</v>
      </c>
      <c r="Q702" s="247" t="s">
        <v>86</v>
      </c>
    </row>
    <row r="703" spans="1:17" x14ac:dyDescent="0.25">
      <c r="A703" s="247" t="s">
        <v>646</v>
      </c>
      <c r="B703" s="247" t="s">
        <v>25</v>
      </c>
      <c r="C703" s="247" t="s">
        <v>1145</v>
      </c>
      <c r="D703" s="247" t="s">
        <v>926</v>
      </c>
      <c r="E703" s="247" t="s">
        <v>465</v>
      </c>
      <c r="F703" s="247" t="s">
        <v>1856</v>
      </c>
      <c r="G703" s="247" t="s">
        <v>1152</v>
      </c>
      <c r="H703" s="247"/>
      <c r="I703" s="247" t="s">
        <v>1857</v>
      </c>
      <c r="J703" s="247">
        <v>9</v>
      </c>
      <c r="K703" s="247">
        <v>9</v>
      </c>
      <c r="L703" s="249" t="s">
        <v>789</v>
      </c>
      <c r="M703" s="249" t="s">
        <v>929</v>
      </c>
      <c r="N703" s="248">
        <v>-2552.31</v>
      </c>
      <c r="O703" s="248">
        <v>-2552.31</v>
      </c>
      <c r="P703" s="247" t="s">
        <v>1153</v>
      </c>
      <c r="Q703" s="247" t="s">
        <v>87</v>
      </c>
    </row>
    <row r="704" spans="1:17" x14ac:dyDescent="0.25">
      <c r="A704" s="247" t="s">
        <v>646</v>
      </c>
      <c r="B704" s="247" t="s">
        <v>25</v>
      </c>
      <c r="C704" s="247" t="s">
        <v>1145</v>
      </c>
      <c r="D704" s="247" t="s">
        <v>926</v>
      </c>
      <c r="E704" s="247" t="s">
        <v>465</v>
      </c>
      <c r="F704" s="247" t="s">
        <v>1856</v>
      </c>
      <c r="G704" s="247" t="s">
        <v>1152</v>
      </c>
      <c r="H704" s="247"/>
      <c r="I704" s="247" t="s">
        <v>1857</v>
      </c>
      <c r="J704" s="247">
        <v>9</v>
      </c>
      <c r="K704" s="247">
        <v>9</v>
      </c>
      <c r="L704" s="249" t="s">
        <v>791</v>
      </c>
      <c r="M704" s="249" t="s">
        <v>929</v>
      </c>
      <c r="N704" s="248">
        <v>0</v>
      </c>
      <c r="O704" s="248">
        <v>-2552.31</v>
      </c>
      <c r="P704" s="247" t="s">
        <v>1153</v>
      </c>
      <c r="Q704" s="247" t="s">
        <v>88</v>
      </c>
    </row>
    <row r="705" spans="1:17" x14ac:dyDescent="0.25">
      <c r="A705" s="247" t="s">
        <v>646</v>
      </c>
      <c r="B705" s="247" t="s">
        <v>25</v>
      </c>
      <c r="C705" s="247" t="s">
        <v>1145</v>
      </c>
      <c r="D705" s="247" t="s">
        <v>926</v>
      </c>
      <c r="E705" s="247" t="s">
        <v>465</v>
      </c>
      <c r="F705" s="247" t="s">
        <v>1856</v>
      </c>
      <c r="G705" s="247" t="s">
        <v>1152</v>
      </c>
      <c r="H705" s="247"/>
      <c r="I705" s="247" t="s">
        <v>1857</v>
      </c>
      <c r="J705" s="247">
        <v>9</v>
      </c>
      <c r="K705" s="247">
        <v>9</v>
      </c>
      <c r="L705" s="249" t="s">
        <v>935</v>
      </c>
      <c r="M705" s="249" t="s">
        <v>929</v>
      </c>
      <c r="N705" s="248">
        <v>0</v>
      </c>
      <c r="O705" s="248">
        <v>-2552.31</v>
      </c>
      <c r="P705" s="247" t="s">
        <v>1153</v>
      </c>
      <c r="Q705" s="247" t="s">
        <v>89</v>
      </c>
    </row>
    <row r="706" spans="1:17" x14ac:dyDescent="0.25">
      <c r="A706" s="247" t="s">
        <v>646</v>
      </c>
      <c r="B706" s="247" t="s">
        <v>25</v>
      </c>
      <c r="C706" s="247" t="s">
        <v>1145</v>
      </c>
      <c r="D706" s="247" t="s">
        <v>926</v>
      </c>
      <c r="E706" s="247" t="s">
        <v>465</v>
      </c>
      <c r="F706" s="247" t="s">
        <v>1856</v>
      </c>
      <c r="G706" s="247" t="s">
        <v>1152</v>
      </c>
      <c r="H706" s="247"/>
      <c r="I706" s="247" t="s">
        <v>1857</v>
      </c>
      <c r="J706" s="247">
        <v>9</v>
      </c>
      <c r="K706" s="247">
        <v>9</v>
      </c>
      <c r="L706" s="249" t="s">
        <v>936</v>
      </c>
      <c r="M706" s="249" t="s">
        <v>929</v>
      </c>
      <c r="N706" s="248">
        <v>0</v>
      </c>
      <c r="O706" s="248">
        <v>-2552.31</v>
      </c>
      <c r="P706" s="247" t="s">
        <v>1153</v>
      </c>
      <c r="Q706" s="247" t="s">
        <v>90</v>
      </c>
    </row>
    <row r="707" spans="1:17" x14ac:dyDescent="0.25">
      <c r="A707" s="247" t="s">
        <v>646</v>
      </c>
      <c r="B707" s="247" t="s">
        <v>25</v>
      </c>
      <c r="C707" s="247" t="s">
        <v>1145</v>
      </c>
      <c r="D707" s="247" t="s">
        <v>926</v>
      </c>
      <c r="E707" s="247" t="s">
        <v>465</v>
      </c>
      <c r="F707" s="247" t="s">
        <v>1856</v>
      </c>
      <c r="G707" s="247" t="s">
        <v>1152</v>
      </c>
      <c r="H707" s="247"/>
      <c r="I707" s="247" t="s">
        <v>1857</v>
      </c>
      <c r="J707" s="247">
        <v>9</v>
      </c>
      <c r="K707" s="247">
        <v>9</v>
      </c>
      <c r="L707" s="249" t="s">
        <v>937</v>
      </c>
      <c r="M707" s="249" t="s">
        <v>929</v>
      </c>
      <c r="N707" s="248">
        <v>0</v>
      </c>
      <c r="O707" s="248">
        <v>-2552.31</v>
      </c>
      <c r="P707" s="247" t="s">
        <v>1153</v>
      </c>
      <c r="Q707" s="247" t="s">
        <v>91</v>
      </c>
    </row>
    <row r="708" spans="1:17" x14ac:dyDescent="0.25">
      <c r="A708" s="247" t="s">
        <v>646</v>
      </c>
      <c r="B708" s="247" t="s">
        <v>25</v>
      </c>
      <c r="C708" s="247" t="s">
        <v>1145</v>
      </c>
      <c r="D708" s="247" t="s">
        <v>926</v>
      </c>
      <c r="E708" s="247" t="s">
        <v>465</v>
      </c>
      <c r="F708" s="247" t="s">
        <v>1856</v>
      </c>
      <c r="G708" s="247" t="s">
        <v>1152</v>
      </c>
      <c r="H708" s="247"/>
      <c r="I708" s="247" t="s">
        <v>1857</v>
      </c>
      <c r="J708" s="247">
        <v>9</v>
      </c>
      <c r="K708" s="247">
        <v>9</v>
      </c>
      <c r="L708" s="249" t="s">
        <v>938</v>
      </c>
      <c r="M708" s="249" t="s">
        <v>929</v>
      </c>
      <c r="N708" s="248">
        <v>0</v>
      </c>
      <c r="O708" s="248">
        <v>-2552.31</v>
      </c>
      <c r="P708" s="247" t="s">
        <v>1153</v>
      </c>
      <c r="Q708" s="247" t="s">
        <v>92</v>
      </c>
    </row>
    <row r="709" spans="1:17" x14ac:dyDescent="0.25">
      <c r="A709" s="247" t="s">
        <v>646</v>
      </c>
      <c r="B709" s="247" t="s">
        <v>25</v>
      </c>
      <c r="C709" s="247" t="s">
        <v>1145</v>
      </c>
      <c r="D709" s="247" t="s">
        <v>926</v>
      </c>
      <c r="E709" s="247" t="s">
        <v>465</v>
      </c>
      <c r="F709" s="247" t="s">
        <v>1856</v>
      </c>
      <c r="G709" s="247" t="s">
        <v>1152</v>
      </c>
      <c r="H709" s="247"/>
      <c r="I709" s="247" t="s">
        <v>1857</v>
      </c>
      <c r="J709" s="247">
        <v>9</v>
      </c>
      <c r="K709" s="247">
        <v>9</v>
      </c>
      <c r="L709" s="249" t="s">
        <v>939</v>
      </c>
      <c r="M709" s="249" t="s">
        <v>929</v>
      </c>
      <c r="N709" s="248">
        <v>0</v>
      </c>
      <c r="O709" s="248">
        <v>-2552.31</v>
      </c>
      <c r="P709" s="247" t="s">
        <v>1153</v>
      </c>
      <c r="Q709" s="247" t="s">
        <v>93</v>
      </c>
    </row>
    <row r="710" spans="1:17" x14ac:dyDescent="0.25">
      <c r="A710" s="247" t="s">
        <v>646</v>
      </c>
      <c r="B710" s="247" t="s">
        <v>25</v>
      </c>
      <c r="C710" s="247" t="s">
        <v>1145</v>
      </c>
      <c r="D710" s="247" t="s">
        <v>926</v>
      </c>
      <c r="E710" s="247" t="s">
        <v>465</v>
      </c>
      <c r="F710" s="247" t="s">
        <v>1856</v>
      </c>
      <c r="G710" s="247" t="s">
        <v>1152</v>
      </c>
      <c r="H710" s="247"/>
      <c r="I710" s="247" t="s">
        <v>1857</v>
      </c>
      <c r="J710" s="247">
        <v>9</v>
      </c>
      <c r="K710" s="247">
        <v>9</v>
      </c>
      <c r="L710" s="249" t="s">
        <v>940</v>
      </c>
      <c r="M710" s="249" t="s">
        <v>929</v>
      </c>
      <c r="N710" s="248">
        <v>0</v>
      </c>
      <c r="O710" s="248">
        <v>-2552.31</v>
      </c>
      <c r="P710" s="247" t="s">
        <v>1153</v>
      </c>
      <c r="Q710" s="247" t="s">
        <v>94</v>
      </c>
    </row>
    <row r="711" spans="1:17" x14ac:dyDescent="0.25">
      <c r="A711" s="247" t="s">
        <v>646</v>
      </c>
      <c r="B711" s="247" t="s">
        <v>25</v>
      </c>
      <c r="C711" s="247" t="s">
        <v>1145</v>
      </c>
      <c r="D711" s="247" t="s">
        <v>926</v>
      </c>
      <c r="E711" s="247" t="s">
        <v>465</v>
      </c>
      <c r="F711" s="247" t="s">
        <v>1856</v>
      </c>
      <c r="G711" s="247" t="s">
        <v>1152</v>
      </c>
      <c r="H711" s="247"/>
      <c r="I711" s="247" t="s">
        <v>1857</v>
      </c>
      <c r="J711" s="247">
        <v>9</v>
      </c>
      <c r="K711" s="247">
        <v>9</v>
      </c>
      <c r="L711" s="249" t="s">
        <v>642</v>
      </c>
      <c r="M711" s="249" t="s">
        <v>929</v>
      </c>
      <c r="N711" s="248">
        <v>0</v>
      </c>
      <c r="O711" s="248">
        <v>-2552.31</v>
      </c>
      <c r="P711" s="247" t="s">
        <v>1153</v>
      </c>
      <c r="Q711" s="247" t="s">
        <v>95</v>
      </c>
    </row>
    <row r="712" spans="1:17" x14ac:dyDescent="0.25">
      <c r="A712" s="247" t="s">
        <v>646</v>
      </c>
      <c r="B712" s="247" t="s">
        <v>25</v>
      </c>
      <c r="C712" s="247" t="s">
        <v>1145</v>
      </c>
      <c r="D712" s="247" t="s">
        <v>926</v>
      </c>
      <c r="E712" s="247" t="s">
        <v>946</v>
      </c>
      <c r="F712" s="247" t="s">
        <v>1858</v>
      </c>
      <c r="G712" s="247" t="s">
        <v>1154</v>
      </c>
      <c r="H712" s="247"/>
      <c r="I712" s="247" t="s">
        <v>1859</v>
      </c>
      <c r="J712" s="247">
        <v>9</v>
      </c>
      <c r="K712" s="247">
        <v>9</v>
      </c>
      <c r="L712" s="249" t="s">
        <v>646</v>
      </c>
      <c r="M712" s="249" t="s">
        <v>933</v>
      </c>
      <c r="N712" s="248">
        <v>0</v>
      </c>
      <c r="O712" s="248">
        <v>-44422.44</v>
      </c>
      <c r="P712" s="247" t="s">
        <v>1155</v>
      </c>
      <c r="Q712" s="247" t="s">
        <v>84</v>
      </c>
    </row>
    <row r="713" spans="1:17" x14ac:dyDescent="0.25">
      <c r="A713" s="247" t="s">
        <v>646</v>
      </c>
      <c r="B713" s="247" t="s">
        <v>25</v>
      </c>
      <c r="C713" s="247" t="s">
        <v>1145</v>
      </c>
      <c r="D713" s="247" t="s">
        <v>926</v>
      </c>
      <c r="E713" s="247" t="s">
        <v>946</v>
      </c>
      <c r="F713" s="247" t="s">
        <v>1858</v>
      </c>
      <c r="G713" s="247" t="s">
        <v>1154</v>
      </c>
      <c r="H713" s="247"/>
      <c r="I713" s="247" t="s">
        <v>1859</v>
      </c>
      <c r="J713" s="247">
        <v>9</v>
      </c>
      <c r="K713" s="247">
        <v>9</v>
      </c>
      <c r="L713" s="249" t="s">
        <v>650</v>
      </c>
      <c r="M713" s="249" t="s">
        <v>933</v>
      </c>
      <c r="N713" s="248">
        <v>0</v>
      </c>
      <c r="O713" s="248">
        <v>-44422.44</v>
      </c>
      <c r="P713" s="247" t="s">
        <v>1155</v>
      </c>
      <c r="Q713" s="247" t="s">
        <v>85</v>
      </c>
    </row>
    <row r="714" spans="1:17" x14ac:dyDescent="0.25">
      <c r="A714" s="247" t="s">
        <v>646</v>
      </c>
      <c r="B714" s="247" t="s">
        <v>25</v>
      </c>
      <c r="C714" s="247" t="s">
        <v>1145</v>
      </c>
      <c r="D714" s="247" t="s">
        <v>926</v>
      </c>
      <c r="E714" s="247" t="s">
        <v>946</v>
      </c>
      <c r="F714" s="247" t="s">
        <v>1858</v>
      </c>
      <c r="G714" s="247" t="s">
        <v>1154</v>
      </c>
      <c r="H714" s="247"/>
      <c r="I714" s="247" t="s">
        <v>1859</v>
      </c>
      <c r="J714" s="247">
        <v>9</v>
      </c>
      <c r="K714" s="247">
        <v>9</v>
      </c>
      <c r="L714" s="249" t="s">
        <v>652</v>
      </c>
      <c r="M714" s="249" t="s">
        <v>933</v>
      </c>
      <c r="N714" s="248">
        <v>0</v>
      </c>
      <c r="O714" s="248">
        <v>-44422.44</v>
      </c>
      <c r="P714" s="247" t="s">
        <v>1155</v>
      </c>
      <c r="Q714" s="247" t="s">
        <v>86</v>
      </c>
    </row>
    <row r="715" spans="1:17" x14ac:dyDescent="0.25">
      <c r="A715" s="247" t="s">
        <v>646</v>
      </c>
      <c r="B715" s="247" t="s">
        <v>25</v>
      </c>
      <c r="C715" s="247" t="s">
        <v>1145</v>
      </c>
      <c r="D715" s="247" t="s">
        <v>926</v>
      </c>
      <c r="E715" s="247" t="s">
        <v>1156</v>
      </c>
      <c r="F715" s="247" t="s">
        <v>1860</v>
      </c>
      <c r="G715" s="247" t="s">
        <v>1157</v>
      </c>
      <c r="H715" s="247"/>
      <c r="I715" s="247" t="s">
        <v>1861</v>
      </c>
      <c r="J715" s="247">
        <v>9</v>
      </c>
      <c r="K715" s="247">
        <v>9</v>
      </c>
      <c r="L715" s="249" t="s">
        <v>646</v>
      </c>
      <c r="M715" s="249" t="s">
        <v>933</v>
      </c>
      <c r="N715" s="248">
        <v>-13.23</v>
      </c>
      <c r="O715" s="248">
        <v>-520.77</v>
      </c>
      <c r="P715" s="247" t="s">
        <v>1158</v>
      </c>
      <c r="Q715" s="247" t="s">
        <v>84</v>
      </c>
    </row>
    <row r="716" spans="1:17" x14ac:dyDescent="0.25">
      <c r="A716" s="247" t="s">
        <v>646</v>
      </c>
      <c r="B716" s="247" t="s">
        <v>25</v>
      </c>
      <c r="C716" s="247" t="s">
        <v>1145</v>
      </c>
      <c r="D716" s="247" t="s">
        <v>926</v>
      </c>
      <c r="E716" s="247" t="s">
        <v>1156</v>
      </c>
      <c r="F716" s="247" t="s">
        <v>1860</v>
      </c>
      <c r="G716" s="247" t="s">
        <v>1157</v>
      </c>
      <c r="H716" s="247"/>
      <c r="I716" s="247" t="s">
        <v>1861</v>
      </c>
      <c r="J716" s="247">
        <v>9</v>
      </c>
      <c r="K716" s="247">
        <v>9</v>
      </c>
      <c r="L716" s="249" t="s">
        <v>650</v>
      </c>
      <c r="M716" s="249" t="s">
        <v>933</v>
      </c>
      <c r="N716" s="248">
        <v>-55.06</v>
      </c>
      <c r="O716" s="248">
        <v>-575.83000000000004</v>
      </c>
      <c r="P716" s="247" t="s">
        <v>1158</v>
      </c>
      <c r="Q716" s="247" t="s">
        <v>85</v>
      </c>
    </row>
    <row r="717" spans="1:17" x14ac:dyDescent="0.25">
      <c r="A717" s="247" t="s">
        <v>646</v>
      </c>
      <c r="B717" s="247" t="s">
        <v>25</v>
      </c>
      <c r="C717" s="247" t="s">
        <v>1145</v>
      </c>
      <c r="D717" s="247" t="s">
        <v>926</v>
      </c>
      <c r="E717" s="247" t="s">
        <v>1156</v>
      </c>
      <c r="F717" s="247" t="s">
        <v>1860</v>
      </c>
      <c r="G717" s="247" t="s">
        <v>1157</v>
      </c>
      <c r="H717" s="247"/>
      <c r="I717" s="247" t="s">
        <v>1861</v>
      </c>
      <c r="J717" s="247">
        <v>9</v>
      </c>
      <c r="K717" s="247">
        <v>9</v>
      </c>
      <c r="L717" s="249" t="s">
        <v>652</v>
      </c>
      <c r="M717" s="249" t="s">
        <v>933</v>
      </c>
      <c r="N717" s="248">
        <v>-91.7</v>
      </c>
      <c r="O717" s="248">
        <v>-667.53</v>
      </c>
      <c r="P717" s="247" t="s">
        <v>1158</v>
      </c>
      <c r="Q717" s="247" t="s">
        <v>86</v>
      </c>
    </row>
    <row r="718" spans="1:17" x14ac:dyDescent="0.25">
      <c r="A718" s="247" t="s">
        <v>646</v>
      </c>
      <c r="B718" s="247" t="s">
        <v>25</v>
      </c>
      <c r="C718" s="247" t="s">
        <v>1145</v>
      </c>
      <c r="D718" s="247" t="s">
        <v>926</v>
      </c>
      <c r="E718" s="247" t="s">
        <v>1049</v>
      </c>
      <c r="F718" s="247" t="s">
        <v>1862</v>
      </c>
      <c r="G718" s="247" t="s">
        <v>1159</v>
      </c>
      <c r="H718" s="247"/>
      <c r="I718" s="247" t="s">
        <v>1863</v>
      </c>
      <c r="J718" s="247">
        <v>9</v>
      </c>
      <c r="K718" s="247">
        <v>9</v>
      </c>
      <c r="L718" s="249" t="s">
        <v>646</v>
      </c>
      <c r="M718" s="249" t="s">
        <v>933</v>
      </c>
      <c r="N718" s="248">
        <v>0</v>
      </c>
      <c r="O718" s="248">
        <v>-48588.28</v>
      </c>
      <c r="P718" s="247" t="s">
        <v>1160</v>
      </c>
      <c r="Q718" s="247" t="s">
        <v>84</v>
      </c>
    </row>
    <row r="719" spans="1:17" x14ac:dyDescent="0.25">
      <c r="A719" s="247" t="s">
        <v>646</v>
      </c>
      <c r="B719" s="247" t="s">
        <v>25</v>
      </c>
      <c r="C719" s="247" t="s">
        <v>1145</v>
      </c>
      <c r="D719" s="247" t="s">
        <v>926</v>
      </c>
      <c r="E719" s="247" t="s">
        <v>1049</v>
      </c>
      <c r="F719" s="247" t="s">
        <v>1862</v>
      </c>
      <c r="G719" s="247" t="s">
        <v>1159</v>
      </c>
      <c r="H719" s="247"/>
      <c r="I719" s="247" t="s">
        <v>1863</v>
      </c>
      <c r="J719" s="247">
        <v>9</v>
      </c>
      <c r="K719" s="247">
        <v>9</v>
      </c>
      <c r="L719" s="249" t="s">
        <v>650</v>
      </c>
      <c r="M719" s="249" t="s">
        <v>933</v>
      </c>
      <c r="N719" s="248">
        <v>0</v>
      </c>
      <c r="O719" s="248">
        <v>-48588.28</v>
      </c>
      <c r="P719" s="247" t="s">
        <v>1160</v>
      </c>
      <c r="Q719" s="247" t="s">
        <v>85</v>
      </c>
    </row>
    <row r="720" spans="1:17" x14ac:dyDescent="0.25">
      <c r="A720" s="247" t="s">
        <v>646</v>
      </c>
      <c r="B720" s="247" t="s">
        <v>25</v>
      </c>
      <c r="C720" s="247" t="s">
        <v>1145</v>
      </c>
      <c r="D720" s="247" t="s">
        <v>926</v>
      </c>
      <c r="E720" s="247" t="s">
        <v>1049</v>
      </c>
      <c r="F720" s="247" t="s">
        <v>1862</v>
      </c>
      <c r="G720" s="247" t="s">
        <v>1159</v>
      </c>
      <c r="H720" s="247"/>
      <c r="I720" s="247" t="s">
        <v>1863</v>
      </c>
      <c r="J720" s="247">
        <v>9</v>
      </c>
      <c r="K720" s="247">
        <v>9</v>
      </c>
      <c r="L720" s="249" t="s">
        <v>652</v>
      </c>
      <c r="M720" s="249" t="s">
        <v>933</v>
      </c>
      <c r="N720" s="248">
        <v>0</v>
      </c>
      <c r="O720" s="248">
        <v>-48588.28</v>
      </c>
      <c r="P720" s="247" t="s">
        <v>1160</v>
      </c>
      <c r="Q720" s="247" t="s">
        <v>86</v>
      </c>
    </row>
    <row r="721" spans="1:17" x14ac:dyDescent="0.25">
      <c r="A721" s="247" t="s">
        <v>646</v>
      </c>
      <c r="B721" s="247" t="s">
        <v>25</v>
      </c>
      <c r="C721" s="247" t="s">
        <v>1145</v>
      </c>
      <c r="D721" s="247" t="s">
        <v>1095</v>
      </c>
      <c r="E721" s="247" t="s">
        <v>731</v>
      </c>
      <c r="F721" s="247" t="s">
        <v>1864</v>
      </c>
      <c r="G721" s="247" t="s">
        <v>1161</v>
      </c>
      <c r="H721" s="247"/>
      <c r="I721" s="247" t="s">
        <v>1865</v>
      </c>
      <c r="J721" s="247">
        <v>9</v>
      </c>
      <c r="K721" s="247">
        <v>9</v>
      </c>
      <c r="L721" s="249" t="s">
        <v>789</v>
      </c>
      <c r="M721" s="249" t="s">
        <v>929</v>
      </c>
      <c r="N721" s="248">
        <v>-12938.92</v>
      </c>
      <c r="O721" s="248">
        <v>-12938.92</v>
      </c>
      <c r="P721" s="247" t="s">
        <v>1162</v>
      </c>
      <c r="Q721" s="247" t="s">
        <v>87</v>
      </c>
    </row>
    <row r="722" spans="1:17" x14ac:dyDescent="0.25">
      <c r="A722" s="247" t="s">
        <v>646</v>
      </c>
      <c r="B722" s="247" t="s">
        <v>25</v>
      </c>
      <c r="C722" s="247" t="s">
        <v>1145</v>
      </c>
      <c r="D722" s="247" t="s">
        <v>1095</v>
      </c>
      <c r="E722" s="247" t="s">
        <v>731</v>
      </c>
      <c r="F722" s="247" t="s">
        <v>1864</v>
      </c>
      <c r="G722" s="247" t="s">
        <v>1161</v>
      </c>
      <c r="H722" s="247"/>
      <c r="I722" s="247" t="s">
        <v>1865</v>
      </c>
      <c r="J722" s="247">
        <v>9</v>
      </c>
      <c r="K722" s="247">
        <v>9</v>
      </c>
      <c r="L722" s="249" t="s">
        <v>791</v>
      </c>
      <c r="M722" s="249" t="s">
        <v>929</v>
      </c>
      <c r="N722" s="248">
        <v>-18703.490000000002</v>
      </c>
      <c r="O722" s="248">
        <v>-31642.41</v>
      </c>
      <c r="P722" s="247" t="s">
        <v>1162</v>
      </c>
      <c r="Q722" s="247" t="s">
        <v>88</v>
      </c>
    </row>
    <row r="723" spans="1:17" x14ac:dyDescent="0.25">
      <c r="A723" s="247" t="s">
        <v>646</v>
      </c>
      <c r="B723" s="247" t="s">
        <v>25</v>
      </c>
      <c r="C723" s="247" t="s">
        <v>1145</v>
      </c>
      <c r="D723" s="247" t="s">
        <v>1095</v>
      </c>
      <c r="E723" s="247" t="s">
        <v>731</v>
      </c>
      <c r="F723" s="247" t="s">
        <v>1864</v>
      </c>
      <c r="G723" s="247" t="s">
        <v>1161</v>
      </c>
      <c r="H723" s="247"/>
      <c r="I723" s="247" t="s">
        <v>1865</v>
      </c>
      <c r="J723" s="247">
        <v>9</v>
      </c>
      <c r="K723" s="247">
        <v>9</v>
      </c>
      <c r="L723" s="249" t="s">
        <v>935</v>
      </c>
      <c r="M723" s="249" t="s">
        <v>929</v>
      </c>
      <c r="N723" s="248">
        <v>-13192.76</v>
      </c>
      <c r="O723" s="248">
        <v>-44835.17</v>
      </c>
      <c r="P723" s="247" t="s">
        <v>1162</v>
      </c>
      <c r="Q723" s="247" t="s">
        <v>89</v>
      </c>
    </row>
    <row r="724" spans="1:17" x14ac:dyDescent="0.25">
      <c r="A724" s="247" t="s">
        <v>646</v>
      </c>
      <c r="B724" s="247" t="s">
        <v>25</v>
      </c>
      <c r="C724" s="247" t="s">
        <v>1145</v>
      </c>
      <c r="D724" s="247" t="s">
        <v>1095</v>
      </c>
      <c r="E724" s="247" t="s">
        <v>731</v>
      </c>
      <c r="F724" s="247" t="s">
        <v>1864</v>
      </c>
      <c r="G724" s="247" t="s">
        <v>1161</v>
      </c>
      <c r="H724" s="247"/>
      <c r="I724" s="247" t="s">
        <v>1865</v>
      </c>
      <c r="J724" s="247">
        <v>9</v>
      </c>
      <c r="K724" s="247">
        <v>9</v>
      </c>
      <c r="L724" s="249" t="s">
        <v>936</v>
      </c>
      <c r="M724" s="249" t="s">
        <v>929</v>
      </c>
      <c r="N724" s="248">
        <v>-13091.96</v>
      </c>
      <c r="O724" s="248">
        <v>-57927.13</v>
      </c>
      <c r="P724" s="247" t="s">
        <v>1162</v>
      </c>
      <c r="Q724" s="247" t="s">
        <v>90</v>
      </c>
    </row>
    <row r="725" spans="1:17" x14ac:dyDescent="0.25">
      <c r="A725" s="247" t="s">
        <v>646</v>
      </c>
      <c r="B725" s="247" t="s">
        <v>25</v>
      </c>
      <c r="C725" s="247" t="s">
        <v>1145</v>
      </c>
      <c r="D725" s="247" t="s">
        <v>1095</v>
      </c>
      <c r="E725" s="247" t="s">
        <v>731</v>
      </c>
      <c r="F725" s="247" t="s">
        <v>1864</v>
      </c>
      <c r="G725" s="247" t="s">
        <v>1161</v>
      </c>
      <c r="H725" s="247"/>
      <c r="I725" s="247" t="s">
        <v>1865</v>
      </c>
      <c r="J725" s="247">
        <v>9</v>
      </c>
      <c r="K725" s="247">
        <v>9</v>
      </c>
      <c r="L725" s="249" t="s">
        <v>937</v>
      </c>
      <c r="M725" s="249" t="s">
        <v>929</v>
      </c>
      <c r="N725" s="248">
        <v>-12903.8</v>
      </c>
      <c r="O725" s="248">
        <v>-70830.929999999993</v>
      </c>
      <c r="P725" s="247" t="s">
        <v>1162</v>
      </c>
      <c r="Q725" s="247" t="s">
        <v>91</v>
      </c>
    </row>
    <row r="726" spans="1:17" x14ac:dyDescent="0.25">
      <c r="A726" s="247" t="s">
        <v>646</v>
      </c>
      <c r="B726" s="247" t="s">
        <v>25</v>
      </c>
      <c r="C726" s="247" t="s">
        <v>1145</v>
      </c>
      <c r="D726" s="247" t="s">
        <v>1095</v>
      </c>
      <c r="E726" s="247" t="s">
        <v>731</v>
      </c>
      <c r="F726" s="247" t="s">
        <v>1864</v>
      </c>
      <c r="G726" s="247" t="s">
        <v>1161</v>
      </c>
      <c r="H726" s="247"/>
      <c r="I726" s="247" t="s">
        <v>1865</v>
      </c>
      <c r="J726" s="247">
        <v>9</v>
      </c>
      <c r="K726" s="247">
        <v>9</v>
      </c>
      <c r="L726" s="249" t="s">
        <v>938</v>
      </c>
      <c r="M726" s="249" t="s">
        <v>929</v>
      </c>
      <c r="N726" s="248">
        <v>-12653.89</v>
      </c>
      <c r="O726" s="248">
        <v>-83484.820000000007</v>
      </c>
      <c r="P726" s="247" t="s">
        <v>1162</v>
      </c>
      <c r="Q726" s="247" t="s">
        <v>92</v>
      </c>
    </row>
    <row r="727" spans="1:17" x14ac:dyDescent="0.25">
      <c r="A727" s="247" t="s">
        <v>646</v>
      </c>
      <c r="B727" s="247" t="s">
        <v>25</v>
      </c>
      <c r="C727" s="247" t="s">
        <v>1145</v>
      </c>
      <c r="D727" s="247" t="s">
        <v>1095</v>
      </c>
      <c r="E727" s="247" t="s">
        <v>731</v>
      </c>
      <c r="F727" s="247" t="s">
        <v>1864</v>
      </c>
      <c r="G727" s="247" t="s">
        <v>1161</v>
      </c>
      <c r="H727" s="247"/>
      <c r="I727" s="247" t="s">
        <v>1865</v>
      </c>
      <c r="J727" s="247">
        <v>9</v>
      </c>
      <c r="K727" s="247">
        <v>9</v>
      </c>
      <c r="L727" s="249" t="s">
        <v>939</v>
      </c>
      <c r="M727" s="249" t="s">
        <v>929</v>
      </c>
      <c r="N727" s="248">
        <v>-12882.33</v>
      </c>
      <c r="O727" s="248">
        <v>-96367.15</v>
      </c>
      <c r="P727" s="247" t="s">
        <v>1162</v>
      </c>
      <c r="Q727" s="247" t="s">
        <v>93</v>
      </c>
    </row>
    <row r="728" spans="1:17" x14ac:dyDescent="0.25">
      <c r="A728" s="247" t="s">
        <v>646</v>
      </c>
      <c r="B728" s="247" t="s">
        <v>25</v>
      </c>
      <c r="C728" s="247" t="s">
        <v>1145</v>
      </c>
      <c r="D728" s="247" t="s">
        <v>1095</v>
      </c>
      <c r="E728" s="247" t="s">
        <v>731</v>
      </c>
      <c r="F728" s="247" t="s">
        <v>1864</v>
      </c>
      <c r="G728" s="247" t="s">
        <v>1161</v>
      </c>
      <c r="H728" s="247"/>
      <c r="I728" s="247" t="s">
        <v>1865</v>
      </c>
      <c r="J728" s="247">
        <v>9</v>
      </c>
      <c r="K728" s="247">
        <v>9</v>
      </c>
      <c r="L728" s="249" t="s">
        <v>940</v>
      </c>
      <c r="M728" s="249" t="s">
        <v>929</v>
      </c>
      <c r="N728" s="248">
        <v>-13060.91</v>
      </c>
      <c r="O728" s="248">
        <v>-109428.06</v>
      </c>
      <c r="P728" s="247" t="s">
        <v>1162</v>
      </c>
      <c r="Q728" s="247" t="s">
        <v>94</v>
      </c>
    </row>
    <row r="729" spans="1:17" x14ac:dyDescent="0.25">
      <c r="A729" s="247" t="s">
        <v>646</v>
      </c>
      <c r="B729" s="247" t="s">
        <v>25</v>
      </c>
      <c r="C729" s="247" t="s">
        <v>1145</v>
      </c>
      <c r="D729" s="247" t="s">
        <v>1095</v>
      </c>
      <c r="E729" s="247" t="s">
        <v>731</v>
      </c>
      <c r="F729" s="247" t="s">
        <v>1864</v>
      </c>
      <c r="G729" s="247" t="s">
        <v>1161</v>
      </c>
      <c r="H729" s="247"/>
      <c r="I729" s="247" t="s">
        <v>1865</v>
      </c>
      <c r="J729" s="247">
        <v>9</v>
      </c>
      <c r="K729" s="247">
        <v>9</v>
      </c>
      <c r="L729" s="249" t="s">
        <v>642</v>
      </c>
      <c r="M729" s="249" t="s">
        <v>929</v>
      </c>
      <c r="N729" s="248">
        <v>-12750.64</v>
      </c>
      <c r="O729" s="248">
        <v>-122178.7</v>
      </c>
      <c r="P729" s="247" t="s">
        <v>1162</v>
      </c>
      <c r="Q729" s="247" t="s">
        <v>95</v>
      </c>
    </row>
    <row r="730" spans="1:17" x14ac:dyDescent="0.25">
      <c r="A730" s="247" t="s">
        <v>646</v>
      </c>
      <c r="B730" s="247" t="s">
        <v>25</v>
      </c>
      <c r="C730" s="247" t="s">
        <v>1145</v>
      </c>
      <c r="D730" s="247" t="s">
        <v>1095</v>
      </c>
      <c r="E730" s="247" t="s">
        <v>465</v>
      </c>
      <c r="F730" s="247" t="s">
        <v>1866</v>
      </c>
      <c r="G730" s="247" t="s">
        <v>1163</v>
      </c>
      <c r="H730" s="247"/>
      <c r="I730" s="247" t="s">
        <v>1867</v>
      </c>
      <c r="J730" s="247">
        <v>9</v>
      </c>
      <c r="K730" s="247">
        <v>9</v>
      </c>
      <c r="L730" s="249" t="s">
        <v>789</v>
      </c>
      <c r="M730" s="249" t="s">
        <v>929</v>
      </c>
      <c r="N730" s="248">
        <v>-7373.41</v>
      </c>
      <c r="O730" s="248">
        <v>-7373.41</v>
      </c>
      <c r="P730" s="247" t="s">
        <v>1164</v>
      </c>
      <c r="Q730" s="247" t="s">
        <v>87</v>
      </c>
    </row>
    <row r="731" spans="1:17" x14ac:dyDescent="0.25">
      <c r="A731" s="247" t="s">
        <v>646</v>
      </c>
      <c r="B731" s="247" t="s">
        <v>25</v>
      </c>
      <c r="C731" s="247" t="s">
        <v>1145</v>
      </c>
      <c r="D731" s="247" t="s">
        <v>1095</v>
      </c>
      <c r="E731" s="247" t="s">
        <v>465</v>
      </c>
      <c r="F731" s="247" t="s">
        <v>1866</v>
      </c>
      <c r="G731" s="247" t="s">
        <v>1163</v>
      </c>
      <c r="H731" s="247"/>
      <c r="I731" s="247" t="s">
        <v>1867</v>
      </c>
      <c r="J731" s="247">
        <v>9</v>
      </c>
      <c r="K731" s="247">
        <v>9</v>
      </c>
      <c r="L731" s="249" t="s">
        <v>791</v>
      </c>
      <c r="M731" s="249" t="s">
        <v>929</v>
      </c>
      <c r="N731" s="248">
        <v>-7408.49</v>
      </c>
      <c r="O731" s="248">
        <v>-14781.9</v>
      </c>
      <c r="P731" s="247" t="s">
        <v>1164</v>
      </c>
      <c r="Q731" s="247" t="s">
        <v>88</v>
      </c>
    </row>
    <row r="732" spans="1:17" x14ac:dyDescent="0.25">
      <c r="A732" s="247" t="s">
        <v>646</v>
      </c>
      <c r="B732" s="247" t="s">
        <v>25</v>
      </c>
      <c r="C732" s="247" t="s">
        <v>1145</v>
      </c>
      <c r="D732" s="247" t="s">
        <v>1095</v>
      </c>
      <c r="E732" s="247" t="s">
        <v>465</v>
      </c>
      <c r="F732" s="247" t="s">
        <v>1866</v>
      </c>
      <c r="G732" s="247" t="s">
        <v>1163</v>
      </c>
      <c r="H732" s="247"/>
      <c r="I732" s="247" t="s">
        <v>1867</v>
      </c>
      <c r="J732" s="247">
        <v>9</v>
      </c>
      <c r="K732" s="247">
        <v>9</v>
      </c>
      <c r="L732" s="249" t="s">
        <v>935</v>
      </c>
      <c r="M732" s="249" t="s">
        <v>929</v>
      </c>
      <c r="N732" s="248">
        <v>-7832.39</v>
      </c>
      <c r="O732" s="248">
        <v>-22614.29</v>
      </c>
      <c r="P732" s="247" t="s">
        <v>1164</v>
      </c>
      <c r="Q732" s="247" t="s">
        <v>89</v>
      </c>
    </row>
    <row r="733" spans="1:17" x14ac:dyDescent="0.25">
      <c r="A733" s="247" t="s">
        <v>646</v>
      </c>
      <c r="B733" s="247" t="s">
        <v>25</v>
      </c>
      <c r="C733" s="247" t="s">
        <v>1145</v>
      </c>
      <c r="D733" s="247" t="s">
        <v>1095</v>
      </c>
      <c r="E733" s="247" t="s">
        <v>465</v>
      </c>
      <c r="F733" s="247" t="s">
        <v>1866</v>
      </c>
      <c r="G733" s="247" t="s">
        <v>1163</v>
      </c>
      <c r="H733" s="247"/>
      <c r="I733" s="247" t="s">
        <v>1867</v>
      </c>
      <c r="J733" s="247">
        <v>9</v>
      </c>
      <c r="K733" s="247">
        <v>9</v>
      </c>
      <c r="L733" s="249" t="s">
        <v>936</v>
      </c>
      <c r="M733" s="249" t="s">
        <v>929</v>
      </c>
      <c r="N733" s="248">
        <v>-7248.87</v>
      </c>
      <c r="O733" s="248">
        <v>-29863.16</v>
      </c>
      <c r="P733" s="247" t="s">
        <v>1164</v>
      </c>
      <c r="Q733" s="247" t="s">
        <v>90</v>
      </c>
    </row>
    <row r="734" spans="1:17" x14ac:dyDescent="0.25">
      <c r="A734" s="247" t="s">
        <v>646</v>
      </c>
      <c r="B734" s="247" t="s">
        <v>25</v>
      </c>
      <c r="C734" s="247" t="s">
        <v>1145</v>
      </c>
      <c r="D734" s="247" t="s">
        <v>1095</v>
      </c>
      <c r="E734" s="247" t="s">
        <v>465</v>
      </c>
      <c r="F734" s="247" t="s">
        <v>1866</v>
      </c>
      <c r="G734" s="247" t="s">
        <v>1163</v>
      </c>
      <c r="H734" s="247"/>
      <c r="I734" s="247" t="s">
        <v>1867</v>
      </c>
      <c r="J734" s="247">
        <v>9</v>
      </c>
      <c r="K734" s="247">
        <v>9</v>
      </c>
      <c r="L734" s="249" t="s">
        <v>937</v>
      </c>
      <c r="M734" s="249" t="s">
        <v>929</v>
      </c>
      <c r="N734" s="248">
        <v>-7699.61</v>
      </c>
      <c r="O734" s="248">
        <v>-37562.769999999997</v>
      </c>
      <c r="P734" s="247" t="s">
        <v>1164</v>
      </c>
      <c r="Q734" s="247" t="s">
        <v>91</v>
      </c>
    </row>
    <row r="735" spans="1:17" x14ac:dyDescent="0.25">
      <c r="A735" s="247" t="s">
        <v>646</v>
      </c>
      <c r="B735" s="247" t="s">
        <v>25</v>
      </c>
      <c r="C735" s="247" t="s">
        <v>1145</v>
      </c>
      <c r="D735" s="247" t="s">
        <v>1095</v>
      </c>
      <c r="E735" s="247" t="s">
        <v>465</v>
      </c>
      <c r="F735" s="247" t="s">
        <v>1866</v>
      </c>
      <c r="G735" s="247" t="s">
        <v>1163</v>
      </c>
      <c r="H735" s="247"/>
      <c r="I735" s="247" t="s">
        <v>1867</v>
      </c>
      <c r="J735" s="247">
        <v>9</v>
      </c>
      <c r="K735" s="247">
        <v>9</v>
      </c>
      <c r="L735" s="249" t="s">
        <v>938</v>
      </c>
      <c r="M735" s="249" t="s">
        <v>929</v>
      </c>
      <c r="N735" s="248">
        <v>-8173.87</v>
      </c>
      <c r="O735" s="248">
        <v>-45736.639999999999</v>
      </c>
      <c r="P735" s="247" t="s">
        <v>1164</v>
      </c>
      <c r="Q735" s="247" t="s">
        <v>92</v>
      </c>
    </row>
    <row r="736" spans="1:17" x14ac:dyDescent="0.25">
      <c r="A736" s="247" t="s">
        <v>646</v>
      </c>
      <c r="B736" s="247" t="s">
        <v>25</v>
      </c>
      <c r="C736" s="247" t="s">
        <v>1145</v>
      </c>
      <c r="D736" s="247" t="s">
        <v>1095</v>
      </c>
      <c r="E736" s="247" t="s">
        <v>465</v>
      </c>
      <c r="F736" s="247" t="s">
        <v>1866</v>
      </c>
      <c r="G736" s="247" t="s">
        <v>1163</v>
      </c>
      <c r="H736" s="247"/>
      <c r="I736" s="247" t="s">
        <v>1867</v>
      </c>
      <c r="J736" s="247">
        <v>9</v>
      </c>
      <c r="K736" s="247">
        <v>9</v>
      </c>
      <c r="L736" s="249" t="s">
        <v>939</v>
      </c>
      <c r="M736" s="249" t="s">
        <v>929</v>
      </c>
      <c r="N736" s="248">
        <v>-8842.82</v>
      </c>
      <c r="O736" s="248">
        <v>-54579.46</v>
      </c>
      <c r="P736" s="247" t="s">
        <v>1164</v>
      </c>
      <c r="Q736" s="247" t="s">
        <v>93</v>
      </c>
    </row>
    <row r="737" spans="1:17" x14ac:dyDescent="0.25">
      <c r="A737" s="247" t="s">
        <v>646</v>
      </c>
      <c r="B737" s="247" t="s">
        <v>25</v>
      </c>
      <c r="C737" s="247" t="s">
        <v>1145</v>
      </c>
      <c r="D737" s="247" t="s">
        <v>1095</v>
      </c>
      <c r="E737" s="247" t="s">
        <v>465</v>
      </c>
      <c r="F737" s="247" t="s">
        <v>1866</v>
      </c>
      <c r="G737" s="247" t="s">
        <v>1163</v>
      </c>
      <c r="H737" s="247"/>
      <c r="I737" s="247" t="s">
        <v>1867</v>
      </c>
      <c r="J737" s="247">
        <v>9</v>
      </c>
      <c r="K737" s="247">
        <v>9</v>
      </c>
      <c r="L737" s="249" t="s">
        <v>940</v>
      </c>
      <c r="M737" s="249" t="s">
        <v>929</v>
      </c>
      <c r="N737" s="248">
        <v>-7980.83</v>
      </c>
      <c r="O737" s="248">
        <v>-62560.29</v>
      </c>
      <c r="P737" s="247" t="s">
        <v>1164</v>
      </c>
      <c r="Q737" s="247" t="s">
        <v>94</v>
      </c>
    </row>
    <row r="738" spans="1:17" x14ac:dyDescent="0.25">
      <c r="A738" s="247" t="s">
        <v>646</v>
      </c>
      <c r="B738" s="247" t="s">
        <v>25</v>
      </c>
      <c r="C738" s="247" t="s">
        <v>1145</v>
      </c>
      <c r="D738" s="247" t="s">
        <v>1095</v>
      </c>
      <c r="E738" s="247" t="s">
        <v>465</v>
      </c>
      <c r="F738" s="247" t="s">
        <v>1866</v>
      </c>
      <c r="G738" s="247" t="s">
        <v>1163</v>
      </c>
      <c r="H738" s="247"/>
      <c r="I738" s="247" t="s">
        <v>1867</v>
      </c>
      <c r="J738" s="247">
        <v>9</v>
      </c>
      <c r="K738" s="247">
        <v>9</v>
      </c>
      <c r="L738" s="249" t="s">
        <v>642</v>
      </c>
      <c r="M738" s="249" t="s">
        <v>929</v>
      </c>
      <c r="N738" s="248">
        <v>-8503.52</v>
      </c>
      <c r="O738" s="248">
        <v>-71063.81</v>
      </c>
      <c r="P738" s="247" t="s">
        <v>1164</v>
      </c>
      <c r="Q738" s="247" t="s">
        <v>95</v>
      </c>
    </row>
    <row r="739" spans="1:17" x14ac:dyDescent="0.25">
      <c r="A739" s="247" t="s">
        <v>646</v>
      </c>
      <c r="B739" s="247" t="s">
        <v>25</v>
      </c>
      <c r="C739" s="247" t="s">
        <v>1145</v>
      </c>
      <c r="D739" s="247" t="s">
        <v>1095</v>
      </c>
      <c r="E739" s="247" t="s">
        <v>1156</v>
      </c>
      <c r="F739" s="247" t="s">
        <v>1868</v>
      </c>
      <c r="G739" s="247" t="s">
        <v>1165</v>
      </c>
      <c r="H739" s="247"/>
      <c r="I739" s="247" t="s">
        <v>1869</v>
      </c>
      <c r="J739" s="247">
        <v>9</v>
      </c>
      <c r="K739" s="247">
        <v>9</v>
      </c>
      <c r="L739" s="249" t="s">
        <v>646</v>
      </c>
      <c r="M739" s="249" t="s">
        <v>933</v>
      </c>
      <c r="N739" s="248">
        <v>-5366.59</v>
      </c>
      <c r="O739" s="248">
        <v>-9889.18</v>
      </c>
      <c r="P739" s="247" t="s">
        <v>1166</v>
      </c>
      <c r="Q739" s="247" t="s">
        <v>84</v>
      </c>
    </row>
    <row r="740" spans="1:17" x14ac:dyDescent="0.25">
      <c r="A740" s="247" t="s">
        <v>646</v>
      </c>
      <c r="B740" s="247" t="s">
        <v>25</v>
      </c>
      <c r="C740" s="247" t="s">
        <v>1145</v>
      </c>
      <c r="D740" s="247" t="s">
        <v>1095</v>
      </c>
      <c r="E740" s="247" t="s">
        <v>1156</v>
      </c>
      <c r="F740" s="247" t="s">
        <v>1868</v>
      </c>
      <c r="G740" s="247" t="s">
        <v>1165</v>
      </c>
      <c r="H740" s="247"/>
      <c r="I740" s="247" t="s">
        <v>1869</v>
      </c>
      <c r="J740" s="247">
        <v>9</v>
      </c>
      <c r="K740" s="247">
        <v>9</v>
      </c>
      <c r="L740" s="249" t="s">
        <v>650</v>
      </c>
      <c r="M740" s="249" t="s">
        <v>933</v>
      </c>
      <c r="N740" s="248">
        <v>-4955.5200000000004</v>
      </c>
      <c r="O740" s="248">
        <v>-14844.7</v>
      </c>
      <c r="P740" s="247" t="s">
        <v>1166</v>
      </c>
      <c r="Q740" s="247" t="s">
        <v>85</v>
      </c>
    </row>
    <row r="741" spans="1:17" x14ac:dyDescent="0.25">
      <c r="A741" s="247" t="s">
        <v>646</v>
      </c>
      <c r="B741" s="247" t="s">
        <v>25</v>
      </c>
      <c r="C741" s="247" t="s">
        <v>1145</v>
      </c>
      <c r="D741" s="247" t="s">
        <v>1095</v>
      </c>
      <c r="E741" s="247" t="s">
        <v>1156</v>
      </c>
      <c r="F741" s="247" t="s">
        <v>1868</v>
      </c>
      <c r="G741" s="247" t="s">
        <v>1165</v>
      </c>
      <c r="H741" s="247"/>
      <c r="I741" s="247" t="s">
        <v>1869</v>
      </c>
      <c r="J741" s="247">
        <v>9</v>
      </c>
      <c r="K741" s="247">
        <v>9</v>
      </c>
      <c r="L741" s="249" t="s">
        <v>652</v>
      </c>
      <c r="M741" s="249" t="s">
        <v>933</v>
      </c>
      <c r="N741" s="248">
        <v>-4862.6099999999997</v>
      </c>
      <c r="O741" s="248">
        <v>-19707.310000000001</v>
      </c>
      <c r="P741" s="247" t="s">
        <v>1166</v>
      </c>
      <c r="Q741" s="247" t="s">
        <v>86</v>
      </c>
    </row>
    <row r="742" spans="1:17" x14ac:dyDescent="0.25">
      <c r="A742" s="247" t="s">
        <v>646</v>
      </c>
      <c r="B742" s="247" t="s">
        <v>25</v>
      </c>
      <c r="C742" s="247" t="s">
        <v>1145</v>
      </c>
      <c r="D742" s="247" t="s">
        <v>1095</v>
      </c>
      <c r="E742" s="247" t="s">
        <v>1156</v>
      </c>
      <c r="F742" s="247" t="s">
        <v>1868</v>
      </c>
      <c r="G742" s="247" t="s">
        <v>1165</v>
      </c>
      <c r="H742" s="247"/>
      <c r="I742" s="247" t="s">
        <v>1869</v>
      </c>
      <c r="J742" s="247">
        <v>9</v>
      </c>
      <c r="K742" s="247">
        <v>9</v>
      </c>
      <c r="L742" s="249" t="s">
        <v>789</v>
      </c>
      <c r="M742" s="249" t="s">
        <v>929</v>
      </c>
      <c r="N742" s="248">
        <v>-4511.51</v>
      </c>
      <c r="O742" s="248">
        <v>-4511.51</v>
      </c>
      <c r="P742" s="247" t="s">
        <v>1166</v>
      </c>
      <c r="Q742" s="247" t="s">
        <v>87</v>
      </c>
    </row>
    <row r="743" spans="1:17" x14ac:dyDescent="0.25">
      <c r="A743" s="247" t="s">
        <v>646</v>
      </c>
      <c r="B743" s="247" t="s">
        <v>25</v>
      </c>
      <c r="C743" s="247" t="s">
        <v>1145</v>
      </c>
      <c r="D743" s="247" t="s">
        <v>1095</v>
      </c>
      <c r="E743" s="247" t="s">
        <v>1156</v>
      </c>
      <c r="F743" s="247" t="s">
        <v>1868</v>
      </c>
      <c r="G743" s="247" t="s">
        <v>1165</v>
      </c>
      <c r="H743" s="247"/>
      <c r="I743" s="247" t="s">
        <v>1869</v>
      </c>
      <c r="J743" s="247">
        <v>9</v>
      </c>
      <c r="K743" s="247">
        <v>9</v>
      </c>
      <c r="L743" s="249" t="s">
        <v>791</v>
      </c>
      <c r="M743" s="249" t="s">
        <v>929</v>
      </c>
      <c r="N743" s="248">
        <v>-4747.07</v>
      </c>
      <c r="O743" s="248">
        <v>-9258.58</v>
      </c>
      <c r="P743" s="247" t="s">
        <v>1166</v>
      </c>
      <c r="Q743" s="247" t="s">
        <v>88</v>
      </c>
    </row>
    <row r="744" spans="1:17" x14ac:dyDescent="0.25">
      <c r="A744" s="247" t="s">
        <v>646</v>
      </c>
      <c r="B744" s="247" t="s">
        <v>25</v>
      </c>
      <c r="C744" s="247" t="s">
        <v>1145</v>
      </c>
      <c r="D744" s="247" t="s">
        <v>1095</v>
      </c>
      <c r="E744" s="247" t="s">
        <v>1156</v>
      </c>
      <c r="F744" s="247" t="s">
        <v>1868</v>
      </c>
      <c r="G744" s="247" t="s">
        <v>1165</v>
      </c>
      <c r="H744" s="247"/>
      <c r="I744" s="247" t="s">
        <v>1869</v>
      </c>
      <c r="J744" s="247">
        <v>9</v>
      </c>
      <c r="K744" s="247">
        <v>9</v>
      </c>
      <c r="L744" s="249" t="s">
        <v>935</v>
      </c>
      <c r="M744" s="249" t="s">
        <v>929</v>
      </c>
      <c r="N744" s="248">
        <v>-5720.26</v>
      </c>
      <c r="O744" s="248">
        <v>-14978.84</v>
      </c>
      <c r="P744" s="247" t="s">
        <v>1166</v>
      </c>
      <c r="Q744" s="247" t="s">
        <v>89</v>
      </c>
    </row>
    <row r="745" spans="1:17" x14ac:dyDescent="0.25">
      <c r="A745" s="247" t="s">
        <v>646</v>
      </c>
      <c r="B745" s="247" t="s">
        <v>25</v>
      </c>
      <c r="C745" s="247" t="s">
        <v>1145</v>
      </c>
      <c r="D745" s="247" t="s">
        <v>1095</v>
      </c>
      <c r="E745" s="247" t="s">
        <v>1156</v>
      </c>
      <c r="F745" s="247" t="s">
        <v>1868</v>
      </c>
      <c r="G745" s="247" t="s">
        <v>1165</v>
      </c>
      <c r="H745" s="247"/>
      <c r="I745" s="247" t="s">
        <v>1869</v>
      </c>
      <c r="J745" s="247">
        <v>9</v>
      </c>
      <c r="K745" s="247">
        <v>9</v>
      </c>
      <c r="L745" s="249" t="s">
        <v>936</v>
      </c>
      <c r="M745" s="249" t="s">
        <v>929</v>
      </c>
      <c r="N745" s="248">
        <v>-5135.3</v>
      </c>
      <c r="O745" s="248">
        <v>-20114.14</v>
      </c>
      <c r="P745" s="247" t="s">
        <v>1166</v>
      </c>
      <c r="Q745" s="247" t="s">
        <v>90</v>
      </c>
    </row>
    <row r="746" spans="1:17" x14ac:dyDescent="0.25">
      <c r="A746" s="247" t="s">
        <v>646</v>
      </c>
      <c r="B746" s="247" t="s">
        <v>25</v>
      </c>
      <c r="C746" s="247" t="s">
        <v>1145</v>
      </c>
      <c r="D746" s="247" t="s">
        <v>1095</v>
      </c>
      <c r="E746" s="247" t="s">
        <v>1156</v>
      </c>
      <c r="F746" s="247" t="s">
        <v>1868</v>
      </c>
      <c r="G746" s="247" t="s">
        <v>1165</v>
      </c>
      <c r="H746" s="247"/>
      <c r="I746" s="247" t="s">
        <v>1869</v>
      </c>
      <c r="J746" s="247">
        <v>9</v>
      </c>
      <c r="K746" s="247">
        <v>9</v>
      </c>
      <c r="L746" s="249" t="s">
        <v>937</v>
      </c>
      <c r="M746" s="249" t="s">
        <v>929</v>
      </c>
      <c r="N746" s="248">
        <v>-5339.2</v>
      </c>
      <c r="O746" s="248">
        <v>-25453.34</v>
      </c>
      <c r="P746" s="247" t="s">
        <v>1166</v>
      </c>
      <c r="Q746" s="247" t="s">
        <v>91</v>
      </c>
    </row>
    <row r="747" spans="1:17" x14ac:dyDescent="0.25">
      <c r="A747" s="247" t="s">
        <v>646</v>
      </c>
      <c r="B747" s="247" t="s">
        <v>25</v>
      </c>
      <c r="C747" s="247" t="s">
        <v>1145</v>
      </c>
      <c r="D747" s="247" t="s">
        <v>1095</v>
      </c>
      <c r="E747" s="247" t="s">
        <v>1156</v>
      </c>
      <c r="F747" s="247" t="s">
        <v>1868</v>
      </c>
      <c r="G747" s="247" t="s">
        <v>1165</v>
      </c>
      <c r="H747" s="247"/>
      <c r="I747" s="247" t="s">
        <v>1869</v>
      </c>
      <c r="J747" s="247">
        <v>9</v>
      </c>
      <c r="K747" s="247">
        <v>9</v>
      </c>
      <c r="L747" s="249" t="s">
        <v>938</v>
      </c>
      <c r="M747" s="249" t="s">
        <v>929</v>
      </c>
      <c r="N747" s="248">
        <v>-5494.4</v>
      </c>
      <c r="O747" s="248">
        <v>-30947.74</v>
      </c>
      <c r="P747" s="247" t="s">
        <v>1166</v>
      </c>
      <c r="Q747" s="247" t="s">
        <v>92</v>
      </c>
    </row>
    <row r="748" spans="1:17" x14ac:dyDescent="0.25">
      <c r="A748" s="247" t="s">
        <v>646</v>
      </c>
      <c r="B748" s="247" t="s">
        <v>25</v>
      </c>
      <c r="C748" s="247" t="s">
        <v>1145</v>
      </c>
      <c r="D748" s="247" t="s">
        <v>1095</v>
      </c>
      <c r="E748" s="247" t="s">
        <v>1156</v>
      </c>
      <c r="F748" s="247" t="s">
        <v>1868</v>
      </c>
      <c r="G748" s="247" t="s">
        <v>1165</v>
      </c>
      <c r="H748" s="247"/>
      <c r="I748" s="247" t="s">
        <v>1869</v>
      </c>
      <c r="J748" s="247">
        <v>9</v>
      </c>
      <c r="K748" s="247">
        <v>9</v>
      </c>
      <c r="L748" s="249" t="s">
        <v>939</v>
      </c>
      <c r="M748" s="249" t="s">
        <v>929</v>
      </c>
      <c r="N748" s="248">
        <v>-5661.05</v>
      </c>
      <c r="O748" s="248">
        <v>-36608.79</v>
      </c>
      <c r="P748" s="247" t="s">
        <v>1166</v>
      </c>
      <c r="Q748" s="247" t="s">
        <v>93</v>
      </c>
    </row>
    <row r="749" spans="1:17" x14ac:dyDescent="0.25">
      <c r="A749" s="247" t="s">
        <v>646</v>
      </c>
      <c r="B749" s="247" t="s">
        <v>25</v>
      </c>
      <c r="C749" s="247" t="s">
        <v>1145</v>
      </c>
      <c r="D749" s="247" t="s">
        <v>1095</v>
      </c>
      <c r="E749" s="247" t="s">
        <v>1156</v>
      </c>
      <c r="F749" s="247" t="s">
        <v>1868</v>
      </c>
      <c r="G749" s="247" t="s">
        <v>1165</v>
      </c>
      <c r="H749" s="247"/>
      <c r="I749" s="247" t="s">
        <v>1869</v>
      </c>
      <c r="J749" s="247">
        <v>9</v>
      </c>
      <c r="K749" s="247">
        <v>9</v>
      </c>
      <c r="L749" s="249" t="s">
        <v>940</v>
      </c>
      <c r="M749" s="249" t="s">
        <v>929</v>
      </c>
      <c r="N749" s="248">
        <v>-6806.33</v>
      </c>
      <c r="O749" s="248">
        <v>-43415.12</v>
      </c>
      <c r="P749" s="247" t="s">
        <v>1166</v>
      </c>
      <c r="Q749" s="247" t="s">
        <v>94</v>
      </c>
    </row>
    <row r="750" spans="1:17" x14ac:dyDescent="0.25">
      <c r="A750" s="247" t="s">
        <v>646</v>
      </c>
      <c r="B750" s="247" t="s">
        <v>25</v>
      </c>
      <c r="C750" s="247" t="s">
        <v>1145</v>
      </c>
      <c r="D750" s="247" t="s">
        <v>1095</v>
      </c>
      <c r="E750" s="247" t="s">
        <v>1156</v>
      </c>
      <c r="F750" s="247" t="s">
        <v>1868</v>
      </c>
      <c r="G750" s="247" t="s">
        <v>1165</v>
      </c>
      <c r="H750" s="247"/>
      <c r="I750" s="247" t="s">
        <v>1869</v>
      </c>
      <c r="J750" s="247">
        <v>9</v>
      </c>
      <c r="K750" s="247">
        <v>9</v>
      </c>
      <c r="L750" s="249" t="s">
        <v>642</v>
      </c>
      <c r="M750" s="249" t="s">
        <v>929</v>
      </c>
      <c r="N750" s="248">
        <v>-6195.61</v>
      </c>
      <c r="O750" s="248">
        <v>-49610.73</v>
      </c>
      <c r="P750" s="247" t="s">
        <v>1166</v>
      </c>
      <c r="Q750" s="247" t="s">
        <v>95</v>
      </c>
    </row>
    <row r="751" spans="1:17" x14ac:dyDescent="0.25">
      <c r="A751" s="247" t="s">
        <v>646</v>
      </c>
      <c r="B751" s="247" t="s">
        <v>25</v>
      </c>
      <c r="C751" s="247" t="s">
        <v>1145</v>
      </c>
      <c r="D751" s="247" t="s">
        <v>1095</v>
      </c>
      <c r="E751" s="247" t="s">
        <v>1167</v>
      </c>
      <c r="F751" s="247" t="s">
        <v>1870</v>
      </c>
      <c r="G751" s="247" t="s">
        <v>1168</v>
      </c>
      <c r="H751" s="247"/>
      <c r="I751" s="247" t="s">
        <v>1871</v>
      </c>
      <c r="J751" s="247">
        <v>9</v>
      </c>
      <c r="K751" s="247">
        <v>9</v>
      </c>
      <c r="L751" s="249" t="s">
        <v>646</v>
      </c>
      <c r="M751" s="249" t="s">
        <v>933</v>
      </c>
      <c r="N751" s="248">
        <v>-5769.49</v>
      </c>
      <c r="O751" s="248">
        <v>-11167.52</v>
      </c>
      <c r="P751" s="247" t="s">
        <v>1169</v>
      </c>
      <c r="Q751" s="247" t="s">
        <v>84</v>
      </c>
    </row>
    <row r="752" spans="1:17" x14ac:dyDescent="0.25">
      <c r="A752" s="247" t="s">
        <v>646</v>
      </c>
      <c r="B752" s="247" t="s">
        <v>25</v>
      </c>
      <c r="C752" s="247" t="s">
        <v>1145</v>
      </c>
      <c r="D752" s="247" t="s">
        <v>1095</v>
      </c>
      <c r="E752" s="247" t="s">
        <v>1167</v>
      </c>
      <c r="F752" s="247" t="s">
        <v>1870</v>
      </c>
      <c r="G752" s="247" t="s">
        <v>1168</v>
      </c>
      <c r="H752" s="247"/>
      <c r="I752" s="247" t="s">
        <v>1871</v>
      </c>
      <c r="J752" s="247">
        <v>9</v>
      </c>
      <c r="K752" s="247">
        <v>9</v>
      </c>
      <c r="L752" s="249" t="s">
        <v>650</v>
      </c>
      <c r="M752" s="249" t="s">
        <v>933</v>
      </c>
      <c r="N752" s="248">
        <v>-5831.86</v>
      </c>
      <c r="O752" s="248">
        <v>-16999.38</v>
      </c>
      <c r="P752" s="247" t="s">
        <v>1169</v>
      </c>
      <c r="Q752" s="247" t="s">
        <v>85</v>
      </c>
    </row>
    <row r="753" spans="1:17" x14ac:dyDescent="0.25">
      <c r="A753" s="247" t="s">
        <v>646</v>
      </c>
      <c r="B753" s="247" t="s">
        <v>25</v>
      </c>
      <c r="C753" s="247" t="s">
        <v>1145</v>
      </c>
      <c r="D753" s="247" t="s">
        <v>1095</v>
      </c>
      <c r="E753" s="247" t="s">
        <v>1167</v>
      </c>
      <c r="F753" s="247" t="s">
        <v>1870</v>
      </c>
      <c r="G753" s="247" t="s">
        <v>1168</v>
      </c>
      <c r="H753" s="247"/>
      <c r="I753" s="247" t="s">
        <v>1871</v>
      </c>
      <c r="J753" s="247">
        <v>9</v>
      </c>
      <c r="K753" s="247">
        <v>9</v>
      </c>
      <c r="L753" s="249" t="s">
        <v>652</v>
      </c>
      <c r="M753" s="249" t="s">
        <v>933</v>
      </c>
      <c r="N753" s="248">
        <v>-6539.41</v>
      </c>
      <c r="O753" s="248">
        <v>-23538.79</v>
      </c>
      <c r="P753" s="247" t="s">
        <v>1169</v>
      </c>
      <c r="Q753" s="247" t="s">
        <v>86</v>
      </c>
    </row>
    <row r="754" spans="1:17" x14ac:dyDescent="0.25">
      <c r="A754" s="247" t="s">
        <v>646</v>
      </c>
      <c r="B754" s="247" t="s">
        <v>25</v>
      </c>
      <c r="C754" s="247" t="s">
        <v>1145</v>
      </c>
      <c r="D754" s="247" t="s">
        <v>1095</v>
      </c>
      <c r="E754" s="247" t="s">
        <v>1167</v>
      </c>
      <c r="F754" s="247" t="s">
        <v>1870</v>
      </c>
      <c r="G754" s="247" t="s">
        <v>1168</v>
      </c>
      <c r="H754" s="247"/>
      <c r="I754" s="247" t="s">
        <v>1871</v>
      </c>
      <c r="J754" s="247">
        <v>9</v>
      </c>
      <c r="K754" s="247">
        <v>9</v>
      </c>
      <c r="L754" s="249" t="s">
        <v>789</v>
      </c>
      <c r="M754" s="249" t="s">
        <v>929</v>
      </c>
      <c r="N754" s="248">
        <v>-4701.7</v>
      </c>
      <c r="O754" s="248">
        <v>-4701.7</v>
      </c>
      <c r="P754" s="247" t="s">
        <v>1169</v>
      </c>
      <c r="Q754" s="247" t="s">
        <v>87</v>
      </c>
    </row>
    <row r="755" spans="1:17" x14ac:dyDescent="0.25">
      <c r="A755" s="247" t="s">
        <v>646</v>
      </c>
      <c r="B755" s="247" t="s">
        <v>25</v>
      </c>
      <c r="C755" s="247" t="s">
        <v>1145</v>
      </c>
      <c r="D755" s="247" t="s">
        <v>1095</v>
      </c>
      <c r="E755" s="247" t="s">
        <v>1167</v>
      </c>
      <c r="F755" s="247" t="s">
        <v>1870</v>
      </c>
      <c r="G755" s="247" t="s">
        <v>1168</v>
      </c>
      <c r="H755" s="247"/>
      <c r="I755" s="247" t="s">
        <v>1871</v>
      </c>
      <c r="J755" s="247">
        <v>9</v>
      </c>
      <c r="K755" s="247">
        <v>9</v>
      </c>
      <c r="L755" s="249" t="s">
        <v>791</v>
      </c>
      <c r="M755" s="249" t="s">
        <v>929</v>
      </c>
      <c r="N755" s="248">
        <v>-5450.28</v>
      </c>
      <c r="O755" s="248">
        <v>-10151.98</v>
      </c>
      <c r="P755" s="247" t="s">
        <v>1169</v>
      </c>
      <c r="Q755" s="247" t="s">
        <v>88</v>
      </c>
    </row>
    <row r="756" spans="1:17" x14ac:dyDescent="0.25">
      <c r="A756" s="247" t="s">
        <v>646</v>
      </c>
      <c r="B756" s="247" t="s">
        <v>25</v>
      </c>
      <c r="C756" s="247" t="s">
        <v>1145</v>
      </c>
      <c r="D756" s="247" t="s">
        <v>1095</v>
      </c>
      <c r="E756" s="247" t="s">
        <v>1167</v>
      </c>
      <c r="F756" s="247" t="s">
        <v>1870</v>
      </c>
      <c r="G756" s="247" t="s">
        <v>1168</v>
      </c>
      <c r="H756" s="247"/>
      <c r="I756" s="247" t="s">
        <v>1871</v>
      </c>
      <c r="J756" s="247">
        <v>9</v>
      </c>
      <c r="K756" s="247">
        <v>9</v>
      </c>
      <c r="L756" s="249" t="s">
        <v>935</v>
      </c>
      <c r="M756" s="249" t="s">
        <v>929</v>
      </c>
      <c r="N756" s="248">
        <v>-5741.39</v>
      </c>
      <c r="O756" s="248">
        <v>-15893.37</v>
      </c>
      <c r="P756" s="247" t="s">
        <v>1169</v>
      </c>
      <c r="Q756" s="247" t="s">
        <v>89</v>
      </c>
    </row>
    <row r="757" spans="1:17" x14ac:dyDescent="0.25">
      <c r="A757" s="247" t="s">
        <v>646</v>
      </c>
      <c r="B757" s="247" t="s">
        <v>25</v>
      </c>
      <c r="C757" s="247" t="s">
        <v>1145</v>
      </c>
      <c r="D757" s="247" t="s">
        <v>1095</v>
      </c>
      <c r="E757" s="247" t="s">
        <v>1167</v>
      </c>
      <c r="F757" s="247" t="s">
        <v>1870</v>
      </c>
      <c r="G757" s="247" t="s">
        <v>1168</v>
      </c>
      <c r="H757" s="247"/>
      <c r="I757" s="247" t="s">
        <v>1871</v>
      </c>
      <c r="J757" s="247">
        <v>9</v>
      </c>
      <c r="K757" s="247">
        <v>9</v>
      </c>
      <c r="L757" s="249" t="s">
        <v>936</v>
      </c>
      <c r="M757" s="249" t="s">
        <v>929</v>
      </c>
      <c r="N757" s="248">
        <v>-5681.26</v>
      </c>
      <c r="O757" s="248">
        <v>-21574.63</v>
      </c>
      <c r="P757" s="247" t="s">
        <v>1169</v>
      </c>
      <c r="Q757" s="247" t="s">
        <v>90</v>
      </c>
    </row>
    <row r="758" spans="1:17" x14ac:dyDescent="0.25">
      <c r="A758" s="247" t="s">
        <v>646</v>
      </c>
      <c r="B758" s="247" t="s">
        <v>25</v>
      </c>
      <c r="C758" s="247" t="s">
        <v>1145</v>
      </c>
      <c r="D758" s="247" t="s">
        <v>1095</v>
      </c>
      <c r="E758" s="247" t="s">
        <v>1167</v>
      </c>
      <c r="F758" s="247" t="s">
        <v>1870</v>
      </c>
      <c r="G758" s="247" t="s">
        <v>1168</v>
      </c>
      <c r="H758" s="247"/>
      <c r="I758" s="247" t="s">
        <v>1871</v>
      </c>
      <c r="J758" s="247">
        <v>9</v>
      </c>
      <c r="K758" s="247">
        <v>9</v>
      </c>
      <c r="L758" s="249" t="s">
        <v>937</v>
      </c>
      <c r="M758" s="249" t="s">
        <v>929</v>
      </c>
      <c r="N758" s="248">
        <v>-5879.65</v>
      </c>
      <c r="O758" s="248">
        <v>-27454.28</v>
      </c>
      <c r="P758" s="247" t="s">
        <v>1169</v>
      </c>
      <c r="Q758" s="247" t="s">
        <v>91</v>
      </c>
    </row>
    <row r="759" spans="1:17" x14ac:dyDescent="0.25">
      <c r="A759" s="247" t="s">
        <v>646</v>
      </c>
      <c r="B759" s="247" t="s">
        <v>25</v>
      </c>
      <c r="C759" s="247" t="s">
        <v>1145</v>
      </c>
      <c r="D759" s="247" t="s">
        <v>1095</v>
      </c>
      <c r="E759" s="247" t="s">
        <v>1167</v>
      </c>
      <c r="F759" s="247" t="s">
        <v>1870</v>
      </c>
      <c r="G759" s="247" t="s">
        <v>1168</v>
      </c>
      <c r="H759" s="247"/>
      <c r="I759" s="247" t="s">
        <v>1871</v>
      </c>
      <c r="J759" s="247">
        <v>9</v>
      </c>
      <c r="K759" s="247">
        <v>9</v>
      </c>
      <c r="L759" s="249" t="s">
        <v>938</v>
      </c>
      <c r="M759" s="249" t="s">
        <v>929</v>
      </c>
      <c r="N759" s="248">
        <v>-6864.26</v>
      </c>
      <c r="O759" s="248">
        <v>-34318.54</v>
      </c>
      <c r="P759" s="247" t="s">
        <v>1169</v>
      </c>
      <c r="Q759" s="247" t="s">
        <v>92</v>
      </c>
    </row>
    <row r="760" spans="1:17" x14ac:dyDescent="0.25">
      <c r="A760" s="247" t="s">
        <v>646</v>
      </c>
      <c r="B760" s="247" t="s">
        <v>25</v>
      </c>
      <c r="C760" s="247" t="s">
        <v>1145</v>
      </c>
      <c r="D760" s="247" t="s">
        <v>1095</v>
      </c>
      <c r="E760" s="247" t="s">
        <v>1167</v>
      </c>
      <c r="F760" s="247" t="s">
        <v>1870</v>
      </c>
      <c r="G760" s="247" t="s">
        <v>1168</v>
      </c>
      <c r="H760" s="247"/>
      <c r="I760" s="247" t="s">
        <v>1871</v>
      </c>
      <c r="J760" s="247">
        <v>9</v>
      </c>
      <c r="K760" s="247">
        <v>9</v>
      </c>
      <c r="L760" s="249" t="s">
        <v>939</v>
      </c>
      <c r="M760" s="249" t="s">
        <v>929</v>
      </c>
      <c r="N760" s="248">
        <v>-6010.79</v>
      </c>
      <c r="O760" s="248">
        <v>-40329.33</v>
      </c>
      <c r="P760" s="247" t="s">
        <v>1169</v>
      </c>
      <c r="Q760" s="247" t="s">
        <v>93</v>
      </c>
    </row>
    <row r="761" spans="1:17" x14ac:dyDescent="0.25">
      <c r="A761" s="247" t="s">
        <v>646</v>
      </c>
      <c r="B761" s="247" t="s">
        <v>25</v>
      </c>
      <c r="C761" s="247" t="s">
        <v>1145</v>
      </c>
      <c r="D761" s="247" t="s">
        <v>1095</v>
      </c>
      <c r="E761" s="247" t="s">
        <v>1167</v>
      </c>
      <c r="F761" s="247" t="s">
        <v>1870</v>
      </c>
      <c r="G761" s="247" t="s">
        <v>1168</v>
      </c>
      <c r="H761" s="247"/>
      <c r="I761" s="247" t="s">
        <v>1871</v>
      </c>
      <c r="J761" s="247">
        <v>9</v>
      </c>
      <c r="K761" s="247">
        <v>9</v>
      </c>
      <c r="L761" s="249" t="s">
        <v>940</v>
      </c>
      <c r="M761" s="249" t="s">
        <v>929</v>
      </c>
      <c r="N761" s="248">
        <v>-6065.11</v>
      </c>
      <c r="O761" s="248">
        <v>-46394.44</v>
      </c>
      <c r="P761" s="247" t="s">
        <v>1169</v>
      </c>
      <c r="Q761" s="247" t="s">
        <v>94</v>
      </c>
    </row>
    <row r="762" spans="1:17" x14ac:dyDescent="0.25">
      <c r="A762" s="247" t="s">
        <v>646</v>
      </c>
      <c r="B762" s="247" t="s">
        <v>25</v>
      </c>
      <c r="C762" s="247" t="s">
        <v>1145</v>
      </c>
      <c r="D762" s="247" t="s">
        <v>1095</v>
      </c>
      <c r="E762" s="247" t="s">
        <v>1167</v>
      </c>
      <c r="F762" s="247" t="s">
        <v>1870</v>
      </c>
      <c r="G762" s="247" t="s">
        <v>1168</v>
      </c>
      <c r="H762" s="247"/>
      <c r="I762" s="247" t="s">
        <v>1871</v>
      </c>
      <c r="J762" s="247">
        <v>9</v>
      </c>
      <c r="K762" s="247">
        <v>9</v>
      </c>
      <c r="L762" s="249" t="s">
        <v>642</v>
      </c>
      <c r="M762" s="249" t="s">
        <v>929</v>
      </c>
      <c r="N762" s="248">
        <v>-5983.61</v>
      </c>
      <c r="O762" s="248">
        <v>-52378.05</v>
      </c>
      <c r="P762" s="247" t="s">
        <v>1169</v>
      </c>
      <c r="Q762" s="247" t="s">
        <v>95</v>
      </c>
    </row>
    <row r="763" spans="1:17" x14ac:dyDescent="0.25">
      <c r="A763" s="247" t="s">
        <v>646</v>
      </c>
      <c r="B763" s="247" t="s">
        <v>25</v>
      </c>
      <c r="C763" s="247" t="s">
        <v>1145</v>
      </c>
      <c r="D763" s="247" t="s">
        <v>1095</v>
      </c>
      <c r="E763" s="247" t="s">
        <v>1009</v>
      </c>
      <c r="F763" s="247" t="s">
        <v>1872</v>
      </c>
      <c r="G763" s="247" t="s">
        <v>1170</v>
      </c>
      <c r="H763" s="247"/>
      <c r="I763" s="247" t="s">
        <v>1873</v>
      </c>
      <c r="J763" s="247">
        <v>9</v>
      </c>
      <c r="K763" s="247">
        <v>9</v>
      </c>
      <c r="L763" s="249" t="s">
        <v>646</v>
      </c>
      <c r="M763" s="249" t="s">
        <v>933</v>
      </c>
      <c r="N763" s="248">
        <v>-1.4</v>
      </c>
      <c r="O763" s="248">
        <v>-12.75</v>
      </c>
      <c r="P763" s="247" t="s">
        <v>1171</v>
      </c>
      <c r="Q763" s="247" t="s">
        <v>84</v>
      </c>
    </row>
    <row r="764" spans="1:17" x14ac:dyDescent="0.25">
      <c r="A764" s="247" t="s">
        <v>646</v>
      </c>
      <c r="B764" s="247" t="s">
        <v>25</v>
      </c>
      <c r="C764" s="247" t="s">
        <v>1145</v>
      </c>
      <c r="D764" s="247" t="s">
        <v>1095</v>
      </c>
      <c r="E764" s="247" t="s">
        <v>1009</v>
      </c>
      <c r="F764" s="247" t="s">
        <v>1872</v>
      </c>
      <c r="G764" s="247" t="s">
        <v>1170</v>
      </c>
      <c r="H764" s="247"/>
      <c r="I764" s="247" t="s">
        <v>1873</v>
      </c>
      <c r="J764" s="247">
        <v>9</v>
      </c>
      <c r="K764" s="247">
        <v>9</v>
      </c>
      <c r="L764" s="249" t="s">
        <v>650</v>
      </c>
      <c r="M764" s="249" t="s">
        <v>933</v>
      </c>
      <c r="N764" s="248">
        <v>-47.63</v>
      </c>
      <c r="O764" s="248">
        <v>-60.38</v>
      </c>
      <c r="P764" s="247" t="s">
        <v>1171</v>
      </c>
      <c r="Q764" s="247" t="s">
        <v>85</v>
      </c>
    </row>
    <row r="765" spans="1:17" x14ac:dyDescent="0.25">
      <c r="A765" s="247" t="s">
        <v>646</v>
      </c>
      <c r="B765" s="247" t="s">
        <v>25</v>
      </c>
      <c r="C765" s="247" t="s">
        <v>1145</v>
      </c>
      <c r="D765" s="247" t="s">
        <v>1095</v>
      </c>
      <c r="E765" s="247" t="s">
        <v>1009</v>
      </c>
      <c r="F765" s="247" t="s">
        <v>1872</v>
      </c>
      <c r="G765" s="247" t="s">
        <v>1170</v>
      </c>
      <c r="H765" s="247"/>
      <c r="I765" s="247" t="s">
        <v>1873</v>
      </c>
      <c r="J765" s="247">
        <v>9</v>
      </c>
      <c r="K765" s="247">
        <v>9</v>
      </c>
      <c r="L765" s="249" t="s">
        <v>652</v>
      </c>
      <c r="M765" s="249" t="s">
        <v>933</v>
      </c>
      <c r="N765" s="248">
        <v>5.0999999999999996</v>
      </c>
      <c r="O765" s="248">
        <v>-55.28</v>
      </c>
      <c r="P765" s="247" t="s">
        <v>1171</v>
      </c>
      <c r="Q765" s="247" t="s">
        <v>86</v>
      </c>
    </row>
    <row r="766" spans="1:17" x14ac:dyDescent="0.25">
      <c r="A766" s="247" t="s">
        <v>646</v>
      </c>
      <c r="B766" s="247" t="s">
        <v>25</v>
      </c>
      <c r="C766" s="247" t="s">
        <v>1145</v>
      </c>
      <c r="D766" s="247" t="s">
        <v>1095</v>
      </c>
      <c r="E766" s="247" t="s">
        <v>1009</v>
      </c>
      <c r="F766" s="247" t="s">
        <v>1872</v>
      </c>
      <c r="G766" s="247" t="s">
        <v>1170</v>
      </c>
      <c r="H766" s="247"/>
      <c r="I766" s="247" t="s">
        <v>1873</v>
      </c>
      <c r="J766" s="247">
        <v>9</v>
      </c>
      <c r="K766" s="247">
        <v>9</v>
      </c>
      <c r="L766" s="249" t="s">
        <v>789</v>
      </c>
      <c r="M766" s="249" t="s">
        <v>929</v>
      </c>
      <c r="N766" s="248">
        <v>-40.92</v>
      </c>
      <c r="O766" s="248">
        <v>-40.92</v>
      </c>
      <c r="P766" s="247" t="s">
        <v>1171</v>
      </c>
      <c r="Q766" s="247" t="s">
        <v>87</v>
      </c>
    </row>
    <row r="767" spans="1:17" x14ac:dyDescent="0.25">
      <c r="A767" s="247" t="s">
        <v>646</v>
      </c>
      <c r="B767" s="247" t="s">
        <v>25</v>
      </c>
      <c r="C767" s="247" t="s">
        <v>1145</v>
      </c>
      <c r="D767" s="247" t="s">
        <v>1095</v>
      </c>
      <c r="E767" s="247" t="s">
        <v>1009</v>
      </c>
      <c r="F767" s="247" t="s">
        <v>1872</v>
      </c>
      <c r="G767" s="247" t="s">
        <v>1170</v>
      </c>
      <c r="H767" s="247"/>
      <c r="I767" s="247" t="s">
        <v>1873</v>
      </c>
      <c r="J767" s="247">
        <v>9</v>
      </c>
      <c r="K767" s="247">
        <v>9</v>
      </c>
      <c r="L767" s="249" t="s">
        <v>791</v>
      </c>
      <c r="M767" s="249" t="s">
        <v>929</v>
      </c>
      <c r="N767" s="248">
        <v>-32.409999999999997</v>
      </c>
      <c r="O767" s="248">
        <v>-73.33</v>
      </c>
      <c r="P767" s="247" t="s">
        <v>1171</v>
      </c>
      <c r="Q767" s="247" t="s">
        <v>88</v>
      </c>
    </row>
    <row r="768" spans="1:17" x14ac:dyDescent="0.25">
      <c r="A768" s="247" t="s">
        <v>646</v>
      </c>
      <c r="B768" s="247" t="s">
        <v>25</v>
      </c>
      <c r="C768" s="247" t="s">
        <v>1145</v>
      </c>
      <c r="D768" s="247" t="s">
        <v>1095</v>
      </c>
      <c r="E768" s="247" t="s">
        <v>1009</v>
      </c>
      <c r="F768" s="247" t="s">
        <v>1872</v>
      </c>
      <c r="G768" s="247" t="s">
        <v>1170</v>
      </c>
      <c r="H768" s="247"/>
      <c r="I768" s="247" t="s">
        <v>1873</v>
      </c>
      <c r="J768" s="247">
        <v>9</v>
      </c>
      <c r="K768" s="247">
        <v>9</v>
      </c>
      <c r="L768" s="249" t="s">
        <v>935</v>
      </c>
      <c r="M768" s="249" t="s">
        <v>929</v>
      </c>
      <c r="N768" s="248">
        <v>-151.49</v>
      </c>
      <c r="O768" s="248">
        <v>-224.82</v>
      </c>
      <c r="P768" s="247" t="s">
        <v>1171</v>
      </c>
      <c r="Q768" s="247" t="s">
        <v>89</v>
      </c>
    </row>
    <row r="769" spans="1:17" x14ac:dyDescent="0.25">
      <c r="A769" s="247" t="s">
        <v>646</v>
      </c>
      <c r="B769" s="247" t="s">
        <v>25</v>
      </c>
      <c r="C769" s="247" t="s">
        <v>1145</v>
      </c>
      <c r="D769" s="247" t="s">
        <v>1095</v>
      </c>
      <c r="E769" s="247" t="s">
        <v>1009</v>
      </c>
      <c r="F769" s="247" t="s">
        <v>1872</v>
      </c>
      <c r="G769" s="247" t="s">
        <v>1170</v>
      </c>
      <c r="H769" s="247"/>
      <c r="I769" s="247" t="s">
        <v>1873</v>
      </c>
      <c r="J769" s="247">
        <v>9</v>
      </c>
      <c r="K769" s="247">
        <v>9</v>
      </c>
      <c r="L769" s="249" t="s">
        <v>936</v>
      </c>
      <c r="M769" s="249" t="s">
        <v>929</v>
      </c>
      <c r="N769" s="248">
        <v>-119.13</v>
      </c>
      <c r="O769" s="248">
        <v>-343.95</v>
      </c>
      <c r="P769" s="247" t="s">
        <v>1171</v>
      </c>
      <c r="Q769" s="247" t="s">
        <v>90</v>
      </c>
    </row>
    <row r="770" spans="1:17" x14ac:dyDescent="0.25">
      <c r="A770" s="247" t="s">
        <v>646</v>
      </c>
      <c r="B770" s="247" t="s">
        <v>25</v>
      </c>
      <c r="C770" s="247" t="s">
        <v>1145</v>
      </c>
      <c r="D770" s="247" t="s">
        <v>1095</v>
      </c>
      <c r="E770" s="247" t="s">
        <v>1009</v>
      </c>
      <c r="F770" s="247" t="s">
        <v>1872</v>
      </c>
      <c r="G770" s="247" t="s">
        <v>1170</v>
      </c>
      <c r="H770" s="247"/>
      <c r="I770" s="247" t="s">
        <v>1873</v>
      </c>
      <c r="J770" s="247">
        <v>9</v>
      </c>
      <c r="K770" s="247">
        <v>9</v>
      </c>
      <c r="L770" s="249" t="s">
        <v>937</v>
      </c>
      <c r="M770" s="249" t="s">
        <v>929</v>
      </c>
      <c r="N770" s="248">
        <v>-58.18</v>
      </c>
      <c r="O770" s="248">
        <v>-402.13</v>
      </c>
      <c r="P770" s="247" t="s">
        <v>1171</v>
      </c>
      <c r="Q770" s="247" t="s">
        <v>91</v>
      </c>
    </row>
    <row r="771" spans="1:17" x14ac:dyDescent="0.25">
      <c r="A771" s="247" t="s">
        <v>646</v>
      </c>
      <c r="B771" s="247" t="s">
        <v>25</v>
      </c>
      <c r="C771" s="247" t="s">
        <v>1145</v>
      </c>
      <c r="D771" s="247" t="s">
        <v>1095</v>
      </c>
      <c r="E771" s="247" t="s">
        <v>1009</v>
      </c>
      <c r="F771" s="247" t="s">
        <v>1872</v>
      </c>
      <c r="G771" s="247" t="s">
        <v>1170</v>
      </c>
      <c r="H771" s="247"/>
      <c r="I771" s="247" t="s">
        <v>1873</v>
      </c>
      <c r="J771" s="247">
        <v>9</v>
      </c>
      <c r="K771" s="247">
        <v>9</v>
      </c>
      <c r="L771" s="249" t="s">
        <v>938</v>
      </c>
      <c r="M771" s="249" t="s">
        <v>929</v>
      </c>
      <c r="N771" s="248">
        <v>-88.92</v>
      </c>
      <c r="O771" s="248">
        <v>-491.05</v>
      </c>
      <c r="P771" s="247" t="s">
        <v>1171</v>
      </c>
      <c r="Q771" s="247" t="s">
        <v>92</v>
      </c>
    </row>
    <row r="772" spans="1:17" x14ac:dyDescent="0.25">
      <c r="A772" s="247" t="s">
        <v>646</v>
      </c>
      <c r="B772" s="247" t="s">
        <v>25</v>
      </c>
      <c r="C772" s="247" t="s">
        <v>1145</v>
      </c>
      <c r="D772" s="247" t="s">
        <v>1095</v>
      </c>
      <c r="E772" s="247" t="s">
        <v>1009</v>
      </c>
      <c r="F772" s="247" t="s">
        <v>1872</v>
      </c>
      <c r="G772" s="247" t="s">
        <v>1170</v>
      </c>
      <c r="H772" s="247"/>
      <c r="I772" s="247" t="s">
        <v>1873</v>
      </c>
      <c r="J772" s="247">
        <v>9</v>
      </c>
      <c r="K772" s="247">
        <v>9</v>
      </c>
      <c r="L772" s="249" t="s">
        <v>939</v>
      </c>
      <c r="M772" s="249" t="s">
        <v>929</v>
      </c>
      <c r="N772" s="248">
        <v>-145.94</v>
      </c>
      <c r="O772" s="248">
        <v>-636.99</v>
      </c>
      <c r="P772" s="247" t="s">
        <v>1171</v>
      </c>
      <c r="Q772" s="247" t="s">
        <v>93</v>
      </c>
    </row>
    <row r="773" spans="1:17" x14ac:dyDescent="0.25">
      <c r="A773" s="247" t="s">
        <v>646</v>
      </c>
      <c r="B773" s="247" t="s">
        <v>25</v>
      </c>
      <c r="C773" s="247" t="s">
        <v>1145</v>
      </c>
      <c r="D773" s="247" t="s">
        <v>1095</v>
      </c>
      <c r="E773" s="247" t="s">
        <v>1009</v>
      </c>
      <c r="F773" s="247" t="s">
        <v>1872</v>
      </c>
      <c r="G773" s="247" t="s">
        <v>1170</v>
      </c>
      <c r="H773" s="247"/>
      <c r="I773" s="247" t="s">
        <v>1873</v>
      </c>
      <c r="J773" s="247">
        <v>9</v>
      </c>
      <c r="K773" s="247">
        <v>9</v>
      </c>
      <c r="L773" s="249" t="s">
        <v>940</v>
      </c>
      <c r="M773" s="249" t="s">
        <v>929</v>
      </c>
      <c r="N773" s="248">
        <v>-142.5</v>
      </c>
      <c r="O773" s="248">
        <v>-779.49</v>
      </c>
      <c r="P773" s="247" t="s">
        <v>1171</v>
      </c>
      <c r="Q773" s="247" t="s">
        <v>94</v>
      </c>
    </row>
    <row r="774" spans="1:17" x14ac:dyDescent="0.25">
      <c r="A774" s="247" t="s">
        <v>646</v>
      </c>
      <c r="B774" s="247" t="s">
        <v>25</v>
      </c>
      <c r="C774" s="247" t="s">
        <v>1145</v>
      </c>
      <c r="D774" s="247" t="s">
        <v>1095</v>
      </c>
      <c r="E774" s="247" t="s">
        <v>1009</v>
      </c>
      <c r="F774" s="247" t="s">
        <v>1872</v>
      </c>
      <c r="G774" s="247" t="s">
        <v>1170</v>
      </c>
      <c r="H774" s="247"/>
      <c r="I774" s="247" t="s">
        <v>1873</v>
      </c>
      <c r="J774" s="247">
        <v>9</v>
      </c>
      <c r="K774" s="247">
        <v>9</v>
      </c>
      <c r="L774" s="249" t="s">
        <v>642</v>
      </c>
      <c r="M774" s="249" t="s">
        <v>929</v>
      </c>
      <c r="N774" s="248">
        <v>-104.92</v>
      </c>
      <c r="O774" s="248">
        <v>-884.41</v>
      </c>
      <c r="P774" s="247" t="s">
        <v>1171</v>
      </c>
      <c r="Q774" s="247" t="s">
        <v>95</v>
      </c>
    </row>
    <row r="775" spans="1:17" x14ac:dyDescent="0.25">
      <c r="A775" s="247" t="s">
        <v>646</v>
      </c>
      <c r="B775" s="247" t="s">
        <v>25</v>
      </c>
      <c r="C775" s="247" t="s">
        <v>925</v>
      </c>
      <c r="D775" s="247" t="s">
        <v>926</v>
      </c>
      <c r="E775" s="247" t="s">
        <v>1172</v>
      </c>
      <c r="F775" s="247" t="s">
        <v>1874</v>
      </c>
      <c r="G775" s="247" t="s">
        <v>1173</v>
      </c>
      <c r="H775" s="247"/>
      <c r="I775" s="247" t="s">
        <v>1875</v>
      </c>
      <c r="J775" s="247">
        <v>8</v>
      </c>
      <c r="K775" s="247">
        <v>8</v>
      </c>
      <c r="L775" s="249" t="s">
        <v>646</v>
      </c>
      <c r="M775" s="249" t="s">
        <v>933</v>
      </c>
      <c r="N775" s="248">
        <v>0</v>
      </c>
      <c r="O775" s="248">
        <v>-12446.01</v>
      </c>
      <c r="P775" s="247" t="s">
        <v>1174</v>
      </c>
      <c r="Q775" s="247" t="s">
        <v>84</v>
      </c>
    </row>
    <row r="776" spans="1:17" x14ac:dyDescent="0.25">
      <c r="A776" s="247" t="s">
        <v>646</v>
      </c>
      <c r="B776" s="247" t="s">
        <v>25</v>
      </c>
      <c r="C776" s="247" t="s">
        <v>925</v>
      </c>
      <c r="D776" s="247" t="s">
        <v>926</v>
      </c>
      <c r="E776" s="247" t="s">
        <v>1172</v>
      </c>
      <c r="F776" s="247" t="s">
        <v>1874</v>
      </c>
      <c r="G776" s="247" t="s">
        <v>1173</v>
      </c>
      <c r="H776" s="247"/>
      <c r="I776" s="247" t="s">
        <v>1875</v>
      </c>
      <c r="J776" s="247">
        <v>8</v>
      </c>
      <c r="K776" s="247">
        <v>8</v>
      </c>
      <c r="L776" s="249" t="s">
        <v>650</v>
      </c>
      <c r="M776" s="249" t="s">
        <v>933</v>
      </c>
      <c r="N776" s="248">
        <v>0</v>
      </c>
      <c r="O776" s="248">
        <v>-12446.01</v>
      </c>
      <c r="P776" s="247" t="s">
        <v>1174</v>
      </c>
      <c r="Q776" s="247" t="s">
        <v>85</v>
      </c>
    </row>
    <row r="777" spans="1:17" x14ac:dyDescent="0.25">
      <c r="A777" s="247" t="s">
        <v>646</v>
      </c>
      <c r="B777" s="247" t="s">
        <v>25</v>
      </c>
      <c r="C777" s="247" t="s">
        <v>925</v>
      </c>
      <c r="D777" s="247" t="s">
        <v>926</v>
      </c>
      <c r="E777" s="247" t="s">
        <v>1172</v>
      </c>
      <c r="F777" s="247" t="s">
        <v>1874</v>
      </c>
      <c r="G777" s="247" t="s">
        <v>1173</v>
      </c>
      <c r="H777" s="247"/>
      <c r="I777" s="247" t="s">
        <v>1875</v>
      </c>
      <c r="J777" s="247">
        <v>8</v>
      </c>
      <c r="K777" s="247">
        <v>8</v>
      </c>
      <c r="L777" s="249" t="s">
        <v>652</v>
      </c>
      <c r="M777" s="249" t="s">
        <v>933</v>
      </c>
      <c r="N777" s="248">
        <v>0</v>
      </c>
      <c r="O777" s="248">
        <v>-12446.01</v>
      </c>
      <c r="P777" s="247" t="s">
        <v>1174</v>
      </c>
      <c r="Q777" s="247" t="s">
        <v>86</v>
      </c>
    </row>
    <row r="778" spans="1:17" x14ac:dyDescent="0.25">
      <c r="A778" s="247" t="s">
        <v>646</v>
      </c>
      <c r="B778" s="247" t="s">
        <v>25</v>
      </c>
      <c r="C778" s="247" t="s">
        <v>925</v>
      </c>
      <c r="D778" s="247" t="s">
        <v>926</v>
      </c>
      <c r="E778" s="247" t="s">
        <v>711</v>
      </c>
      <c r="F778" s="247" t="s">
        <v>1876</v>
      </c>
      <c r="G778" s="247" t="s">
        <v>1175</v>
      </c>
      <c r="H778" s="247"/>
      <c r="I778" s="247" t="s">
        <v>1877</v>
      </c>
      <c r="J778" s="247">
        <v>7</v>
      </c>
      <c r="K778" s="247">
        <v>7</v>
      </c>
      <c r="L778" s="249" t="s">
        <v>646</v>
      </c>
      <c r="M778" s="249" t="s">
        <v>933</v>
      </c>
      <c r="N778" s="248">
        <v>0</v>
      </c>
      <c r="O778" s="248">
        <v>-137310.88</v>
      </c>
      <c r="P778" s="247" t="s">
        <v>1176</v>
      </c>
      <c r="Q778" s="247" t="s">
        <v>84</v>
      </c>
    </row>
    <row r="779" spans="1:17" x14ac:dyDescent="0.25">
      <c r="A779" s="247" t="s">
        <v>646</v>
      </c>
      <c r="B779" s="247" t="s">
        <v>25</v>
      </c>
      <c r="C779" s="247" t="s">
        <v>925</v>
      </c>
      <c r="D779" s="247" t="s">
        <v>926</v>
      </c>
      <c r="E779" s="247" t="s">
        <v>711</v>
      </c>
      <c r="F779" s="247" t="s">
        <v>1876</v>
      </c>
      <c r="G779" s="247" t="s">
        <v>1175</v>
      </c>
      <c r="H779" s="247"/>
      <c r="I779" s="247" t="s">
        <v>1877</v>
      </c>
      <c r="J779" s="247">
        <v>7</v>
      </c>
      <c r="K779" s="247">
        <v>7</v>
      </c>
      <c r="L779" s="249" t="s">
        <v>650</v>
      </c>
      <c r="M779" s="249" t="s">
        <v>933</v>
      </c>
      <c r="N779" s="248">
        <v>0</v>
      </c>
      <c r="O779" s="248">
        <v>-137310.88</v>
      </c>
      <c r="P779" s="247" t="s">
        <v>1176</v>
      </c>
      <c r="Q779" s="247" t="s">
        <v>85</v>
      </c>
    </row>
    <row r="780" spans="1:17" x14ac:dyDescent="0.25">
      <c r="A780" s="247" t="s">
        <v>646</v>
      </c>
      <c r="B780" s="247" t="s">
        <v>25</v>
      </c>
      <c r="C780" s="247" t="s">
        <v>925</v>
      </c>
      <c r="D780" s="247" t="s">
        <v>926</v>
      </c>
      <c r="E780" s="247" t="s">
        <v>711</v>
      </c>
      <c r="F780" s="247" t="s">
        <v>1876</v>
      </c>
      <c r="G780" s="247" t="s">
        <v>1175</v>
      </c>
      <c r="H780" s="247"/>
      <c r="I780" s="247" t="s">
        <v>1877</v>
      </c>
      <c r="J780" s="247">
        <v>7</v>
      </c>
      <c r="K780" s="247">
        <v>7</v>
      </c>
      <c r="L780" s="249" t="s">
        <v>652</v>
      </c>
      <c r="M780" s="249" t="s">
        <v>933</v>
      </c>
      <c r="N780" s="248">
        <v>0</v>
      </c>
      <c r="O780" s="248">
        <v>-137310.88</v>
      </c>
      <c r="P780" s="247" t="s">
        <v>1176</v>
      </c>
      <c r="Q780" s="247" t="s">
        <v>86</v>
      </c>
    </row>
    <row r="781" spans="1:17" x14ac:dyDescent="0.25">
      <c r="A781" s="247" t="s">
        <v>646</v>
      </c>
      <c r="B781" s="247" t="s">
        <v>25</v>
      </c>
      <c r="C781" s="247" t="s">
        <v>925</v>
      </c>
      <c r="D781" s="247" t="s">
        <v>926</v>
      </c>
      <c r="E781" s="247" t="s">
        <v>1177</v>
      </c>
      <c r="F781" s="247" t="s">
        <v>1878</v>
      </c>
      <c r="G781" s="247" t="s">
        <v>1178</v>
      </c>
      <c r="H781" s="247"/>
      <c r="I781" s="247" t="s">
        <v>1879</v>
      </c>
      <c r="J781" s="247">
        <v>7</v>
      </c>
      <c r="K781" s="247">
        <v>7</v>
      </c>
      <c r="L781" s="249" t="s">
        <v>646</v>
      </c>
      <c r="M781" s="249" t="s">
        <v>933</v>
      </c>
      <c r="N781" s="248">
        <v>-20332.240000000002</v>
      </c>
      <c r="O781" s="248">
        <v>-40758.14</v>
      </c>
      <c r="P781" s="247" t="s">
        <v>1179</v>
      </c>
      <c r="Q781" s="247" t="s">
        <v>84</v>
      </c>
    </row>
    <row r="782" spans="1:17" x14ac:dyDescent="0.25">
      <c r="A782" s="247" t="s">
        <v>646</v>
      </c>
      <c r="B782" s="247" t="s">
        <v>25</v>
      </c>
      <c r="C782" s="247" t="s">
        <v>925</v>
      </c>
      <c r="D782" s="247" t="s">
        <v>926</v>
      </c>
      <c r="E782" s="247" t="s">
        <v>1177</v>
      </c>
      <c r="F782" s="247" t="s">
        <v>1878</v>
      </c>
      <c r="G782" s="247" t="s">
        <v>1178</v>
      </c>
      <c r="H782" s="247"/>
      <c r="I782" s="247" t="s">
        <v>1879</v>
      </c>
      <c r="J782" s="247">
        <v>7</v>
      </c>
      <c r="K782" s="247">
        <v>7</v>
      </c>
      <c r="L782" s="249" t="s">
        <v>650</v>
      </c>
      <c r="M782" s="249" t="s">
        <v>933</v>
      </c>
      <c r="N782" s="248">
        <v>-20433.59</v>
      </c>
      <c r="O782" s="248">
        <v>-61191.73</v>
      </c>
      <c r="P782" s="247" t="s">
        <v>1179</v>
      </c>
      <c r="Q782" s="247" t="s">
        <v>85</v>
      </c>
    </row>
    <row r="783" spans="1:17" x14ac:dyDescent="0.25">
      <c r="A783" s="247" t="s">
        <v>646</v>
      </c>
      <c r="B783" s="247" t="s">
        <v>25</v>
      </c>
      <c r="C783" s="247" t="s">
        <v>925</v>
      </c>
      <c r="D783" s="247" t="s">
        <v>926</v>
      </c>
      <c r="E783" s="247" t="s">
        <v>1177</v>
      </c>
      <c r="F783" s="247" t="s">
        <v>1878</v>
      </c>
      <c r="G783" s="247" t="s">
        <v>1178</v>
      </c>
      <c r="H783" s="247"/>
      <c r="I783" s="247" t="s">
        <v>1879</v>
      </c>
      <c r="J783" s="247">
        <v>7</v>
      </c>
      <c r="K783" s="247">
        <v>7</v>
      </c>
      <c r="L783" s="249" t="s">
        <v>652</v>
      </c>
      <c r="M783" s="249" t="s">
        <v>933</v>
      </c>
      <c r="N783" s="248">
        <v>-20400.16</v>
      </c>
      <c r="O783" s="248">
        <v>-81591.89</v>
      </c>
      <c r="P783" s="247" t="s">
        <v>1179</v>
      </c>
      <c r="Q783" s="247" t="s">
        <v>86</v>
      </c>
    </row>
    <row r="784" spans="1:17" x14ac:dyDescent="0.25">
      <c r="A784" s="247" t="s">
        <v>646</v>
      </c>
      <c r="B784" s="247" t="s">
        <v>25</v>
      </c>
      <c r="C784" s="247" t="s">
        <v>925</v>
      </c>
      <c r="D784" s="247" t="s">
        <v>926</v>
      </c>
      <c r="E784" s="247" t="s">
        <v>1177</v>
      </c>
      <c r="F784" s="247" t="s">
        <v>1878</v>
      </c>
      <c r="G784" s="247" t="s">
        <v>1178</v>
      </c>
      <c r="H784" s="247"/>
      <c r="I784" s="247" t="s">
        <v>1879</v>
      </c>
      <c r="J784" s="247">
        <v>7</v>
      </c>
      <c r="K784" s="247">
        <v>7</v>
      </c>
      <c r="L784" s="249" t="s">
        <v>789</v>
      </c>
      <c r="M784" s="249" t="s">
        <v>929</v>
      </c>
      <c r="N784" s="248">
        <v>-20375.810000000001</v>
      </c>
      <c r="O784" s="248">
        <v>-20375.810000000001</v>
      </c>
      <c r="P784" s="247" t="s">
        <v>1179</v>
      </c>
      <c r="Q784" s="247" t="s">
        <v>87</v>
      </c>
    </row>
    <row r="785" spans="1:17" x14ac:dyDescent="0.25">
      <c r="A785" s="247" t="s">
        <v>646</v>
      </c>
      <c r="B785" s="247" t="s">
        <v>25</v>
      </c>
      <c r="C785" s="247" t="s">
        <v>925</v>
      </c>
      <c r="D785" s="247" t="s">
        <v>926</v>
      </c>
      <c r="E785" s="247" t="s">
        <v>1177</v>
      </c>
      <c r="F785" s="247" t="s">
        <v>1878</v>
      </c>
      <c r="G785" s="247" t="s">
        <v>1178</v>
      </c>
      <c r="H785" s="247"/>
      <c r="I785" s="247" t="s">
        <v>1879</v>
      </c>
      <c r="J785" s="247">
        <v>7</v>
      </c>
      <c r="K785" s="247">
        <v>7</v>
      </c>
      <c r="L785" s="249" t="s">
        <v>791</v>
      </c>
      <c r="M785" s="249" t="s">
        <v>929</v>
      </c>
      <c r="N785" s="248">
        <v>-20327.310000000001</v>
      </c>
      <c r="O785" s="248">
        <v>-40703.120000000003</v>
      </c>
      <c r="P785" s="247" t="s">
        <v>1179</v>
      </c>
      <c r="Q785" s="247" t="s">
        <v>88</v>
      </c>
    </row>
    <row r="786" spans="1:17" x14ac:dyDescent="0.25">
      <c r="A786" s="247" t="s">
        <v>646</v>
      </c>
      <c r="B786" s="247" t="s">
        <v>25</v>
      </c>
      <c r="C786" s="247" t="s">
        <v>925</v>
      </c>
      <c r="D786" s="247" t="s">
        <v>926</v>
      </c>
      <c r="E786" s="247" t="s">
        <v>1177</v>
      </c>
      <c r="F786" s="247" t="s">
        <v>1878</v>
      </c>
      <c r="G786" s="247" t="s">
        <v>1178</v>
      </c>
      <c r="H786" s="247"/>
      <c r="I786" s="247" t="s">
        <v>1879</v>
      </c>
      <c r="J786" s="247">
        <v>7</v>
      </c>
      <c r="K786" s="247">
        <v>7</v>
      </c>
      <c r="L786" s="249" t="s">
        <v>935</v>
      </c>
      <c r="M786" s="249" t="s">
        <v>929</v>
      </c>
      <c r="N786" s="248">
        <v>-20323.2</v>
      </c>
      <c r="O786" s="248">
        <v>-61026.32</v>
      </c>
      <c r="P786" s="247" t="s">
        <v>1179</v>
      </c>
      <c r="Q786" s="247" t="s">
        <v>89</v>
      </c>
    </row>
    <row r="787" spans="1:17" x14ac:dyDescent="0.25">
      <c r="A787" s="247" t="s">
        <v>646</v>
      </c>
      <c r="B787" s="247" t="s">
        <v>25</v>
      </c>
      <c r="C787" s="247" t="s">
        <v>925</v>
      </c>
      <c r="D787" s="247" t="s">
        <v>926</v>
      </c>
      <c r="E787" s="247" t="s">
        <v>1177</v>
      </c>
      <c r="F787" s="247" t="s">
        <v>1878</v>
      </c>
      <c r="G787" s="247" t="s">
        <v>1178</v>
      </c>
      <c r="H787" s="247"/>
      <c r="I787" s="247" t="s">
        <v>1879</v>
      </c>
      <c r="J787" s="247">
        <v>7</v>
      </c>
      <c r="K787" s="247">
        <v>7</v>
      </c>
      <c r="L787" s="249" t="s">
        <v>936</v>
      </c>
      <c r="M787" s="249" t="s">
        <v>929</v>
      </c>
      <c r="N787" s="248">
        <v>-20403.23</v>
      </c>
      <c r="O787" s="248">
        <v>-81429.55</v>
      </c>
      <c r="P787" s="247" t="s">
        <v>1179</v>
      </c>
      <c r="Q787" s="247" t="s">
        <v>90</v>
      </c>
    </row>
    <row r="788" spans="1:17" x14ac:dyDescent="0.25">
      <c r="A788" s="247" t="s">
        <v>646</v>
      </c>
      <c r="B788" s="247" t="s">
        <v>25</v>
      </c>
      <c r="C788" s="247" t="s">
        <v>925</v>
      </c>
      <c r="D788" s="247" t="s">
        <v>926</v>
      </c>
      <c r="E788" s="247" t="s">
        <v>1177</v>
      </c>
      <c r="F788" s="247" t="s">
        <v>1878</v>
      </c>
      <c r="G788" s="247" t="s">
        <v>1178</v>
      </c>
      <c r="H788" s="247"/>
      <c r="I788" s="247" t="s">
        <v>1879</v>
      </c>
      <c r="J788" s="247">
        <v>7</v>
      </c>
      <c r="K788" s="247">
        <v>7</v>
      </c>
      <c r="L788" s="249" t="s">
        <v>937</v>
      </c>
      <c r="M788" s="249" t="s">
        <v>929</v>
      </c>
      <c r="N788" s="248">
        <v>-20461.48</v>
      </c>
      <c r="O788" s="248">
        <v>-101891.03</v>
      </c>
      <c r="P788" s="247" t="s">
        <v>1179</v>
      </c>
      <c r="Q788" s="247" t="s">
        <v>91</v>
      </c>
    </row>
    <row r="789" spans="1:17" x14ac:dyDescent="0.25">
      <c r="A789" s="247" t="s">
        <v>646</v>
      </c>
      <c r="B789" s="247" t="s">
        <v>25</v>
      </c>
      <c r="C789" s="247" t="s">
        <v>925</v>
      </c>
      <c r="D789" s="247" t="s">
        <v>926</v>
      </c>
      <c r="E789" s="247" t="s">
        <v>1177</v>
      </c>
      <c r="F789" s="247" t="s">
        <v>1878</v>
      </c>
      <c r="G789" s="247" t="s">
        <v>1178</v>
      </c>
      <c r="H789" s="247"/>
      <c r="I789" s="247" t="s">
        <v>1879</v>
      </c>
      <c r="J789" s="247">
        <v>7</v>
      </c>
      <c r="K789" s="247">
        <v>7</v>
      </c>
      <c r="L789" s="249" t="s">
        <v>938</v>
      </c>
      <c r="M789" s="249" t="s">
        <v>929</v>
      </c>
      <c r="N789" s="248">
        <v>-20515.599999999999</v>
      </c>
      <c r="O789" s="248">
        <v>-122406.63</v>
      </c>
      <c r="P789" s="247" t="s">
        <v>1179</v>
      </c>
      <c r="Q789" s="247" t="s">
        <v>92</v>
      </c>
    </row>
    <row r="790" spans="1:17" x14ac:dyDescent="0.25">
      <c r="A790" s="247" t="s">
        <v>646</v>
      </c>
      <c r="B790" s="247" t="s">
        <v>25</v>
      </c>
      <c r="C790" s="247" t="s">
        <v>925</v>
      </c>
      <c r="D790" s="247" t="s">
        <v>926</v>
      </c>
      <c r="E790" s="247" t="s">
        <v>1177</v>
      </c>
      <c r="F790" s="247" t="s">
        <v>1878</v>
      </c>
      <c r="G790" s="247" t="s">
        <v>1178</v>
      </c>
      <c r="H790" s="247"/>
      <c r="I790" s="247" t="s">
        <v>1879</v>
      </c>
      <c r="J790" s="247">
        <v>7</v>
      </c>
      <c r="K790" s="247">
        <v>7</v>
      </c>
      <c r="L790" s="249" t="s">
        <v>939</v>
      </c>
      <c r="M790" s="249" t="s">
        <v>929</v>
      </c>
      <c r="N790" s="248">
        <v>-20614.330000000002</v>
      </c>
      <c r="O790" s="248">
        <v>-143020.96</v>
      </c>
      <c r="P790" s="247" t="s">
        <v>1179</v>
      </c>
      <c r="Q790" s="247" t="s">
        <v>93</v>
      </c>
    </row>
    <row r="791" spans="1:17" x14ac:dyDescent="0.25">
      <c r="A791" s="247" t="s">
        <v>646</v>
      </c>
      <c r="B791" s="247" t="s">
        <v>25</v>
      </c>
      <c r="C791" s="247" t="s">
        <v>925</v>
      </c>
      <c r="D791" s="247" t="s">
        <v>926</v>
      </c>
      <c r="E791" s="247" t="s">
        <v>1177</v>
      </c>
      <c r="F791" s="247" t="s">
        <v>1878</v>
      </c>
      <c r="G791" s="247" t="s">
        <v>1178</v>
      </c>
      <c r="H791" s="247"/>
      <c r="I791" s="247" t="s">
        <v>1879</v>
      </c>
      <c r="J791" s="247">
        <v>7</v>
      </c>
      <c r="K791" s="247">
        <v>7</v>
      </c>
      <c r="L791" s="249" t="s">
        <v>940</v>
      </c>
      <c r="M791" s="249" t="s">
        <v>929</v>
      </c>
      <c r="N791" s="248">
        <v>-20608.189999999999</v>
      </c>
      <c r="O791" s="248">
        <v>-163629.15</v>
      </c>
      <c r="P791" s="247" t="s">
        <v>1179</v>
      </c>
      <c r="Q791" s="247" t="s">
        <v>94</v>
      </c>
    </row>
    <row r="792" spans="1:17" x14ac:dyDescent="0.25">
      <c r="A792" s="247" t="s">
        <v>646</v>
      </c>
      <c r="B792" s="247" t="s">
        <v>25</v>
      </c>
      <c r="C792" s="247" t="s">
        <v>925</v>
      </c>
      <c r="D792" s="247" t="s">
        <v>926</v>
      </c>
      <c r="E792" s="247" t="s">
        <v>1177</v>
      </c>
      <c r="F792" s="247" t="s">
        <v>1878</v>
      </c>
      <c r="G792" s="247" t="s">
        <v>1178</v>
      </c>
      <c r="H792" s="247"/>
      <c r="I792" s="247" t="s">
        <v>1879</v>
      </c>
      <c r="J792" s="247">
        <v>7</v>
      </c>
      <c r="K792" s="247">
        <v>7</v>
      </c>
      <c r="L792" s="249" t="s">
        <v>642</v>
      </c>
      <c r="M792" s="249" t="s">
        <v>929</v>
      </c>
      <c r="N792" s="248">
        <v>-20573.400000000001</v>
      </c>
      <c r="O792" s="248">
        <v>-184202.55</v>
      </c>
      <c r="P792" s="247" t="s">
        <v>1179</v>
      </c>
      <c r="Q792" s="247" t="s">
        <v>95</v>
      </c>
    </row>
    <row r="793" spans="1:17" x14ac:dyDescent="0.25">
      <c r="A793" s="247" t="s">
        <v>646</v>
      </c>
      <c r="B793" s="247" t="s">
        <v>25</v>
      </c>
      <c r="C793" s="247" t="s">
        <v>925</v>
      </c>
      <c r="D793" s="247" t="s">
        <v>926</v>
      </c>
      <c r="E793" s="247" t="s">
        <v>569</v>
      </c>
      <c r="F793" s="247" t="s">
        <v>1880</v>
      </c>
      <c r="G793" s="247" t="s">
        <v>1180</v>
      </c>
      <c r="H793" s="247"/>
      <c r="I793" s="247" t="s">
        <v>1881</v>
      </c>
      <c r="J793" s="247">
        <v>7</v>
      </c>
      <c r="K793" s="247">
        <v>7</v>
      </c>
      <c r="L793" s="249" t="s">
        <v>646</v>
      </c>
      <c r="M793" s="249" t="s">
        <v>933</v>
      </c>
      <c r="N793" s="248">
        <v>0</v>
      </c>
      <c r="O793" s="248">
        <v>-216504.35</v>
      </c>
      <c r="P793" s="247" t="s">
        <v>1181</v>
      </c>
      <c r="Q793" s="247" t="s">
        <v>84</v>
      </c>
    </row>
    <row r="794" spans="1:17" x14ac:dyDescent="0.25">
      <c r="A794" s="247" t="s">
        <v>646</v>
      </c>
      <c r="B794" s="247" t="s">
        <v>25</v>
      </c>
      <c r="C794" s="247" t="s">
        <v>925</v>
      </c>
      <c r="D794" s="247" t="s">
        <v>926</v>
      </c>
      <c r="E794" s="247" t="s">
        <v>569</v>
      </c>
      <c r="F794" s="247" t="s">
        <v>1880</v>
      </c>
      <c r="G794" s="247" t="s">
        <v>1180</v>
      </c>
      <c r="H794" s="247"/>
      <c r="I794" s="247" t="s">
        <v>1881</v>
      </c>
      <c r="J794" s="247">
        <v>7</v>
      </c>
      <c r="K794" s="247">
        <v>7</v>
      </c>
      <c r="L794" s="249" t="s">
        <v>650</v>
      </c>
      <c r="M794" s="249" t="s">
        <v>933</v>
      </c>
      <c r="N794" s="248">
        <v>0</v>
      </c>
      <c r="O794" s="248">
        <v>-216504.35</v>
      </c>
      <c r="P794" s="247" t="s">
        <v>1181</v>
      </c>
      <c r="Q794" s="247" t="s">
        <v>85</v>
      </c>
    </row>
    <row r="795" spans="1:17" x14ac:dyDescent="0.25">
      <c r="A795" s="247" t="s">
        <v>646</v>
      </c>
      <c r="B795" s="247" t="s">
        <v>25</v>
      </c>
      <c r="C795" s="247" t="s">
        <v>925</v>
      </c>
      <c r="D795" s="247" t="s">
        <v>926</v>
      </c>
      <c r="E795" s="247" t="s">
        <v>569</v>
      </c>
      <c r="F795" s="247" t="s">
        <v>1880</v>
      </c>
      <c r="G795" s="247" t="s">
        <v>1180</v>
      </c>
      <c r="H795" s="247"/>
      <c r="I795" s="247" t="s">
        <v>1881</v>
      </c>
      <c r="J795" s="247">
        <v>7</v>
      </c>
      <c r="K795" s="247">
        <v>7</v>
      </c>
      <c r="L795" s="249" t="s">
        <v>652</v>
      </c>
      <c r="M795" s="249" t="s">
        <v>933</v>
      </c>
      <c r="N795" s="248">
        <v>0</v>
      </c>
      <c r="O795" s="248">
        <v>-216504.35</v>
      </c>
      <c r="P795" s="247" t="s">
        <v>1181</v>
      </c>
      <c r="Q795" s="247" t="s">
        <v>86</v>
      </c>
    </row>
    <row r="796" spans="1:17" x14ac:dyDescent="0.25">
      <c r="A796" s="247" t="s">
        <v>646</v>
      </c>
      <c r="B796" s="247" t="s">
        <v>25</v>
      </c>
      <c r="C796" s="247" t="s">
        <v>925</v>
      </c>
      <c r="D796" s="247" t="s">
        <v>926</v>
      </c>
      <c r="E796" s="247" t="s">
        <v>510</v>
      </c>
      <c r="F796" s="247" t="s">
        <v>1882</v>
      </c>
      <c r="G796" s="247" t="s">
        <v>1182</v>
      </c>
      <c r="H796" s="247"/>
      <c r="I796" s="247" t="s">
        <v>1883</v>
      </c>
      <c r="J796" s="247">
        <v>7</v>
      </c>
      <c r="K796" s="247">
        <v>7</v>
      </c>
      <c r="L796" s="249" t="s">
        <v>646</v>
      </c>
      <c r="M796" s="249" t="s">
        <v>933</v>
      </c>
      <c r="N796" s="248">
        <v>-25309.3</v>
      </c>
      <c r="O796" s="248">
        <v>-50034.13</v>
      </c>
      <c r="P796" s="247" t="s">
        <v>1183</v>
      </c>
      <c r="Q796" s="247" t="s">
        <v>84</v>
      </c>
    </row>
    <row r="797" spans="1:17" x14ac:dyDescent="0.25">
      <c r="A797" s="247" t="s">
        <v>646</v>
      </c>
      <c r="B797" s="247" t="s">
        <v>25</v>
      </c>
      <c r="C797" s="247" t="s">
        <v>925</v>
      </c>
      <c r="D797" s="247" t="s">
        <v>926</v>
      </c>
      <c r="E797" s="247" t="s">
        <v>510</v>
      </c>
      <c r="F797" s="247" t="s">
        <v>1882</v>
      </c>
      <c r="G797" s="247" t="s">
        <v>1182</v>
      </c>
      <c r="H797" s="247"/>
      <c r="I797" s="247" t="s">
        <v>1883</v>
      </c>
      <c r="J797" s="247">
        <v>7</v>
      </c>
      <c r="K797" s="247">
        <v>7</v>
      </c>
      <c r="L797" s="249" t="s">
        <v>650</v>
      </c>
      <c r="M797" s="249" t="s">
        <v>933</v>
      </c>
      <c r="N797" s="248">
        <v>-24075.73</v>
      </c>
      <c r="O797" s="248">
        <v>-74109.86</v>
      </c>
      <c r="P797" s="247" t="s">
        <v>1183</v>
      </c>
      <c r="Q797" s="247" t="s">
        <v>85</v>
      </c>
    </row>
    <row r="798" spans="1:17" x14ac:dyDescent="0.25">
      <c r="A798" s="247" t="s">
        <v>646</v>
      </c>
      <c r="B798" s="247" t="s">
        <v>25</v>
      </c>
      <c r="C798" s="247" t="s">
        <v>925</v>
      </c>
      <c r="D798" s="247" t="s">
        <v>926</v>
      </c>
      <c r="E798" s="247" t="s">
        <v>510</v>
      </c>
      <c r="F798" s="247" t="s">
        <v>1882</v>
      </c>
      <c r="G798" s="247" t="s">
        <v>1182</v>
      </c>
      <c r="H798" s="247"/>
      <c r="I798" s="247" t="s">
        <v>1883</v>
      </c>
      <c r="J798" s="247">
        <v>7</v>
      </c>
      <c r="K798" s="247">
        <v>7</v>
      </c>
      <c r="L798" s="249" t="s">
        <v>652</v>
      </c>
      <c r="M798" s="249" t="s">
        <v>933</v>
      </c>
      <c r="N798" s="248">
        <v>-25241.57</v>
      </c>
      <c r="O798" s="248">
        <v>-99351.43</v>
      </c>
      <c r="P798" s="247" t="s">
        <v>1183</v>
      </c>
      <c r="Q798" s="247" t="s">
        <v>86</v>
      </c>
    </row>
    <row r="799" spans="1:17" x14ac:dyDescent="0.25">
      <c r="A799" s="247" t="s">
        <v>646</v>
      </c>
      <c r="B799" s="247" t="s">
        <v>25</v>
      </c>
      <c r="C799" s="247" t="s">
        <v>925</v>
      </c>
      <c r="D799" s="247" t="s">
        <v>926</v>
      </c>
      <c r="E799" s="247" t="s">
        <v>510</v>
      </c>
      <c r="F799" s="247" t="s">
        <v>1882</v>
      </c>
      <c r="G799" s="247" t="s">
        <v>1182</v>
      </c>
      <c r="H799" s="247"/>
      <c r="I799" s="247" t="s">
        <v>1883</v>
      </c>
      <c r="J799" s="247">
        <v>7</v>
      </c>
      <c r="K799" s="247">
        <v>7</v>
      </c>
      <c r="L799" s="249" t="s">
        <v>789</v>
      </c>
      <c r="M799" s="249" t="s">
        <v>929</v>
      </c>
      <c r="N799" s="248">
        <v>-24782.38</v>
      </c>
      <c r="O799" s="248">
        <v>-24782.38</v>
      </c>
      <c r="P799" s="247" t="s">
        <v>1183</v>
      </c>
      <c r="Q799" s="247" t="s">
        <v>87</v>
      </c>
    </row>
    <row r="800" spans="1:17" x14ac:dyDescent="0.25">
      <c r="A800" s="247" t="s">
        <v>646</v>
      </c>
      <c r="B800" s="247" t="s">
        <v>25</v>
      </c>
      <c r="C800" s="247" t="s">
        <v>925</v>
      </c>
      <c r="D800" s="247" t="s">
        <v>926</v>
      </c>
      <c r="E800" s="247" t="s">
        <v>510</v>
      </c>
      <c r="F800" s="247" t="s">
        <v>1882</v>
      </c>
      <c r="G800" s="247" t="s">
        <v>1182</v>
      </c>
      <c r="H800" s="247"/>
      <c r="I800" s="247" t="s">
        <v>1883</v>
      </c>
      <c r="J800" s="247">
        <v>7</v>
      </c>
      <c r="K800" s="247">
        <v>7</v>
      </c>
      <c r="L800" s="249" t="s">
        <v>791</v>
      </c>
      <c r="M800" s="249" t="s">
        <v>929</v>
      </c>
      <c r="N800" s="248">
        <v>-24884.44</v>
      </c>
      <c r="O800" s="248">
        <v>-49666.82</v>
      </c>
      <c r="P800" s="247" t="s">
        <v>1183</v>
      </c>
      <c r="Q800" s="247" t="s">
        <v>88</v>
      </c>
    </row>
    <row r="801" spans="1:17" x14ac:dyDescent="0.25">
      <c r="A801" s="247" t="s">
        <v>646</v>
      </c>
      <c r="B801" s="247" t="s">
        <v>25</v>
      </c>
      <c r="C801" s="247" t="s">
        <v>925</v>
      </c>
      <c r="D801" s="247" t="s">
        <v>926</v>
      </c>
      <c r="E801" s="247" t="s">
        <v>510</v>
      </c>
      <c r="F801" s="247" t="s">
        <v>1882</v>
      </c>
      <c r="G801" s="247" t="s">
        <v>1182</v>
      </c>
      <c r="H801" s="247"/>
      <c r="I801" s="247" t="s">
        <v>1883</v>
      </c>
      <c r="J801" s="247">
        <v>7</v>
      </c>
      <c r="K801" s="247">
        <v>7</v>
      </c>
      <c r="L801" s="249" t="s">
        <v>935</v>
      </c>
      <c r="M801" s="249" t="s">
        <v>929</v>
      </c>
      <c r="N801" s="248">
        <v>-24912.92</v>
      </c>
      <c r="O801" s="248">
        <v>-74579.740000000005</v>
      </c>
      <c r="P801" s="247" t="s">
        <v>1183</v>
      </c>
      <c r="Q801" s="247" t="s">
        <v>89</v>
      </c>
    </row>
    <row r="802" spans="1:17" x14ac:dyDescent="0.25">
      <c r="A802" s="247" t="s">
        <v>646</v>
      </c>
      <c r="B802" s="247" t="s">
        <v>25</v>
      </c>
      <c r="C802" s="247" t="s">
        <v>925</v>
      </c>
      <c r="D802" s="247" t="s">
        <v>926</v>
      </c>
      <c r="E802" s="247" t="s">
        <v>510</v>
      </c>
      <c r="F802" s="247" t="s">
        <v>1882</v>
      </c>
      <c r="G802" s="247" t="s">
        <v>1182</v>
      </c>
      <c r="H802" s="247"/>
      <c r="I802" s="247" t="s">
        <v>1883</v>
      </c>
      <c r="J802" s="247">
        <v>7</v>
      </c>
      <c r="K802" s="247">
        <v>7</v>
      </c>
      <c r="L802" s="249" t="s">
        <v>936</v>
      </c>
      <c r="M802" s="249" t="s">
        <v>929</v>
      </c>
      <c r="N802" s="248">
        <v>-25254.5</v>
      </c>
      <c r="O802" s="248">
        <v>-99834.240000000005</v>
      </c>
      <c r="P802" s="247" t="s">
        <v>1183</v>
      </c>
      <c r="Q802" s="247" t="s">
        <v>90</v>
      </c>
    </row>
    <row r="803" spans="1:17" x14ac:dyDescent="0.25">
      <c r="A803" s="247" t="s">
        <v>646</v>
      </c>
      <c r="B803" s="247" t="s">
        <v>25</v>
      </c>
      <c r="C803" s="247" t="s">
        <v>925</v>
      </c>
      <c r="D803" s="247" t="s">
        <v>926</v>
      </c>
      <c r="E803" s="247" t="s">
        <v>510</v>
      </c>
      <c r="F803" s="247" t="s">
        <v>1882</v>
      </c>
      <c r="G803" s="247" t="s">
        <v>1182</v>
      </c>
      <c r="H803" s="247"/>
      <c r="I803" s="247" t="s">
        <v>1883</v>
      </c>
      <c r="J803" s="247">
        <v>7</v>
      </c>
      <c r="K803" s="247">
        <v>7</v>
      </c>
      <c r="L803" s="249" t="s">
        <v>937</v>
      </c>
      <c r="M803" s="249" t="s">
        <v>929</v>
      </c>
      <c r="N803" s="248">
        <v>-25800.98</v>
      </c>
      <c r="O803" s="248">
        <v>-125635.22</v>
      </c>
      <c r="P803" s="247" t="s">
        <v>1183</v>
      </c>
      <c r="Q803" s="247" t="s">
        <v>91</v>
      </c>
    </row>
    <row r="804" spans="1:17" x14ac:dyDescent="0.25">
      <c r="A804" s="247" t="s">
        <v>646</v>
      </c>
      <c r="B804" s="247" t="s">
        <v>25</v>
      </c>
      <c r="C804" s="247" t="s">
        <v>925</v>
      </c>
      <c r="D804" s="247" t="s">
        <v>926</v>
      </c>
      <c r="E804" s="247" t="s">
        <v>510</v>
      </c>
      <c r="F804" s="247" t="s">
        <v>1882</v>
      </c>
      <c r="G804" s="247" t="s">
        <v>1182</v>
      </c>
      <c r="H804" s="247"/>
      <c r="I804" s="247" t="s">
        <v>1883</v>
      </c>
      <c r="J804" s="247">
        <v>7</v>
      </c>
      <c r="K804" s="247">
        <v>7</v>
      </c>
      <c r="L804" s="249" t="s">
        <v>938</v>
      </c>
      <c r="M804" s="249" t="s">
        <v>929</v>
      </c>
      <c r="N804" s="248">
        <v>-26363.360000000001</v>
      </c>
      <c r="O804" s="248">
        <v>-151998.57999999999</v>
      </c>
      <c r="P804" s="247" t="s">
        <v>1183</v>
      </c>
      <c r="Q804" s="247" t="s">
        <v>92</v>
      </c>
    </row>
    <row r="805" spans="1:17" x14ac:dyDescent="0.25">
      <c r="A805" s="247" t="s">
        <v>646</v>
      </c>
      <c r="B805" s="247" t="s">
        <v>25</v>
      </c>
      <c r="C805" s="247" t="s">
        <v>925</v>
      </c>
      <c r="D805" s="247" t="s">
        <v>926</v>
      </c>
      <c r="E805" s="247" t="s">
        <v>510</v>
      </c>
      <c r="F805" s="247" t="s">
        <v>1882</v>
      </c>
      <c r="G805" s="247" t="s">
        <v>1182</v>
      </c>
      <c r="H805" s="247"/>
      <c r="I805" s="247" t="s">
        <v>1883</v>
      </c>
      <c r="J805" s="247">
        <v>7</v>
      </c>
      <c r="K805" s="247">
        <v>7</v>
      </c>
      <c r="L805" s="249" t="s">
        <v>939</v>
      </c>
      <c r="M805" s="249" t="s">
        <v>929</v>
      </c>
      <c r="N805" s="248">
        <v>-26669.57</v>
      </c>
      <c r="O805" s="248">
        <v>-178668.15</v>
      </c>
      <c r="P805" s="247" t="s">
        <v>1183</v>
      </c>
      <c r="Q805" s="247" t="s">
        <v>93</v>
      </c>
    </row>
    <row r="806" spans="1:17" x14ac:dyDescent="0.25">
      <c r="A806" s="247" t="s">
        <v>646</v>
      </c>
      <c r="B806" s="247" t="s">
        <v>25</v>
      </c>
      <c r="C806" s="247" t="s">
        <v>925</v>
      </c>
      <c r="D806" s="247" t="s">
        <v>926</v>
      </c>
      <c r="E806" s="247" t="s">
        <v>510</v>
      </c>
      <c r="F806" s="247" t="s">
        <v>1882</v>
      </c>
      <c r="G806" s="247" t="s">
        <v>1182</v>
      </c>
      <c r="H806" s="247"/>
      <c r="I806" s="247" t="s">
        <v>1883</v>
      </c>
      <c r="J806" s="247">
        <v>7</v>
      </c>
      <c r="K806" s="247">
        <v>7</v>
      </c>
      <c r="L806" s="249" t="s">
        <v>940</v>
      </c>
      <c r="M806" s="249" t="s">
        <v>929</v>
      </c>
      <c r="N806" s="248">
        <v>-26560.99</v>
      </c>
      <c r="O806" s="248">
        <v>-205229.14</v>
      </c>
      <c r="P806" s="247" t="s">
        <v>1183</v>
      </c>
      <c r="Q806" s="247" t="s">
        <v>94</v>
      </c>
    </row>
    <row r="807" spans="1:17" x14ac:dyDescent="0.25">
      <c r="A807" s="247" t="s">
        <v>646</v>
      </c>
      <c r="B807" s="247" t="s">
        <v>25</v>
      </c>
      <c r="C807" s="247" t="s">
        <v>925</v>
      </c>
      <c r="D807" s="247" t="s">
        <v>926</v>
      </c>
      <c r="E807" s="247" t="s">
        <v>510</v>
      </c>
      <c r="F807" s="247" t="s">
        <v>1882</v>
      </c>
      <c r="G807" s="247" t="s">
        <v>1182</v>
      </c>
      <c r="H807" s="247"/>
      <c r="I807" s="247" t="s">
        <v>1883</v>
      </c>
      <c r="J807" s="247">
        <v>7</v>
      </c>
      <c r="K807" s="247">
        <v>7</v>
      </c>
      <c r="L807" s="249" t="s">
        <v>642</v>
      </c>
      <c r="M807" s="249" t="s">
        <v>929</v>
      </c>
      <c r="N807" s="248">
        <v>-26372.82</v>
      </c>
      <c r="O807" s="248">
        <v>-231601.96</v>
      </c>
      <c r="P807" s="247" t="s">
        <v>1183</v>
      </c>
      <c r="Q807" s="247" t="s">
        <v>95</v>
      </c>
    </row>
    <row r="808" spans="1:17" x14ac:dyDescent="0.25">
      <c r="A808" s="247" t="s">
        <v>646</v>
      </c>
      <c r="B808" s="247" t="s">
        <v>25</v>
      </c>
      <c r="C808" s="247" t="s">
        <v>925</v>
      </c>
      <c r="D808" s="247" t="s">
        <v>926</v>
      </c>
      <c r="E808" s="247" t="s">
        <v>946</v>
      </c>
      <c r="F808" s="247" t="s">
        <v>1884</v>
      </c>
      <c r="G808" s="247" t="s">
        <v>1184</v>
      </c>
      <c r="H808" s="247"/>
      <c r="I808" s="247" t="s">
        <v>1885</v>
      </c>
      <c r="J808" s="247">
        <v>7</v>
      </c>
      <c r="K808" s="247">
        <v>7</v>
      </c>
      <c r="L808" s="249" t="s">
        <v>646</v>
      </c>
      <c r="M808" s="249" t="s">
        <v>933</v>
      </c>
      <c r="N808" s="248">
        <v>0</v>
      </c>
      <c r="O808" s="248">
        <v>-96823.06</v>
      </c>
      <c r="P808" s="247" t="s">
        <v>1185</v>
      </c>
      <c r="Q808" s="247" t="s">
        <v>84</v>
      </c>
    </row>
    <row r="809" spans="1:17" x14ac:dyDescent="0.25">
      <c r="A809" s="247" t="s">
        <v>646</v>
      </c>
      <c r="B809" s="247" t="s">
        <v>25</v>
      </c>
      <c r="C809" s="247" t="s">
        <v>925</v>
      </c>
      <c r="D809" s="247" t="s">
        <v>926</v>
      </c>
      <c r="E809" s="247" t="s">
        <v>946</v>
      </c>
      <c r="F809" s="247" t="s">
        <v>1884</v>
      </c>
      <c r="G809" s="247" t="s">
        <v>1184</v>
      </c>
      <c r="H809" s="247"/>
      <c r="I809" s="247" t="s">
        <v>1885</v>
      </c>
      <c r="J809" s="247">
        <v>7</v>
      </c>
      <c r="K809" s="247">
        <v>7</v>
      </c>
      <c r="L809" s="249" t="s">
        <v>650</v>
      </c>
      <c r="M809" s="249" t="s">
        <v>933</v>
      </c>
      <c r="N809" s="248">
        <v>0</v>
      </c>
      <c r="O809" s="248">
        <v>-96823.06</v>
      </c>
      <c r="P809" s="247" t="s">
        <v>1185</v>
      </c>
      <c r="Q809" s="247" t="s">
        <v>85</v>
      </c>
    </row>
    <row r="810" spans="1:17" x14ac:dyDescent="0.25">
      <c r="A810" s="247" t="s">
        <v>646</v>
      </c>
      <c r="B810" s="247" t="s">
        <v>25</v>
      </c>
      <c r="C810" s="247" t="s">
        <v>925</v>
      </c>
      <c r="D810" s="247" t="s">
        <v>926</v>
      </c>
      <c r="E810" s="247" t="s">
        <v>946</v>
      </c>
      <c r="F810" s="247" t="s">
        <v>1884</v>
      </c>
      <c r="G810" s="247" t="s">
        <v>1184</v>
      </c>
      <c r="H810" s="247"/>
      <c r="I810" s="247" t="s">
        <v>1885</v>
      </c>
      <c r="J810" s="247">
        <v>7</v>
      </c>
      <c r="K810" s="247">
        <v>7</v>
      </c>
      <c r="L810" s="249" t="s">
        <v>652</v>
      </c>
      <c r="M810" s="249" t="s">
        <v>933</v>
      </c>
      <c r="N810" s="248">
        <v>0</v>
      </c>
      <c r="O810" s="248">
        <v>-96823.06</v>
      </c>
      <c r="P810" s="247" t="s">
        <v>1185</v>
      </c>
      <c r="Q810" s="247" t="s">
        <v>86</v>
      </c>
    </row>
    <row r="811" spans="1:17" x14ac:dyDescent="0.25">
      <c r="A811" s="247" t="s">
        <v>646</v>
      </c>
      <c r="B811" s="247" t="s">
        <v>25</v>
      </c>
      <c r="C811" s="247" t="s">
        <v>925</v>
      </c>
      <c r="D811" s="247" t="s">
        <v>926</v>
      </c>
      <c r="E811" s="247" t="s">
        <v>1186</v>
      </c>
      <c r="F811" s="247" t="s">
        <v>1886</v>
      </c>
      <c r="G811" s="247" t="s">
        <v>1187</v>
      </c>
      <c r="H811" s="247"/>
      <c r="I811" s="247" t="s">
        <v>1887</v>
      </c>
      <c r="J811" s="247">
        <v>7</v>
      </c>
      <c r="K811" s="247">
        <v>7</v>
      </c>
      <c r="L811" s="249" t="s">
        <v>646</v>
      </c>
      <c r="M811" s="249" t="s">
        <v>933</v>
      </c>
      <c r="N811" s="248">
        <v>-14394.96</v>
      </c>
      <c r="O811" s="248">
        <v>-29628.09</v>
      </c>
      <c r="P811" s="247" t="s">
        <v>1188</v>
      </c>
      <c r="Q811" s="247" t="s">
        <v>84</v>
      </c>
    </row>
    <row r="812" spans="1:17" x14ac:dyDescent="0.25">
      <c r="A812" s="247" t="s">
        <v>646</v>
      </c>
      <c r="B812" s="247" t="s">
        <v>25</v>
      </c>
      <c r="C812" s="247" t="s">
        <v>925</v>
      </c>
      <c r="D812" s="247" t="s">
        <v>926</v>
      </c>
      <c r="E812" s="247" t="s">
        <v>1186</v>
      </c>
      <c r="F812" s="247" t="s">
        <v>1886</v>
      </c>
      <c r="G812" s="247" t="s">
        <v>1187</v>
      </c>
      <c r="H812" s="247"/>
      <c r="I812" s="247" t="s">
        <v>1887</v>
      </c>
      <c r="J812" s="247">
        <v>7</v>
      </c>
      <c r="K812" s="247">
        <v>7</v>
      </c>
      <c r="L812" s="249" t="s">
        <v>650</v>
      </c>
      <c r="M812" s="249" t="s">
        <v>933</v>
      </c>
      <c r="N812" s="248">
        <v>-15364.39</v>
      </c>
      <c r="O812" s="248">
        <v>-44992.480000000003</v>
      </c>
      <c r="P812" s="247" t="s">
        <v>1188</v>
      </c>
      <c r="Q812" s="247" t="s">
        <v>85</v>
      </c>
    </row>
    <row r="813" spans="1:17" x14ac:dyDescent="0.25">
      <c r="A813" s="247" t="s">
        <v>646</v>
      </c>
      <c r="B813" s="247" t="s">
        <v>25</v>
      </c>
      <c r="C813" s="247" t="s">
        <v>925</v>
      </c>
      <c r="D813" s="247" t="s">
        <v>926</v>
      </c>
      <c r="E813" s="247" t="s">
        <v>1186</v>
      </c>
      <c r="F813" s="247" t="s">
        <v>1886</v>
      </c>
      <c r="G813" s="247" t="s">
        <v>1187</v>
      </c>
      <c r="H813" s="247"/>
      <c r="I813" s="247" t="s">
        <v>1887</v>
      </c>
      <c r="J813" s="247">
        <v>7</v>
      </c>
      <c r="K813" s="247">
        <v>7</v>
      </c>
      <c r="L813" s="249" t="s">
        <v>652</v>
      </c>
      <c r="M813" s="249" t="s">
        <v>933</v>
      </c>
      <c r="N813" s="248">
        <v>-11331.66</v>
      </c>
      <c r="O813" s="248">
        <v>-56324.14</v>
      </c>
      <c r="P813" s="247" t="s">
        <v>1188</v>
      </c>
      <c r="Q813" s="247" t="s">
        <v>86</v>
      </c>
    </row>
    <row r="814" spans="1:17" x14ac:dyDescent="0.25">
      <c r="A814" s="247" t="s">
        <v>646</v>
      </c>
      <c r="B814" s="247" t="s">
        <v>25</v>
      </c>
      <c r="C814" s="247" t="s">
        <v>925</v>
      </c>
      <c r="D814" s="247" t="s">
        <v>926</v>
      </c>
      <c r="E814" s="247" t="s">
        <v>1186</v>
      </c>
      <c r="F814" s="247" t="s">
        <v>1886</v>
      </c>
      <c r="G814" s="247" t="s">
        <v>1187</v>
      </c>
      <c r="H814" s="247"/>
      <c r="I814" s="247" t="s">
        <v>1887</v>
      </c>
      <c r="J814" s="247">
        <v>7</v>
      </c>
      <c r="K814" s="247">
        <v>7</v>
      </c>
      <c r="L814" s="249" t="s">
        <v>789</v>
      </c>
      <c r="M814" s="249" t="s">
        <v>929</v>
      </c>
      <c r="N814" s="248">
        <v>-11676.44</v>
      </c>
      <c r="O814" s="248">
        <v>-11676.44</v>
      </c>
      <c r="P814" s="247" t="s">
        <v>1188</v>
      </c>
      <c r="Q814" s="247" t="s">
        <v>87</v>
      </c>
    </row>
    <row r="815" spans="1:17" x14ac:dyDescent="0.25">
      <c r="A815" s="247" t="s">
        <v>646</v>
      </c>
      <c r="B815" s="247" t="s">
        <v>25</v>
      </c>
      <c r="C815" s="247" t="s">
        <v>925</v>
      </c>
      <c r="D815" s="247" t="s">
        <v>926</v>
      </c>
      <c r="E815" s="247" t="s">
        <v>1186</v>
      </c>
      <c r="F815" s="247" t="s">
        <v>1886</v>
      </c>
      <c r="G815" s="247" t="s">
        <v>1187</v>
      </c>
      <c r="H815" s="247"/>
      <c r="I815" s="247" t="s">
        <v>1887</v>
      </c>
      <c r="J815" s="247">
        <v>7</v>
      </c>
      <c r="K815" s="247">
        <v>7</v>
      </c>
      <c r="L815" s="249" t="s">
        <v>791</v>
      </c>
      <c r="M815" s="249" t="s">
        <v>929</v>
      </c>
      <c r="N815" s="248">
        <v>-12630.76</v>
      </c>
      <c r="O815" s="248">
        <v>-24307.200000000001</v>
      </c>
      <c r="P815" s="247" t="s">
        <v>1188</v>
      </c>
      <c r="Q815" s="247" t="s">
        <v>88</v>
      </c>
    </row>
    <row r="816" spans="1:17" x14ac:dyDescent="0.25">
      <c r="A816" s="247" t="s">
        <v>646</v>
      </c>
      <c r="B816" s="247" t="s">
        <v>25</v>
      </c>
      <c r="C816" s="247" t="s">
        <v>925</v>
      </c>
      <c r="D816" s="247" t="s">
        <v>926</v>
      </c>
      <c r="E816" s="247" t="s">
        <v>1186</v>
      </c>
      <c r="F816" s="247" t="s">
        <v>1886</v>
      </c>
      <c r="G816" s="247" t="s">
        <v>1187</v>
      </c>
      <c r="H816" s="247"/>
      <c r="I816" s="247" t="s">
        <v>1887</v>
      </c>
      <c r="J816" s="247">
        <v>7</v>
      </c>
      <c r="K816" s="247">
        <v>7</v>
      </c>
      <c r="L816" s="249" t="s">
        <v>935</v>
      </c>
      <c r="M816" s="249" t="s">
        <v>929</v>
      </c>
      <c r="N816" s="248">
        <v>-12464.11</v>
      </c>
      <c r="O816" s="248">
        <v>-36771.31</v>
      </c>
      <c r="P816" s="247" t="s">
        <v>1188</v>
      </c>
      <c r="Q816" s="247" t="s">
        <v>89</v>
      </c>
    </row>
    <row r="817" spans="1:17" x14ac:dyDescent="0.25">
      <c r="A817" s="247" t="s">
        <v>646</v>
      </c>
      <c r="B817" s="247" t="s">
        <v>25</v>
      </c>
      <c r="C817" s="247" t="s">
        <v>925</v>
      </c>
      <c r="D817" s="247" t="s">
        <v>926</v>
      </c>
      <c r="E817" s="247" t="s">
        <v>1186</v>
      </c>
      <c r="F817" s="247" t="s">
        <v>1886</v>
      </c>
      <c r="G817" s="247" t="s">
        <v>1187</v>
      </c>
      <c r="H817" s="247"/>
      <c r="I817" s="247" t="s">
        <v>1887</v>
      </c>
      <c r="J817" s="247">
        <v>7</v>
      </c>
      <c r="K817" s="247">
        <v>7</v>
      </c>
      <c r="L817" s="249" t="s">
        <v>936</v>
      </c>
      <c r="M817" s="249" t="s">
        <v>929</v>
      </c>
      <c r="N817" s="248">
        <v>-12755.15</v>
      </c>
      <c r="O817" s="248">
        <v>-49526.46</v>
      </c>
      <c r="P817" s="247" t="s">
        <v>1188</v>
      </c>
      <c r="Q817" s="247" t="s">
        <v>90</v>
      </c>
    </row>
    <row r="818" spans="1:17" x14ac:dyDescent="0.25">
      <c r="A818" s="247" t="s">
        <v>646</v>
      </c>
      <c r="B818" s="247" t="s">
        <v>25</v>
      </c>
      <c r="C818" s="247" t="s">
        <v>925</v>
      </c>
      <c r="D818" s="247" t="s">
        <v>926</v>
      </c>
      <c r="E818" s="247" t="s">
        <v>1186</v>
      </c>
      <c r="F818" s="247" t="s">
        <v>1886</v>
      </c>
      <c r="G818" s="247" t="s">
        <v>1187</v>
      </c>
      <c r="H818" s="247"/>
      <c r="I818" s="247" t="s">
        <v>1887</v>
      </c>
      <c r="J818" s="247">
        <v>7</v>
      </c>
      <c r="K818" s="247">
        <v>7</v>
      </c>
      <c r="L818" s="249" t="s">
        <v>937</v>
      </c>
      <c r="M818" s="249" t="s">
        <v>929</v>
      </c>
      <c r="N818" s="248">
        <v>-13181.81</v>
      </c>
      <c r="O818" s="248">
        <v>-62708.27</v>
      </c>
      <c r="P818" s="247" t="s">
        <v>1188</v>
      </c>
      <c r="Q818" s="247" t="s">
        <v>91</v>
      </c>
    </row>
    <row r="819" spans="1:17" x14ac:dyDescent="0.25">
      <c r="A819" s="247" t="s">
        <v>646</v>
      </c>
      <c r="B819" s="247" t="s">
        <v>25</v>
      </c>
      <c r="C819" s="247" t="s">
        <v>925</v>
      </c>
      <c r="D819" s="247" t="s">
        <v>926</v>
      </c>
      <c r="E819" s="247" t="s">
        <v>1186</v>
      </c>
      <c r="F819" s="247" t="s">
        <v>1886</v>
      </c>
      <c r="G819" s="247" t="s">
        <v>1187</v>
      </c>
      <c r="H819" s="247"/>
      <c r="I819" s="247" t="s">
        <v>1887</v>
      </c>
      <c r="J819" s="247">
        <v>7</v>
      </c>
      <c r="K819" s="247">
        <v>7</v>
      </c>
      <c r="L819" s="249" t="s">
        <v>938</v>
      </c>
      <c r="M819" s="249" t="s">
        <v>929</v>
      </c>
      <c r="N819" s="248">
        <v>-12096.08</v>
      </c>
      <c r="O819" s="248">
        <v>-74804.350000000006</v>
      </c>
      <c r="P819" s="247" t="s">
        <v>1188</v>
      </c>
      <c r="Q819" s="247" t="s">
        <v>92</v>
      </c>
    </row>
    <row r="820" spans="1:17" x14ac:dyDescent="0.25">
      <c r="A820" s="247" t="s">
        <v>646</v>
      </c>
      <c r="B820" s="247" t="s">
        <v>25</v>
      </c>
      <c r="C820" s="247" t="s">
        <v>925</v>
      </c>
      <c r="D820" s="247" t="s">
        <v>926</v>
      </c>
      <c r="E820" s="247" t="s">
        <v>1186</v>
      </c>
      <c r="F820" s="247" t="s">
        <v>1886</v>
      </c>
      <c r="G820" s="247" t="s">
        <v>1187</v>
      </c>
      <c r="H820" s="247"/>
      <c r="I820" s="247" t="s">
        <v>1887</v>
      </c>
      <c r="J820" s="247">
        <v>7</v>
      </c>
      <c r="K820" s="247">
        <v>7</v>
      </c>
      <c r="L820" s="249" t="s">
        <v>939</v>
      </c>
      <c r="M820" s="249" t="s">
        <v>929</v>
      </c>
      <c r="N820" s="248">
        <v>-11469.3</v>
      </c>
      <c r="O820" s="248">
        <v>-86273.65</v>
      </c>
      <c r="P820" s="247" t="s">
        <v>1188</v>
      </c>
      <c r="Q820" s="247" t="s">
        <v>93</v>
      </c>
    </row>
    <row r="821" spans="1:17" x14ac:dyDescent="0.25">
      <c r="A821" s="247" t="s">
        <v>646</v>
      </c>
      <c r="B821" s="247" t="s">
        <v>25</v>
      </c>
      <c r="C821" s="247" t="s">
        <v>925</v>
      </c>
      <c r="D821" s="247" t="s">
        <v>926</v>
      </c>
      <c r="E821" s="247" t="s">
        <v>1186</v>
      </c>
      <c r="F821" s="247" t="s">
        <v>1886</v>
      </c>
      <c r="G821" s="247" t="s">
        <v>1187</v>
      </c>
      <c r="H821" s="247"/>
      <c r="I821" s="247" t="s">
        <v>1887</v>
      </c>
      <c r="J821" s="247">
        <v>7</v>
      </c>
      <c r="K821" s="247">
        <v>7</v>
      </c>
      <c r="L821" s="249" t="s">
        <v>940</v>
      </c>
      <c r="M821" s="249" t="s">
        <v>929</v>
      </c>
      <c r="N821" s="248">
        <v>-15844.57</v>
      </c>
      <c r="O821" s="248">
        <v>-102118.22</v>
      </c>
      <c r="P821" s="247" t="s">
        <v>1188</v>
      </c>
      <c r="Q821" s="247" t="s">
        <v>94</v>
      </c>
    </row>
    <row r="822" spans="1:17" x14ac:dyDescent="0.25">
      <c r="A822" s="247" t="s">
        <v>646</v>
      </c>
      <c r="B822" s="247" t="s">
        <v>25</v>
      </c>
      <c r="C822" s="247" t="s">
        <v>925</v>
      </c>
      <c r="D822" s="247" t="s">
        <v>926</v>
      </c>
      <c r="E822" s="247" t="s">
        <v>1186</v>
      </c>
      <c r="F822" s="247" t="s">
        <v>1886</v>
      </c>
      <c r="G822" s="247" t="s">
        <v>1187</v>
      </c>
      <c r="H822" s="247"/>
      <c r="I822" s="247" t="s">
        <v>1887</v>
      </c>
      <c r="J822" s="247">
        <v>7</v>
      </c>
      <c r="K822" s="247">
        <v>7</v>
      </c>
      <c r="L822" s="249" t="s">
        <v>642</v>
      </c>
      <c r="M822" s="249" t="s">
        <v>929</v>
      </c>
      <c r="N822" s="248">
        <v>-16612.3</v>
      </c>
      <c r="O822" s="248">
        <v>-118730.52</v>
      </c>
      <c r="P822" s="247" t="s">
        <v>1188</v>
      </c>
      <c r="Q822" s="247" t="s">
        <v>95</v>
      </c>
    </row>
    <row r="823" spans="1:17" x14ac:dyDescent="0.25">
      <c r="A823" s="247" t="s">
        <v>646</v>
      </c>
      <c r="B823" s="247" t="s">
        <v>25</v>
      </c>
      <c r="C823" s="247" t="s">
        <v>925</v>
      </c>
      <c r="D823" s="247" t="s">
        <v>926</v>
      </c>
      <c r="E823" s="247" t="s">
        <v>1049</v>
      </c>
      <c r="F823" s="247" t="s">
        <v>1888</v>
      </c>
      <c r="G823" s="247" t="s">
        <v>1189</v>
      </c>
      <c r="H823" s="247"/>
      <c r="I823" s="247" t="s">
        <v>1889</v>
      </c>
      <c r="J823" s="247">
        <v>7</v>
      </c>
      <c r="K823" s="247">
        <v>7</v>
      </c>
      <c r="L823" s="249" t="s">
        <v>646</v>
      </c>
      <c r="M823" s="249" t="s">
        <v>933</v>
      </c>
      <c r="N823" s="248">
        <v>0</v>
      </c>
      <c r="O823" s="248">
        <v>-72238.759999999995</v>
      </c>
      <c r="P823" s="247" t="s">
        <v>1190</v>
      </c>
      <c r="Q823" s="247" t="s">
        <v>84</v>
      </c>
    </row>
    <row r="824" spans="1:17" x14ac:dyDescent="0.25">
      <c r="A824" s="247" t="s">
        <v>646</v>
      </c>
      <c r="B824" s="247" t="s">
        <v>25</v>
      </c>
      <c r="C824" s="247" t="s">
        <v>925</v>
      </c>
      <c r="D824" s="247" t="s">
        <v>926</v>
      </c>
      <c r="E824" s="247" t="s">
        <v>1049</v>
      </c>
      <c r="F824" s="247" t="s">
        <v>1888</v>
      </c>
      <c r="G824" s="247" t="s">
        <v>1189</v>
      </c>
      <c r="H824" s="247"/>
      <c r="I824" s="247" t="s">
        <v>1889</v>
      </c>
      <c r="J824" s="247">
        <v>7</v>
      </c>
      <c r="K824" s="247">
        <v>7</v>
      </c>
      <c r="L824" s="249" t="s">
        <v>650</v>
      </c>
      <c r="M824" s="249" t="s">
        <v>933</v>
      </c>
      <c r="N824" s="248">
        <v>0</v>
      </c>
      <c r="O824" s="248">
        <v>-72238.759999999995</v>
      </c>
      <c r="P824" s="247" t="s">
        <v>1190</v>
      </c>
      <c r="Q824" s="247" t="s">
        <v>85</v>
      </c>
    </row>
    <row r="825" spans="1:17" x14ac:dyDescent="0.25">
      <c r="A825" s="247" t="s">
        <v>646</v>
      </c>
      <c r="B825" s="247" t="s">
        <v>25</v>
      </c>
      <c r="C825" s="247" t="s">
        <v>925</v>
      </c>
      <c r="D825" s="247" t="s">
        <v>926</v>
      </c>
      <c r="E825" s="247" t="s">
        <v>1049</v>
      </c>
      <c r="F825" s="247" t="s">
        <v>1888</v>
      </c>
      <c r="G825" s="247" t="s">
        <v>1189</v>
      </c>
      <c r="H825" s="247"/>
      <c r="I825" s="247" t="s">
        <v>1889</v>
      </c>
      <c r="J825" s="247">
        <v>7</v>
      </c>
      <c r="K825" s="247">
        <v>7</v>
      </c>
      <c r="L825" s="249" t="s">
        <v>652</v>
      </c>
      <c r="M825" s="249" t="s">
        <v>933</v>
      </c>
      <c r="N825" s="248">
        <v>0</v>
      </c>
      <c r="O825" s="248">
        <v>-72238.759999999995</v>
      </c>
      <c r="P825" s="247" t="s">
        <v>1190</v>
      </c>
      <c r="Q825" s="247" t="s">
        <v>86</v>
      </c>
    </row>
    <row r="826" spans="1:17" x14ac:dyDescent="0.25">
      <c r="A826" s="247" t="s">
        <v>646</v>
      </c>
      <c r="B826" s="247" t="s">
        <v>25</v>
      </c>
      <c r="C826" s="247" t="s">
        <v>925</v>
      </c>
      <c r="D826" s="247" t="s">
        <v>926</v>
      </c>
      <c r="E826" s="247" t="s">
        <v>1191</v>
      </c>
      <c r="F826" s="247" t="s">
        <v>1890</v>
      </c>
      <c r="G826" s="247" t="s">
        <v>1192</v>
      </c>
      <c r="H826" s="247"/>
      <c r="I826" s="247" t="s">
        <v>1891</v>
      </c>
      <c r="J826" s="247">
        <v>7</v>
      </c>
      <c r="K826" s="247">
        <v>7</v>
      </c>
      <c r="L826" s="249" t="s">
        <v>646</v>
      </c>
      <c r="M826" s="249" t="s">
        <v>933</v>
      </c>
      <c r="N826" s="248">
        <v>-11221.15</v>
      </c>
      <c r="O826" s="248">
        <v>-21061.83</v>
      </c>
      <c r="P826" s="247" t="s">
        <v>1193</v>
      </c>
      <c r="Q826" s="247" t="s">
        <v>84</v>
      </c>
    </row>
    <row r="827" spans="1:17" x14ac:dyDescent="0.25">
      <c r="A827" s="247" t="s">
        <v>646</v>
      </c>
      <c r="B827" s="247" t="s">
        <v>25</v>
      </c>
      <c r="C827" s="247" t="s">
        <v>925</v>
      </c>
      <c r="D827" s="247" t="s">
        <v>926</v>
      </c>
      <c r="E827" s="247" t="s">
        <v>1191</v>
      </c>
      <c r="F827" s="247" t="s">
        <v>1890</v>
      </c>
      <c r="G827" s="247" t="s">
        <v>1192</v>
      </c>
      <c r="H827" s="247"/>
      <c r="I827" s="247" t="s">
        <v>1891</v>
      </c>
      <c r="J827" s="247">
        <v>7</v>
      </c>
      <c r="K827" s="247">
        <v>7</v>
      </c>
      <c r="L827" s="249" t="s">
        <v>650</v>
      </c>
      <c r="M827" s="249" t="s">
        <v>933</v>
      </c>
      <c r="N827" s="248">
        <v>-12092.88</v>
      </c>
      <c r="O827" s="248">
        <v>-33154.71</v>
      </c>
      <c r="P827" s="247" t="s">
        <v>1193</v>
      </c>
      <c r="Q827" s="247" t="s">
        <v>85</v>
      </c>
    </row>
    <row r="828" spans="1:17" x14ac:dyDescent="0.25">
      <c r="A828" s="247" t="s">
        <v>646</v>
      </c>
      <c r="B828" s="247" t="s">
        <v>25</v>
      </c>
      <c r="C828" s="247" t="s">
        <v>925</v>
      </c>
      <c r="D828" s="247" t="s">
        <v>926</v>
      </c>
      <c r="E828" s="247" t="s">
        <v>1191</v>
      </c>
      <c r="F828" s="247" t="s">
        <v>1890</v>
      </c>
      <c r="G828" s="247" t="s">
        <v>1192</v>
      </c>
      <c r="H828" s="247"/>
      <c r="I828" s="247" t="s">
        <v>1891</v>
      </c>
      <c r="J828" s="247">
        <v>7</v>
      </c>
      <c r="K828" s="247">
        <v>7</v>
      </c>
      <c r="L828" s="249" t="s">
        <v>652</v>
      </c>
      <c r="M828" s="249" t="s">
        <v>933</v>
      </c>
      <c r="N828" s="248">
        <v>-9958.19</v>
      </c>
      <c r="O828" s="248">
        <v>-43112.9</v>
      </c>
      <c r="P828" s="247" t="s">
        <v>1193</v>
      </c>
      <c r="Q828" s="247" t="s">
        <v>86</v>
      </c>
    </row>
    <row r="829" spans="1:17" x14ac:dyDescent="0.25">
      <c r="A829" s="247" t="s">
        <v>646</v>
      </c>
      <c r="B829" s="247" t="s">
        <v>25</v>
      </c>
      <c r="C829" s="247" t="s">
        <v>925</v>
      </c>
      <c r="D829" s="247" t="s">
        <v>926</v>
      </c>
      <c r="E829" s="247" t="s">
        <v>1191</v>
      </c>
      <c r="F829" s="247" t="s">
        <v>1890</v>
      </c>
      <c r="G829" s="247" t="s">
        <v>1192</v>
      </c>
      <c r="H829" s="247"/>
      <c r="I829" s="247" t="s">
        <v>1891</v>
      </c>
      <c r="J829" s="247">
        <v>7</v>
      </c>
      <c r="K829" s="247">
        <v>7</v>
      </c>
      <c r="L829" s="249" t="s">
        <v>789</v>
      </c>
      <c r="M829" s="249" t="s">
        <v>929</v>
      </c>
      <c r="N829" s="248">
        <v>-9694.8700000000008</v>
      </c>
      <c r="O829" s="248">
        <v>-9694.8700000000008</v>
      </c>
      <c r="P829" s="247" t="s">
        <v>1193</v>
      </c>
      <c r="Q829" s="247" t="s">
        <v>87</v>
      </c>
    </row>
    <row r="830" spans="1:17" x14ac:dyDescent="0.25">
      <c r="A830" s="247" t="s">
        <v>646</v>
      </c>
      <c r="B830" s="247" t="s">
        <v>25</v>
      </c>
      <c r="C830" s="247" t="s">
        <v>925</v>
      </c>
      <c r="D830" s="247" t="s">
        <v>926</v>
      </c>
      <c r="E830" s="247" t="s">
        <v>1191</v>
      </c>
      <c r="F830" s="247" t="s">
        <v>1890</v>
      </c>
      <c r="G830" s="247" t="s">
        <v>1192</v>
      </c>
      <c r="H830" s="247"/>
      <c r="I830" s="247" t="s">
        <v>1891</v>
      </c>
      <c r="J830" s="247">
        <v>7</v>
      </c>
      <c r="K830" s="247">
        <v>7</v>
      </c>
      <c r="L830" s="249" t="s">
        <v>791</v>
      </c>
      <c r="M830" s="249" t="s">
        <v>929</v>
      </c>
      <c r="N830" s="248">
        <v>-9278.98</v>
      </c>
      <c r="O830" s="248">
        <v>-18973.849999999999</v>
      </c>
      <c r="P830" s="247" t="s">
        <v>1193</v>
      </c>
      <c r="Q830" s="247" t="s">
        <v>88</v>
      </c>
    </row>
    <row r="831" spans="1:17" x14ac:dyDescent="0.25">
      <c r="A831" s="247" t="s">
        <v>646</v>
      </c>
      <c r="B831" s="247" t="s">
        <v>25</v>
      </c>
      <c r="C831" s="247" t="s">
        <v>925</v>
      </c>
      <c r="D831" s="247" t="s">
        <v>926</v>
      </c>
      <c r="E831" s="247" t="s">
        <v>1191</v>
      </c>
      <c r="F831" s="247" t="s">
        <v>1890</v>
      </c>
      <c r="G831" s="247" t="s">
        <v>1192</v>
      </c>
      <c r="H831" s="247"/>
      <c r="I831" s="247" t="s">
        <v>1891</v>
      </c>
      <c r="J831" s="247">
        <v>7</v>
      </c>
      <c r="K831" s="247">
        <v>7</v>
      </c>
      <c r="L831" s="249" t="s">
        <v>935</v>
      </c>
      <c r="M831" s="249" t="s">
        <v>929</v>
      </c>
      <c r="N831" s="248">
        <v>-8272.41</v>
      </c>
      <c r="O831" s="248">
        <v>-27246.26</v>
      </c>
      <c r="P831" s="247" t="s">
        <v>1193</v>
      </c>
      <c r="Q831" s="247" t="s">
        <v>89</v>
      </c>
    </row>
    <row r="832" spans="1:17" x14ac:dyDescent="0.25">
      <c r="A832" s="247" t="s">
        <v>646</v>
      </c>
      <c r="B832" s="247" t="s">
        <v>25</v>
      </c>
      <c r="C832" s="247" t="s">
        <v>925</v>
      </c>
      <c r="D832" s="247" t="s">
        <v>926</v>
      </c>
      <c r="E832" s="247" t="s">
        <v>1191</v>
      </c>
      <c r="F832" s="247" t="s">
        <v>1890</v>
      </c>
      <c r="G832" s="247" t="s">
        <v>1192</v>
      </c>
      <c r="H832" s="247"/>
      <c r="I832" s="247" t="s">
        <v>1891</v>
      </c>
      <c r="J832" s="247">
        <v>7</v>
      </c>
      <c r="K832" s="247">
        <v>7</v>
      </c>
      <c r="L832" s="249" t="s">
        <v>936</v>
      </c>
      <c r="M832" s="249" t="s">
        <v>929</v>
      </c>
      <c r="N832" s="248">
        <v>-10214.61</v>
      </c>
      <c r="O832" s="248">
        <v>-37460.870000000003</v>
      </c>
      <c r="P832" s="247" t="s">
        <v>1193</v>
      </c>
      <c r="Q832" s="247" t="s">
        <v>90</v>
      </c>
    </row>
    <row r="833" spans="1:17" x14ac:dyDescent="0.25">
      <c r="A833" s="247" t="s">
        <v>646</v>
      </c>
      <c r="B833" s="247" t="s">
        <v>25</v>
      </c>
      <c r="C833" s="247" t="s">
        <v>925</v>
      </c>
      <c r="D833" s="247" t="s">
        <v>926</v>
      </c>
      <c r="E833" s="247" t="s">
        <v>1191</v>
      </c>
      <c r="F833" s="247" t="s">
        <v>1890</v>
      </c>
      <c r="G833" s="247" t="s">
        <v>1192</v>
      </c>
      <c r="H833" s="247"/>
      <c r="I833" s="247" t="s">
        <v>1891</v>
      </c>
      <c r="J833" s="247">
        <v>7</v>
      </c>
      <c r="K833" s="247">
        <v>7</v>
      </c>
      <c r="L833" s="249" t="s">
        <v>937</v>
      </c>
      <c r="M833" s="249" t="s">
        <v>929</v>
      </c>
      <c r="N833" s="248">
        <v>-8487.39</v>
      </c>
      <c r="O833" s="248">
        <v>-45948.26</v>
      </c>
      <c r="P833" s="247" t="s">
        <v>1193</v>
      </c>
      <c r="Q833" s="247" t="s">
        <v>91</v>
      </c>
    </row>
    <row r="834" spans="1:17" x14ac:dyDescent="0.25">
      <c r="A834" s="247" t="s">
        <v>646</v>
      </c>
      <c r="B834" s="247" t="s">
        <v>25</v>
      </c>
      <c r="C834" s="247" t="s">
        <v>925</v>
      </c>
      <c r="D834" s="247" t="s">
        <v>926</v>
      </c>
      <c r="E834" s="247" t="s">
        <v>1191</v>
      </c>
      <c r="F834" s="247" t="s">
        <v>1890</v>
      </c>
      <c r="G834" s="247" t="s">
        <v>1192</v>
      </c>
      <c r="H834" s="247"/>
      <c r="I834" s="247" t="s">
        <v>1891</v>
      </c>
      <c r="J834" s="247">
        <v>7</v>
      </c>
      <c r="K834" s="247">
        <v>7</v>
      </c>
      <c r="L834" s="249" t="s">
        <v>938</v>
      </c>
      <c r="M834" s="249" t="s">
        <v>929</v>
      </c>
      <c r="N834" s="248">
        <v>-6200.65</v>
      </c>
      <c r="O834" s="248">
        <v>-52148.91</v>
      </c>
      <c r="P834" s="247" t="s">
        <v>1193</v>
      </c>
      <c r="Q834" s="247" t="s">
        <v>92</v>
      </c>
    </row>
    <row r="835" spans="1:17" x14ac:dyDescent="0.25">
      <c r="A835" s="247" t="s">
        <v>646</v>
      </c>
      <c r="B835" s="247" t="s">
        <v>25</v>
      </c>
      <c r="C835" s="247" t="s">
        <v>925</v>
      </c>
      <c r="D835" s="247" t="s">
        <v>926</v>
      </c>
      <c r="E835" s="247" t="s">
        <v>1191</v>
      </c>
      <c r="F835" s="247" t="s">
        <v>1890</v>
      </c>
      <c r="G835" s="247" t="s">
        <v>1192</v>
      </c>
      <c r="H835" s="247"/>
      <c r="I835" s="247" t="s">
        <v>1891</v>
      </c>
      <c r="J835" s="247">
        <v>7</v>
      </c>
      <c r="K835" s="247">
        <v>7</v>
      </c>
      <c r="L835" s="249" t="s">
        <v>939</v>
      </c>
      <c r="M835" s="249" t="s">
        <v>929</v>
      </c>
      <c r="N835" s="248">
        <v>-7528.42</v>
      </c>
      <c r="O835" s="248">
        <v>-59677.33</v>
      </c>
      <c r="P835" s="247" t="s">
        <v>1193</v>
      </c>
      <c r="Q835" s="247" t="s">
        <v>93</v>
      </c>
    </row>
    <row r="836" spans="1:17" x14ac:dyDescent="0.25">
      <c r="A836" s="247" t="s">
        <v>646</v>
      </c>
      <c r="B836" s="247" t="s">
        <v>25</v>
      </c>
      <c r="C836" s="247" t="s">
        <v>925</v>
      </c>
      <c r="D836" s="247" t="s">
        <v>926</v>
      </c>
      <c r="E836" s="247" t="s">
        <v>1191</v>
      </c>
      <c r="F836" s="247" t="s">
        <v>1890</v>
      </c>
      <c r="G836" s="247" t="s">
        <v>1192</v>
      </c>
      <c r="H836" s="247"/>
      <c r="I836" s="247" t="s">
        <v>1891</v>
      </c>
      <c r="J836" s="247">
        <v>7</v>
      </c>
      <c r="K836" s="247">
        <v>7</v>
      </c>
      <c r="L836" s="249" t="s">
        <v>940</v>
      </c>
      <c r="M836" s="249" t="s">
        <v>929</v>
      </c>
      <c r="N836" s="248">
        <v>-10067.200000000001</v>
      </c>
      <c r="O836" s="248">
        <v>-69744.53</v>
      </c>
      <c r="P836" s="247" t="s">
        <v>1193</v>
      </c>
      <c r="Q836" s="247" t="s">
        <v>94</v>
      </c>
    </row>
    <row r="837" spans="1:17" x14ac:dyDescent="0.25">
      <c r="A837" s="247" t="s">
        <v>646</v>
      </c>
      <c r="B837" s="247" t="s">
        <v>25</v>
      </c>
      <c r="C837" s="247" t="s">
        <v>925</v>
      </c>
      <c r="D837" s="247" t="s">
        <v>926</v>
      </c>
      <c r="E837" s="247" t="s">
        <v>1191</v>
      </c>
      <c r="F837" s="247" t="s">
        <v>1890</v>
      </c>
      <c r="G837" s="247" t="s">
        <v>1192</v>
      </c>
      <c r="H837" s="247"/>
      <c r="I837" s="247" t="s">
        <v>1891</v>
      </c>
      <c r="J837" s="247">
        <v>7</v>
      </c>
      <c r="K837" s="247">
        <v>7</v>
      </c>
      <c r="L837" s="249" t="s">
        <v>642</v>
      </c>
      <c r="M837" s="249" t="s">
        <v>929</v>
      </c>
      <c r="N837" s="248">
        <v>-10779.03</v>
      </c>
      <c r="O837" s="248">
        <v>-80523.56</v>
      </c>
      <c r="P837" s="247" t="s">
        <v>1193</v>
      </c>
      <c r="Q837" s="247" t="s">
        <v>95</v>
      </c>
    </row>
    <row r="838" spans="1:17" x14ac:dyDescent="0.25">
      <c r="A838" s="247" t="s">
        <v>646</v>
      </c>
      <c r="B838" s="247" t="s">
        <v>25</v>
      </c>
      <c r="C838" s="247" t="s">
        <v>925</v>
      </c>
      <c r="D838" s="247" t="s">
        <v>1095</v>
      </c>
      <c r="E838" s="247" t="s">
        <v>927</v>
      </c>
      <c r="F838" s="247" t="s">
        <v>1892</v>
      </c>
      <c r="G838" s="247" t="s">
        <v>928</v>
      </c>
      <c r="H838" s="247"/>
      <c r="I838" s="247" t="s">
        <v>1893</v>
      </c>
      <c r="J838" s="247">
        <v>8</v>
      </c>
      <c r="K838" s="247">
        <v>8</v>
      </c>
      <c r="L838" s="249" t="s">
        <v>646</v>
      </c>
      <c r="M838" s="249" t="s">
        <v>933</v>
      </c>
      <c r="N838" s="248">
        <v>-2142</v>
      </c>
      <c r="O838" s="248">
        <v>-3097</v>
      </c>
      <c r="P838" s="247" t="s">
        <v>930</v>
      </c>
      <c r="Q838" s="247" t="s">
        <v>84</v>
      </c>
    </row>
    <row r="839" spans="1:17" x14ac:dyDescent="0.25">
      <c r="A839" s="247" t="s">
        <v>646</v>
      </c>
      <c r="B839" s="247" t="s">
        <v>25</v>
      </c>
      <c r="C839" s="247" t="s">
        <v>925</v>
      </c>
      <c r="D839" s="247" t="s">
        <v>1095</v>
      </c>
      <c r="E839" s="247" t="s">
        <v>927</v>
      </c>
      <c r="F839" s="247" t="s">
        <v>1892</v>
      </c>
      <c r="G839" s="247" t="s">
        <v>928</v>
      </c>
      <c r="H839" s="247"/>
      <c r="I839" s="247" t="s">
        <v>1893</v>
      </c>
      <c r="J839" s="247">
        <v>8</v>
      </c>
      <c r="K839" s="247">
        <v>8</v>
      </c>
      <c r="L839" s="249" t="s">
        <v>650</v>
      </c>
      <c r="M839" s="249" t="s">
        <v>933</v>
      </c>
      <c r="N839" s="248">
        <v>-1097</v>
      </c>
      <c r="O839" s="248">
        <v>-4194</v>
      </c>
      <c r="P839" s="247" t="s">
        <v>930</v>
      </c>
      <c r="Q839" s="247" t="s">
        <v>85</v>
      </c>
    </row>
    <row r="840" spans="1:17" x14ac:dyDescent="0.25">
      <c r="A840" s="247" t="s">
        <v>646</v>
      </c>
      <c r="B840" s="247" t="s">
        <v>25</v>
      </c>
      <c r="C840" s="247" t="s">
        <v>925</v>
      </c>
      <c r="D840" s="247" t="s">
        <v>1095</v>
      </c>
      <c r="E840" s="247" t="s">
        <v>927</v>
      </c>
      <c r="F840" s="247" t="s">
        <v>1892</v>
      </c>
      <c r="G840" s="247" t="s">
        <v>928</v>
      </c>
      <c r="H840" s="247"/>
      <c r="I840" s="247" t="s">
        <v>1893</v>
      </c>
      <c r="J840" s="247">
        <v>8</v>
      </c>
      <c r="K840" s="247">
        <v>8</v>
      </c>
      <c r="L840" s="249" t="s">
        <v>652</v>
      </c>
      <c r="M840" s="249" t="s">
        <v>933</v>
      </c>
      <c r="N840" s="248">
        <v>-1115</v>
      </c>
      <c r="O840" s="248">
        <v>-5309</v>
      </c>
      <c r="P840" s="247" t="s">
        <v>930</v>
      </c>
      <c r="Q840" s="247" t="s">
        <v>86</v>
      </c>
    </row>
    <row r="841" spans="1:17" x14ac:dyDescent="0.25">
      <c r="A841" s="247" t="s">
        <v>646</v>
      </c>
      <c r="B841" s="247" t="s">
        <v>25</v>
      </c>
      <c r="C841" s="247" t="s">
        <v>925</v>
      </c>
      <c r="D841" s="247" t="s">
        <v>1095</v>
      </c>
      <c r="E841" s="247" t="s">
        <v>927</v>
      </c>
      <c r="F841" s="247" t="s">
        <v>1892</v>
      </c>
      <c r="G841" s="247" t="s">
        <v>928</v>
      </c>
      <c r="H841" s="247"/>
      <c r="I841" s="247" t="s">
        <v>1893</v>
      </c>
      <c r="J841" s="247">
        <v>8</v>
      </c>
      <c r="K841" s="247">
        <v>8</v>
      </c>
      <c r="L841" s="249" t="s">
        <v>791</v>
      </c>
      <c r="M841" s="249" t="s">
        <v>929</v>
      </c>
      <c r="N841" s="248">
        <v>-935</v>
      </c>
      <c r="O841" s="248">
        <v>-1652</v>
      </c>
      <c r="P841" s="247" t="s">
        <v>930</v>
      </c>
      <c r="Q841" s="247" t="s">
        <v>88</v>
      </c>
    </row>
    <row r="842" spans="1:17" x14ac:dyDescent="0.25">
      <c r="A842" s="247" t="s">
        <v>646</v>
      </c>
      <c r="B842" s="247" t="s">
        <v>25</v>
      </c>
      <c r="C842" s="247" t="s">
        <v>925</v>
      </c>
      <c r="D842" s="247" t="s">
        <v>1095</v>
      </c>
      <c r="E842" s="247" t="s">
        <v>927</v>
      </c>
      <c r="F842" s="247" t="s">
        <v>1892</v>
      </c>
      <c r="G842" s="247" t="s">
        <v>928</v>
      </c>
      <c r="H842" s="247"/>
      <c r="I842" s="247" t="s">
        <v>1893</v>
      </c>
      <c r="J842" s="247">
        <v>8</v>
      </c>
      <c r="K842" s="247">
        <v>8</v>
      </c>
      <c r="L842" s="249" t="s">
        <v>935</v>
      </c>
      <c r="M842" s="249" t="s">
        <v>929</v>
      </c>
      <c r="N842" s="248">
        <v>-1672</v>
      </c>
      <c r="O842" s="248">
        <v>-3324</v>
      </c>
      <c r="P842" s="247" t="s">
        <v>930</v>
      </c>
      <c r="Q842" s="247" t="s">
        <v>89</v>
      </c>
    </row>
    <row r="843" spans="1:17" x14ac:dyDescent="0.25">
      <c r="A843" s="247" t="s">
        <v>646</v>
      </c>
      <c r="B843" s="247" t="s">
        <v>25</v>
      </c>
      <c r="C843" s="247" t="s">
        <v>925</v>
      </c>
      <c r="D843" s="247" t="s">
        <v>1095</v>
      </c>
      <c r="E843" s="247" t="s">
        <v>927</v>
      </c>
      <c r="F843" s="247" t="s">
        <v>1892</v>
      </c>
      <c r="G843" s="247" t="s">
        <v>928</v>
      </c>
      <c r="H843" s="247"/>
      <c r="I843" s="247" t="s">
        <v>1893</v>
      </c>
      <c r="J843" s="247">
        <v>8</v>
      </c>
      <c r="K843" s="247">
        <v>8</v>
      </c>
      <c r="L843" s="249" t="s">
        <v>936</v>
      </c>
      <c r="M843" s="249" t="s">
        <v>929</v>
      </c>
      <c r="N843" s="248">
        <v>-2610.96</v>
      </c>
      <c r="O843" s="248">
        <v>-5934.96</v>
      </c>
      <c r="P843" s="247" t="s">
        <v>930</v>
      </c>
      <c r="Q843" s="247" t="s">
        <v>90</v>
      </c>
    </row>
    <row r="844" spans="1:17" x14ac:dyDescent="0.25">
      <c r="A844" s="247" t="s">
        <v>646</v>
      </c>
      <c r="B844" s="247" t="s">
        <v>25</v>
      </c>
      <c r="C844" s="247" t="s">
        <v>925</v>
      </c>
      <c r="D844" s="247" t="s">
        <v>1095</v>
      </c>
      <c r="E844" s="247" t="s">
        <v>927</v>
      </c>
      <c r="F844" s="247" t="s">
        <v>1892</v>
      </c>
      <c r="G844" s="247" t="s">
        <v>928</v>
      </c>
      <c r="H844" s="247"/>
      <c r="I844" s="247" t="s">
        <v>1893</v>
      </c>
      <c r="J844" s="247">
        <v>8</v>
      </c>
      <c r="K844" s="247">
        <v>8</v>
      </c>
      <c r="L844" s="249" t="s">
        <v>937</v>
      </c>
      <c r="M844" s="249" t="s">
        <v>929</v>
      </c>
      <c r="N844" s="248">
        <v>-1767.05</v>
      </c>
      <c r="O844" s="248">
        <v>-7702.01</v>
      </c>
      <c r="P844" s="247" t="s">
        <v>930</v>
      </c>
      <c r="Q844" s="247" t="s">
        <v>91</v>
      </c>
    </row>
    <row r="845" spans="1:17" x14ac:dyDescent="0.25">
      <c r="A845" s="247" t="s">
        <v>646</v>
      </c>
      <c r="B845" s="247" t="s">
        <v>25</v>
      </c>
      <c r="C845" s="247" t="s">
        <v>925</v>
      </c>
      <c r="D845" s="247" t="s">
        <v>1095</v>
      </c>
      <c r="E845" s="247" t="s">
        <v>927</v>
      </c>
      <c r="F845" s="247" t="s">
        <v>1892</v>
      </c>
      <c r="G845" s="247" t="s">
        <v>928</v>
      </c>
      <c r="H845" s="247"/>
      <c r="I845" s="247" t="s">
        <v>1893</v>
      </c>
      <c r="J845" s="247">
        <v>8</v>
      </c>
      <c r="K845" s="247">
        <v>8</v>
      </c>
      <c r="L845" s="249" t="s">
        <v>938</v>
      </c>
      <c r="M845" s="249" t="s">
        <v>929</v>
      </c>
      <c r="N845" s="248">
        <v>-2701.71</v>
      </c>
      <c r="O845" s="248">
        <v>-10403.719999999999</v>
      </c>
      <c r="P845" s="247" t="s">
        <v>930</v>
      </c>
      <c r="Q845" s="247" t="s">
        <v>92</v>
      </c>
    </row>
    <row r="846" spans="1:17" x14ac:dyDescent="0.25">
      <c r="A846" s="247" t="s">
        <v>646</v>
      </c>
      <c r="B846" s="247" t="s">
        <v>25</v>
      </c>
      <c r="C846" s="247" t="s">
        <v>925</v>
      </c>
      <c r="D846" s="247" t="s">
        <v>1095</v>
      </c>
      <c r="E846" s="247" t="s">
        <v>927</v>
      </c>
      <c r="F846" s="247" t="s">
        <v>1892</v>
      </c>
      <c r="G846" s="247" t="s">
        <v>928</v>
      </c>
      <c r="H846" s="247"/>
      <c r="I846" s="247" t="s">
        <v>1893</v>
      </c>
      <c r="J846" s="247">
        <v>8</v>
      </c>
      <c r="K846" s="247">
        <v>8</v>
      </c>
      <c r="L846" s="249" t="s">
        <v>939</v>
      </c>
      <c r="M846" s="249" t="s">
        <v>929</v>
      </c>
      <c r="N846" s="248">
        <v>-1485</v>
      </c>
      <c r="O846" s="248">
        <v>-11888.72</v>
      </c>
      <c r="P846" s="247" t="s">
        <v>930</v>
      </c>
      <c r="Q846" s="247" t="s">
        <v>93</v>
      </c>
    </row>
    <row r="847" spans="1:17" x14ac:dyDescent="0.25">
      <c r="A847" s="247" t="s">
        <v>646</v>
      </c>
      <c r="B847" s="247" t="s">
        <v>25</v>
      </c>
      <c r="C847" s="247" t="s">
        <v>925</v>
      </c>
      <c r="D847" s="247" t="s">
        <v>1095</v>
      </c>
      <c r="E847" s="247" t="s">
        <v>927</v>
      </c>
      <c r="F847" s="247" t="s">
        <v>1892</v>
      </c>
      <c r="G847" s="247" t="s">
        <v>928</v>
      </c>
      <c r="H847" s="247"/>
      <c r="I847" s="247" t="s">
        <v>1893</v>
      </c>
      <c r="J847" s="247">
        <v>8</v>
      </c>
      <c r="K847" s="247">
        <v>8</v>
      </c>
      <c r="L847" s="249" t="s">
        <v>940</v>
      </c>
      <c r="M847" s="249" t="s">
        <v>929</v>
      </c>
      <c r="N847" s="248">
        <v>-2307.5</v>
      </c>
      <c r="O847" s="248">
        <v>-14196.22</v>
      </c>
      <c r="P847" s="247" t="s">
        <v>930</v>
      </c>
      <c r="Q847" s="247" t="s">
        <v>94</v>
      </c>
    </row>
    <row r="848" spans="1:17" x14ac:dyDescent="0.25">
      <c r="A848" s="247" t="s">
        <v>646</v>
      </c>
      <c r="B848" s="247" t="s">
        <v>25</v>
      </c>
      <c r="C848" s="247" t="s">
        <v>925</v>
      </c>
      <c r="D848" s="247" t="s">
        <v>1095</v>
      </c>
      <c r="E848" s="247" t="s">
        <v>927</v>
      </c>
      <c r="F848" s="247" t="s">
        <v>1892</v>
      </c>
      <c r="G848" s="247" t="s">
        <v>928</v>
      </c>
      <c r="H848" s="247"/>
      <c r="I848" s="247" t="s">
        <v>1893</v>
      </c>
      <c r="J848" s="247">
        <v>8</v>
      </c>
      <c r="K848" s="247">
        <v>8</v>
      </c>
      <c r="L848" s="249" t="s">
        <v>642</v>
      </c>
      <c r="M848" s="249" t="s">
        <v>929</v>
      </c>
      <c r="N848" s="248">
        <v>-2473.38</v>
      </c>
      <c r="O848" s="248">
        <v>-16669.599999999999</v>
      </c>
      <c r="P848" s="247" t="s">
        <v>930</v>
      </c>
      <c r="Q848" s="247" t="s">
        <v>95</v>
      </c>
    </row>
    <row r="849" spans="1:17" x14ac:dyDescent="0.25">
      <c r="A849" s="247" t="s">
        <v>646</v>
      </c>
      <c r="B849" s="247" t="s">
        <v>25</v>
      </c>
      <c r="C849" s="247" t="s">
        <v>993</v>
      </c>
      <c r="D849" s="247" t="s">
        <v>926</v>
      </c>
      <c r="E849" s="247" t="s">
        <v>946</v>
      </c>
      <c r="F849" s="247" t="s">
        <v>1894</v>
      </c>
      <c r="G849" s="247" t="s">
        <v>1194</v>
      </c>
      <c r="H849" s="247"/>
      <c r="I849" s="247" t="s">
        <v>1895</v>
      </c>
      <c r="J849" s="247">
        <v>3</v>
      </c>
      <c r="K849" s="247">
        <v>3</v>
      </c>
      <c r="L849" s="249" t="s">
        <v>646</v>
      </c>
      <c r="M849" s="249" t="s">
        <v>933</v>
      </c>
      <c r="N849" s="248">
        <v>0</v>
      </c>
      <c r="O849" s="248">
        <v>-640568.81000000006</v>
      </c>
      <c r="P849" s="247" t="s">
        <v>1195</v>
      </c>
      <c r="Q849" s="247" t="s">
        <v>84</v>
      </c>
    </row>
    <row r="850" spans="1:17" x14ac:dyDescent="0.25">
      <c r="A850" s="247" t="s">
        <v>646</v>
      </c>
      <c r="B850" s="247" t="s">
        <v>25</v>
      </c>
      <c r="C850" s="247" t="s">
        <v>993</v>
      </c>
      <c r="D850" s="247" t="s">
        <v>926</v>
      </c>
      <c r="E850" s="247" t="s">
        <v>946</v>
      </c>
      <c r="F850" s="247" t="s">
        <v>1894</v>
      </c>
      <c r="G850" s="247" t="s">
        <v>1194</v>
      </c>
      <c r="H850" s="247"/>
      <c r="I850" s="247" t="s">
        <v>1895</v>
      </c>
      <c r="J850" s="247">
        <v>3</v>
      </c>
      <c r="K850" s="247">
        <v>3</v>
      </c>
      <c r="L850" s="249" t="s">
        <v>650</v>
      </c>
      <c r="M850" s="249" t="s">
        <v>933</v>
      </c>
      <c r="N850" s="248">
        <v>0</v>
      </c>
      <c r="O850" s="248">
        <v>-640568.81000000006</v>
      </c>
      <c r="P850" s="247" t="s">
        <v>1195</v>
      </c>
      <c r="Q850" s="247" t="s">
        <v>85</v>
      </c>
    </row>
    <row r="851" spans="1:17" x14ac:dyDescent="0.25">
      <c r="A851" s="247" t="s">
        <v>646</v>
      </c>
      <c r="B851" s="247" t="s">
        <v>25</v>
      </c>
      <c r="C851" s="247" t="s">
        <v>993</v>
      </c>
      <c r="D851" s="247" t="s">
        <v>926</v>
      </c>
      <c r="E851" s="247" t="s">
        <v>946</v>
      </c>
      <c r="F851" s="247" t="s">
        <v>1894</v>
      </c>
      <c r="G851" s="247" t="s">
        <v>1194</v>
      </c>
      <c r="H851" s="247"/>
      <c r="I851" s="247" t="s">
        <v>1895</v>
      </c>
      <c r="J851" s="247">
        <v>3</v>
      </c>
      <c r="K851" s="247">
        <v>3</v>
      </c>
      <c r="L851" s="249" t="s">
        <v>652</v>
      </c>
      <c r="M851" s="249" t="s">
        <v>933</v>
      </c>
      <c r="N851" s="248">
        <v>0</v>
      </c>
      <c r="O851" s="248">
        <v>-640568.81000000006</v>
      </c>
      <c r="P851" s="247" t="s">
        <v>1195</v>
      </c>
      <c r="Q851" s="247" t="s">
        <v>86</v>
      </c>
    </row>
    <row r="852" spans="1:17" x14ac:dyDescent="0.25">
      <c r="A852" s="247" t="s">
        <v>646</v>
      </c>
      <c r="B852" s="247" t="s">
        <v>25</v>
      </c>
      <c r="C852" s="247" t="s">
        <v>993</v>
      </c>
      <c r="D852" s="247" t="s">
        <v>926</v>
      </c>
      <c r="E852" s="247" t="s">
        <v>1022</v>
      </c>
      <c r="F852" s="247" t="s">
        <v>1896</v>
      </c>
      <c r="G852" s="247" t="s">
        <v>1196</v>
      </c>
      <c r="H852" s="247"/>
      <c r="I852" s="247" t="s">
        <v>1897</v>
      </c>
      <c r="J852" s="247">
        <v>3</v>
      </c>
      <c r="K852" s="247">
        <v>3</v>
      </c>
      <c r="L852" s="249" t="s">
        <v>646</v>
      </c>
      <c r="M852" s="249" t="s">
        <v>933</v>
      </c>
      <c r="N852" s="248">
        <v>-23155.86</v>
      </c>
      <c r="O852" s="248">
        <v>-39488.660000000003</v>
      </c>
      <c r="P852" s="247" t="s">
        <v>1197</v>
      </c>
      <c r="Q852" s="247" t="s">
        <v>84</v>
      </c>
    </row>
    <row r="853" spans="1:17" x14ac:dyDescent="0.25">
      <c r="A853" s="247" t="s">
        <v>646</v>
      </c>
      <c r="B853" s="247" t="s">
        <v>25</v>
      </c>
      <c r="C853" s="247" t="s">
        <v>993</v>
      </c>
      <c r="D853" s="247" t="s">
        <v>926</v>
      </c>
      <c r="E853" s="247" t="s">
        <v>1022</v>
      </c>
      <c r="F853" s="247" t="s">
        <v>1896</v>
      </c>
      <c r="G853" s="247" t="s">
        <v>1196</v>
      </c>
      <c r="H853" s="247"/>
      <c r="I853" s="247" t="s">
        <v>1897</v>
      </c>
      <c r="J853" s="247">
        <v>3</v>
      </c>
      <c r="K853" s="247">
        <v>3</v>
      </c>
      <c r="L853" s="249" t="s">
        <v>650</v>
      </c>
      <c r="M853" s="249" t="s">
        <v>933</v>
      </c>
      <c r="N853" s="248">
        <v>-26565.16</v>
      </c>
      <c r="O853" s="248">
        <v>-66053.820000000007</v>
      </c>
      <c r="P853" s="247" t="s">
        <v>1197</v>
      </c>
      <c r="Q853" s="247" t="s">
        <v>85</v>
      </c>
    </row>
    <row r="854" spans="1:17" x14ac:dyDescent="0.25">
      <c r="A854" s="247" t="s">
        <v>646</v>
      </c>
      <c r="B854" s="247" t="s">
        <v>25</v>
      </c>
      <c r="C854" s="247" t="s">
        <v>993</v>
      </c>
      <c r="D854" s="247" t="s">
        <v>926</v>
      </c>
      <c r="E854" s="247" t="s">
        <v>1022</v>
      </c>
      <c r="F854" s="247" t="s">
        <v>1896</v>
      </c>
      <c r="G854" s="247" t="s">
        <v>1196</v>
      </c>
      <c r="H854" s="247"/>
      <c r="I854" s="247" t="s">
        <v>1897</v>
      </c>
      <c r="J854" s="247">
        <v>3</v>
      </c>
      <c r="K854" s="247">
        <v>3</v>
      </c>
      <c r="L854" s="249" t="s">
        <v>652</v>
      </c>
      <c r="M854" s="249" t="s">
        <v>933</v>
      </c>
      <c r="N854" s="248">
        <v>-16169.01</v>
      </c>
      <c r="O854" s="248">
        <v>-82222.83</v>
      </c>
      <c r="P854" s="247" t="s">
        <v>1197</v>
      </c>
      <c r="Q854" s="247" t="s">
        <v>86</v>
      </c>
    </row>
    <row r="855" spans="1:17" x14ac:dyDescent="0.25">
      <c r="A855" s="247" t="s">
        <v>646</v>
      </c>
      <c r="B855" s="247" t="s">
        <v>25</v>
      </c>
      <c r="C855" s="247" t="s">
        <v>993</v>
      </c>
      <c r="D855" s="247" t="s">
        <v>926</v>
      </c>
      <c r="E855" s="247" t="s">
        <v>1022</v>
      </c>
      <c r="F855" s="247" t="s">
        <v>1896</v>
      </c>
      <c r="G855" s="247" t="s">
        <v>1196</v>
      </c>
      <c r="H855" s="247"/>
      <c r="I855" s="247" t="s">
        <v>1897</v>
      </c>
      <c r="J855" s="247">
        <v>3</v>
      </c>
      <c r="K855" s="247">
        <v>3</v>
      </c>
      <c r="L855" s="249" t="s">
        <v>789</v>
      </c>
      <c r="M855" s="249" t="s">
        <v>929</v>
      </c>
      <c r="N855" s="248">
        <v>-15272.86</v>
      </c>
      <c r="O855" s="248">
        <v>-15272.86</v>
      </c>
      <c r="P855" s="247" t="s">
        <v>1197</v>
      </c>
      <c r="Q855" s="247" t="s">
        <v>87</v>
      </c>
    </row>
    <row r="856" spans="1:17" x14ac:dyDescent="0.25">
      <c r="A856" s="247" t="s">
        <v>646</v>
      </c>
      <c r="B856" s="247" t="s">
        <v>25</v>
      </c>
      <c r="C856" s="247" t="s">
        <v>993</v>
      </c>
      <c r="D856" s="247" t="s">
        <v>926</v>
      </c>
      <c r="E856" s="247" t="s">
        <v>1022</v>
      </c>
      <c r="F856" s="247" t="s">
        <v>1896</v>
      </c>
      <c r="G856" s="247" t="s">
        <v>1196</v>
      </c>
      <c r="H856" s="247"/>
      <c r="I856" s="247" t="s">
        <v>1897</v>
      </c>
      <c r="J856" s="247">
        <v>3</v>
      </c>
      <c r="K856" s="247">
        <v>3</v>
      </c>
      <c r="L856" s="249" t="s">
        <v>791</v>
      </c>
      <c r="M856" s="249" t="s">
        <v>929</v>
      </c>
      <c r="N856" s="248">
        <v>-15885.01</v>
      </c>
      <c r="O856" s="248">
        <v>-31157.87</v>
      </c>
      <c r="P856" s="247" t="s">
        <v>1197</v>
      </c>
      <c r="Q856" s="247" t="s">
        <v>88</v>
      </c>
    </row>
    <row r="857" spans="1:17" x14ac:dyDescent="0.25">
      <c r="A857" s="247" t="s">
        <v>646</v>
      </c>
      <c r="B857" s="247" t="s">
        <v>25</v>
      </c>
      <c r="C857" s="247" t="s">
        <v>993</v>
      </c>
      <c r="D857" s="247" t="s">
        <v>926</v>
      </c>
      <c r="E857" s="247" t="s">
        <v>1022</v>
      </c>
      <c r="F857" s="247" t="s">
        <v>1896</v>
      </c>
      <c r="G857" s="247" t="s">
        <v>1196</v>
      </c>
      <c r="H857" s="247"/>
      <c r="I857" s="247" t="s">
        <v>1897</v>
      </c>
      <c r="J857" s="247">
        <v>3</v>
      </c>
      <c r="K857" s="247">
        <v>3</v>
      </c>
      <c r="L857" s="249" t="s">
        <v>935</v>
      </c>
      <c r="M857" s="249" t="s">
        <v>929</v>
      </c>
      <c r="N857" s="248">
        <v>-23211.68</v>
      </c>
      <c r="O857" s="248">
        <v>-54369.55</v>
      </c>
      <c r="P857" s="247" t="s">
        <v>1197</v>
      </c>
      <c r="Q857" s="247" t="s">
        <v>89</v>
      </c>
    </row>
    <row r="858" spans="1:17" x14ac:dyDescent="0.25">
      <c r="A858" s="247" t="s">
        <v>646</v>
      </c>
      <c r="B858" s="247" t="s">
        <v>25</v>
      </c>
      <c r="C858" s="247" t="s">
        <v>993</v>
      </c>
      <c r="D858" s="247" t="s">
        <v>926</v>
      </c>
      <c r="E858" s="247" t="s">
        <v>1022</v>
      </c>
      <c r="F858" s="247" t="s">
        <v>1896</v>
      </c>
      <c r="G858" s="247" t="s">
        <v>1196</v>
      </c>
      <c r="H858" s="247"/>
      <c r="I858" s="247" t="s">
        <v>1897</v>
      </c>
      <c r="J858" s="247">
        <v>3</v>
      </c>
      <c r="K858" s="247">
        <v>3</v>
      </c>
      <c r="L858" s="249" t="s">
        <v>936</v>
      </c>
      <c r="M858" s="249" t="s">
        <v>929</v>
      </c>
      <c r="N858" s="248">
        <v>-21706.98</v>
      </c>
      <c r="O858" s="248">
        <v>-76076.53</v>
      </c>
      <c r="P858" s="247" t="s">
        <v>1197</v>
      </c>
      <c r="Q858" s="247" t="s">
        <v>90</v>
      </c>
    </row>
    <row r="859" spans="1:17" x14ac:dyDescent="0.25">
      <c r="A859" s="247" t="s">
        <v>646</v>
      </c>
      <c r="B859" s="247" t="s">
        <v>25</v>
      </c>
      <c r="C859" s="247" t="s">
        <v>993</v>
      </c>
      <c r="D859" s="247" t="s">
        <v>926</v>
      </c>
      <c r="E859" s="247" t="s">
        <v>1022</v>
      </c>
      <c r="F859" s="247" t="s">
        <v>1896</v>
      </c>
      <c r="G859" s="247" t="s">
        <v>1196</v>
      </c>
      <c r="H859" s="247"/>
      <c r="I859" s="247" t="s">
        <v>1897</v>
      </c>
      <c r="J859" s="247">
        <v>3</v>
      </c>
      <c r="K859" s="247">
        <v>3</v>
      </c>
      <c r="L859" s="249" t="s">
        <v>937</v>
      </c>
      <c r="M859" s="249" t="s">
        <v>929</v>
      </c>
      <c r="N859" s="248">
        <v>-23636.49</v>
      </c>
      <c r="O859" s="248">
        <v>-99713.02</v>
      </c>
      <c r="P859" s="247" t="s">
        <v>1197</v>
      </c>
      <c r="Q859" s="247" t="s">
        <v>91</v>
      </c>
    </row>
    <row r="860" spans="1:17" x14ac:dyDescent="0.25">
      <c r="A860" s="247" t="s">
        <v>646</v>
      </c>
      <c r="B860" s="247" t="s">
        <v>25</v>
      </c>
      <c r="C860" s="247" t="s">
        <v>993</v>
      </c>
      <c r="D860" s="247" t="s">
        <v>926</v>
      </c>
      <c r="E860" s="247" t="s">
        <v>1022</v>
      </c>
      <c r="F860" s="247" t="s">
        <v>1896</v>
      </c>
      <c r="G860" s="247" t="s">
        <v>1196</v>
      </c>
      <c r="H860" s="247"/>
      <c r="I860" s="247" t="s">
        <v>1897</v>
      </c>
      <c r="J860" s="247">
        <v>3</v>
      </c>
      <c r="K860" s="247">
        <v>3</v>
      </c>
      <c r="L860" s="249" t="s">
        <v>938</v>
      </c>
      <c r="M860" s="249" t="s">
        <v>929</v>
      </c>
      <c r="N860" s="248">
        <v>-22802.22</v>
      </c>
      <c r="O860" s="248">
        <v>-122515.24</v>
      </c>
      <c r="P860" s="247" t="s">
        <v>1197</v>
      </c>
      <c r="Q860" s="247" t="s">
        <v>92</v>
      </c>
    </row>
    <row r="861" spans="1:17" x14ac:dyDescent="0.25">
      <c r="A861" s="247" t="s">
        <v>646</v>
      </c>
      <c r="B861" s="247" t="s">
        <v>25</v>
      </c>
      <c r="C861" s="247" t="s">
        <v>993</v>
      </c>
      <c r="D861" s="247" t="s">
        <v>926</v>
      </c>
      <c r="E861" s="247" t="s">
        <v>1022</v>
      </c>
      <c r="F861" s="247" t="s">
        <v>1896</v>
      </c>
      <c r="G861" s="247" t="s">
        <v>1196</v>
      </c>
      <c r="H861" s="247"/>
      <c r="I861" s="247" t="s">
        <v>1897</v>
      </c>
      <c r="J861" s="247">
        <v>3</v>
      </c>
      <c r="K861" s="247">
        <v>3</v>
      </c>
      <c r="L861" s="249" t="s">
        <v>939</v>
      </c>
      <c r="M861" s="249" t="s">
        <v>929</v>
      </c>
      <c r="N861" s="248">
        <v>-14242.66</v>
      </c>
      <c r="O861" s="248">
        <v>-136757.9</v>
      </c>
      <c r="P861" s="247" t="s">
        <v>1197</v>
      </c>
      <c r="Q861" s="247" t="s">
        <v>93</v>
      </c>
    </row>
    <row r="862" spans="1:17" x14ac:dyDescent="0.25">
      <c r="A862" s="247" t="s">
        <v>646</v>
      </c>
      <c r="B862" s="247" t="s">
        <v>25</v>
      </c>
      <c r="C862" s="247" t="s">
        <v>993</v>
      </c>
      <c r="D862" s="247" t="s">
        <v>926</v>
      </c>
      <c r="E862" s="247" t="s">
        <v>1022</v>
      </c>
      <c r="F862" s="247" t="s">
        <v>1896</v>
      </c>
      <c r="G862" s="247" t="s">
        <v>1196</v>
      </c>
      <c r="H862" s="247"/>
      <c r="I862" s="247" t="s">
        <v>1897</v>
      </c>
      <c r="J862" s="247">
        <v>3</v>
      </c>
      <c r="K862" s="247">
        <v>3</v>
      </c>
      <c r="L862" s="249" t="s">
        <v>940</v>
      </c>
      <c r="M862" s="249" t="s">
        <v>929</v>
      </c>
      <c r="N862" s="248">
        <v>-20282.16</v>
      </c>
      <c r="O862" s="248">
        <v>-157040.06</v>
      </c>
      <c r="P862" s="247" t="s">
        <v>1197</v>
      </c>
      <c r="Q862" s="247" t="s">
        <v>94</v>
      </c>
    </row>
    <row r="863" spans="1:17" x14ac:dyDescent="0.25">
      <c r="A863" s="247" t="s">
        <v>646</v>
      </c>
      <c r="B863" s="247" t="s">
        <v>25</v>
      </c>
      <c r="C863" s="247" t="s">
        <v>993</v>
      </c>
      <c r="D863" s="247" t="s">
        <v>926</v>
      </c>
      <c r="E863" s="247" t="s">
        <v>1022</v>
      </c>
      <c r="F863" s="247" t="s">
        <v>1896</v>
      </c>
      <c r="G863" s="247" t="s">
        <v>1196</v>
      </c>
      <c r="H863" s="247"/>
      <c r="I863" s="247" t="s">
        <v>1897</v>
      </c>
      <c r="J863" s="247">
        <v>3</v>
      </c>
      <c r="K863" s="247">
        <v>3</v>
      </c>
      <c r="L863" s="249" t="s">
        <v>642</v>
      </c>
      <c r="M863" s="249" t="s">
        <v>929</v>
      </c>
      <c r="N863" s="248">
        <v>-19890.77</v>
      </c>
      <c r="O863" s="248">
        <v>-176930.83</v>
      </c>
      <c r="P863" s="247" t="s">
        <v>1197</v>
      </c>
      <c r="Q863" s="247" t="s">
        <v>95</v>
      </c>
    </row>
    <row r="864" spans="1:17" x14ac:dyDescent="0.25">
      <c r="A864" s="247" t="s">
        <v>646</v>
      </c>
      <c r="B864" s="247" t="s">
        <v>25</v>
      </c>
      <c r="C864" s="247" t="s">
        <v>993</v>
      </c>
      <c r="D864" s="247" t="s">
        <v>926</v>
      </c>
      <c r="E864" s="247" t="s">
        <v>1198</v>
      </c>
      <c r="F864" s="247" t="s">
        <v>1898</v>
      </c>
      <c r="G864" s="247" t="s">
        <v>1199</v>
      </c>
      <c r="H864" s="247"/>
      <c r="I864" s="247" t="s">
        <v>1899</v>
      </c>
      <c r="J864" s="247">
        <v>3</v>
      </c>
      <c r="K864" s="247">
        <v>3</v>
      </c>
      <c r="L864" s="249" t="s">
        <v>646</v>
      </c>
      <c r="M864" s="249" t="s">
        <v>933</v>
      </c>
      <c r="N864" s="248">
        <v>-37234.480000000003</v>
      </c>
      <c r="O864" s="248">
        <v>-74130.740000000005</v>
      </c>
      <c r="P864" s="247" t="s">
        <v>1200</v>
      </c>
      <c r="Q864" s="247" t="s">
        <v>84</v>
      </c>
    </row>
    <row r="865" spans="1:17" x14ac:dyDescent="0.25">
      <c r="A865" s="247" t="s">
        <v>646</v>
      </c>
      <c r="B865" s="247" t="s">
        <v>25</v>
      </c>
      <c r="C865" s="247" t="s">
        <v>993</v>
      </c>
      <c r="D865" s="247" t="s">
        <v>926</v>
      </c>
      <c r="E865" s="247" t="s">
        <v>1198</v>
      </c>
      <c r="F865" s="247" t="s">
        <v>1898</v>
      </c>
      <c r="G865" s="247" t="s">
        <v>1199</v>
      </c>
      <c r="H865" s="247"/>
      <c r="I865" s="247" t="s">
        <v>1899</v>
      </c>
      <c r="J865" s="247">
        <v>3</v>
      </c>
      <c r="K865" s="247">
        <v>3</v>
      </c>
      <c r="L865" s="249" t="s">
        <v>650</v>
      </c>
      <c r="M865" s="249" t="s">
        <v>933</v>
      </c>
      <c r="N865" s="248">
        <v>-35339.910000000003</v>
      </c>
      <c r="O865" s="248">
        <v>-109470.65</v>
      </c>
      <c r="P865" s="247" t="s">
        <v>1200</v>
      </c>
      <c r="Q865" s="247" t="s">
        <v>85</v>
      </c>
    </row>
    <row r="866" spans="1:17" x14ac:dyDescent="0.25">
      <c r="A866" s="247" t="s">
        <v>646</v>
      </c>
      <c r="B866" s="247" t="s">
        <v>25</v>
      </c>
      <c r="C866" s="247" t="s">
        <v>993</v>
      </c>
      <c r="D866" s="247" t="s">
        <v>926</v>
      </c>
      <c r="E866" s="247" t="s">
        <v>1198</v>
      </c>
      <c r="F866" s="247" t="s">
        <v>1898</v>
      </c>
      <c r="G866" s="247" t="s">
        <v>1199</v>
      </c>
      <c r="H866" s="247"/>
      <c r="I866" s="247" t="s">
        <v>1899</v>
      </c>
      <c r="J866" s="247">
        <v>3</v>
      </c>
      <c r="K866" s="247">
        <v>3</v>
      </c>
      <c r="L866" s="249" t="s">
        <v>652</v>
      </c>
      <c r="M866" s="249" t="s">
        <v>933</v>
      </c>
      <c r="N866" s="248">
        <v>-35832.959999999999</v>
      </c>
      <c r="O866" s="248">
        <v>-145303.60999999999</v>
      </c>
      <c r="P866" s="247" t="s">
        <v>1200</v>
      </c>
      <c r="Q866" s="247" t="s">
        <v>86</v>
      </c>
    </row>
    <row r="867" spans="1:17" x14ac:dyDescent="0.25">
      <c r="A867" s="247" t="s">
        <v>646</v>
      </c>
      <c r="B867" s="247" t="s">
        <v>25</v>
      </c>
      <c r="C867" s="247" t="s">
        <v>993</v>
      </c>
      <c r="D867" s="247" t="s">
        <v>926</v>
      </c>
      <c r="E867" s="247" t="s">
        <v>1198</v>
      </c>
      <c r="F867" s="247" t="s">
        <v>1898</v>
      </c>
      <c r="G867" s="247" t="s">
        <v>1199</v>
      </c>
      <c r="H867" s="247"/>
      <c r="I867" s="247" t="s">
        <v>1899</v>
      </c>
      <c r="J867" s="247">
        <v>3</v>
      </c>
      <c r="K867" s="247">
        <v>3</v>
      </c>
      <c r="L867" s="249" t="s">
        <v>789</v>
      </c>
      <c r="M867" s="249" t="s">
        <v>929</v>
      </c>
      <c r="N867" s="248">
        <v>-30590.91</v>
      </c>
      <c r="O867" s="248">
        <v>-30590.91</v>
      </c>
      <c r="P867" s="247" t="s">
        <v>1200</v>
      </c>
      <c r="Q867" s="247" t="s">
        <v>87</v>
      </c>
    </row>
    <row r="868" spans="1:17" x14ac:dyDescent="0.25">
      <c r="A868" s="247" t="s">
        <v>646</v>
      </c>
      <c r="B868" s="247" t="s">
        <v>25</v>
      </c>
      <c r="C868" s="247" t="s">
        <v>993</v>
      </c>
      <c r="D868" s="247" t="s">
        <v>926</v>
      </c>
      <c r="E868" s="247" t="s">
        <v>1198</v>
      </c>
      <c r="F868" s="247" t="s">
        <v>1898</v>
      </c>
      <c r="G868" s="247" t="s">
        <v>1199</v>
      </c>
      <c r="H868" s="247"/>
      <c r="I868" s="247" t="s">
        <v>1899</v>
      </c>
      <c r="J868" s="247">
        <v>3</v>
      </c>
      <c r="K868" s="247">
        <v>3</v>
      </c>
      <c r="L868" s="249" t="s">
        <v>791</v>
      </c>
      <c r="M868" s="249" t="s">
        <v>929</v>
      </c>
      <c r="N868" s="248">
        <v>-33198.160000000003</v>
      </c>
      <c r="O868" s="248">
        <v>-63789.07</v>
      </c>
      <c r="P868" s="247" t="s">
        <v>1200</v>
      </c>
      <c r="Q868" s="247" t="s">
        <v>88</v>
      </c>
    </row>
    <row r="869" spans="1:17" x14ac:dyDescent="0.25">
      <c r="A869" s="247" t="s">
        <v>646</v>
      </c>
      <c r="B869" s="247" t="s">
        <v>25</v>
      </c>
      <c r="C869" s="247" t="s">
        <v>993</v>
      </c>
      <c r="D869" s="247" t="s">
        <v>926</v>
      </c>
      <c r="E869" s="247" t="s">
        <v>1198</v>
      </c>
      <c r="F869" s="247" t="s">
        <v>1898</v>
      </c>
      <c r="G869" s="247" t="s">
        <v>1199</v>
      </c>
      <c r="H869" s="247"/>
      <c r="I869" s="247" t="s">
        <v>1899</v>
      </c>
      <c r="J869" s="247">
        <v>3</v>
      </c>
      <c r="K869" s="247">
        <v>3</v>
      </c>
      <c r="L869" s="249" t="s">
        <v>935</v>
      </c>
      <c r="M869" s="249" t="s">
        <v>929</v>
      </c>
      <c r="N869" s="248">
        <v>-34165.85</v>
      </c>
      <c r="O869" s="248">
        <v>-97954.92</v>
      </c>
      <c r="P869" s="247" t="s">
        <v>1200</v>
      </c>
      <c r="Q869" s="247" t="s">
        <v>89</v>
      </c>
    </row>
    <row r="870" spans="1:17" x14ac:dyDescent="0.25">
      <c r="A870" s="247" t="s">
        <v>646</v>
      </c>
      <c r="B870" s="247" t="s">
        <v>25</v>
      </c>
      <c r="C870" s="247" t="s">
        <v>993</v>
      </c>
      <c r="D870" s="247" t="s">
        <v>926</v>
      </c>
      <c r="E870" s="247" t="s">
        <v>1198</v>
      </c>
      <c r="F870" s="247" t="s">
        <v>1898</v>
      </c>
      <c r="G870" s="247" t="s">
        <v>1199</v>
      </c>
      <c r="H870" s="247"/>
      <c r="I870" s="247" t="s">
        <v>1899</v>
      </c>
      <c r="J870" s="247">
        <v>3</v>
      </c>
      <c r="K870" s="247">
        <v>3</v>
      </c>
      <c r="L870" s="249" t="s">
        <v>936</v>
      </c>
      <c r="M870" s="249" t="s">
        <v>929</v>
      </c>
      <c r="N870" s="248">
        <v>-28818.91</v>
      </c>
      <c r="O870" s="248">
        <v>-126773.83</v>
      </c>
      <c r="P870" s="247" t="s">
        <v>1200</v>
      </c>
      <c r="Q870" s="247" t="s">
        <v>90</v>
      </c>
    </row>
    <row r="871" spans="1:17" x14ac:dyDescent="0.25">
      <c r="A871" s="247" t="s">
        <v>646</v>
      </c>
      <c r="B871" s="247" t="s">
        <v>25</v>
      </c>
      <c r="C871" s="247" t="s">
        <v>993</v>
      </c>
      <c r="D871" s="247" t="s">
        <v>926</v>
      </c>
      <c r="E871" s="247" t="s">
        <v>1198</v>
      </c>
      <c r="F871" s="247" t="s">
        <v>1898</v>
      </c>
      <c r="G871" s="247" t="s">
        <v>1199</v>
      </c>
      <c r="H871" s="247"/>
      <c r="I871" s="247" t="s">
        <v>1899</v>
      </c>
      <c r="J871" s="247">
        <v>3</v>
      </c>
      <c r="K871" s="247">
        <v>3</v>
      </c>
      <c r="L871" s="249" t="s">
        <v>937</v>
      </c>
      <c r="M871" s="249" t="s">
        <v>929</v>
      </c>
      <c r="N871" s="248">
        <v>-30103.89</v>
      </c>
      <c r="O871" s="248">
        <v>-156877.72</v>
      </c>
      <c r="P871" s="247" t="s">
        <v>1200</v>
      </c>
      <c r="Q871" s="247" t="s">
        <v>91</v>
      </c>
    </row>
    <row r="872" spans="1:17" x14ac:dyDescent="0.25">
      <c r="A872" s="247" t="s">
        <v>646</v>
      </c>
      <c r="B872" s="247" t="s">
        <v>25</v>
      </c>
      <c r="C872" s="247" t="s">
        <v>993</v>
      </c>
      <c r="D872" s="247" t="s">
        <v>926</v>
      </c>
      <c r="E872" s="247" t="s">
        <v>1198</v>
      </c>
      <c r="F872" s="247" t="s">
        <v>1898</v>
      </c>
      <c r="G872" s="247" t="s">
        <v>1199</v>
      </c>
      <c r="H872" s="247"/>
      <c r="I872" s="247" t="s">
        <v>1899</v>
      </c>
      <c r="J872" s="247">
        <v>3</v>
      </c>
      <c r="K872" s="247">
        <v>3</v>
      </c>
      <c r="L872" s="249" t="s">
        <v>938</v>
      </c>
      <c r="M872" s="249" t="s">
        <v>929</v>
      </c>
      <c r="N872" s="248">
        <v>-33569.97</v>
      </c>
      <c r="O872" s="248">
        <v>-190447.69</v>
      </c>
      <c r="P872" s="247" t="s">
        <v>1200</v>
      </c>
      <c r="Q872" s="247" t="s">
        <v>92</v>
      </c>
    </row>
    <row r="873" spans="1:17" x14ac:dyDescent="0.25">
      <c r="A873" s="247" t="s">
        <v>646</v>
      </c>
      <c r="B873" s="247" t="s">
        <v>25</v>
      </c>
      <c r="C873" s="247" t="s">
        <v>993</v>
      </c>
      <c r="D873" s="247" t="s">
        <v>926</v>
      </c>
      <c r="E873" s="247" t="s">
        <v>1198</v>
      </c>
      <c r="F873" s="247" t="s">
        <v>1898</v>
      </c>
      <c r="G873" s="247" t="s">
        <v>1199</v>
      </c>
      <c r="H873" s="247"/>
      <c r="I873" s="247" t="s">
        <v>1899</v>
      </c>
      <c r="J873" s="247">
        <v>3</v>
      </c>
      <c r="K873" s="247">
        <v>3</v>
      </c>
      <c r="L873" s="249" t="s">
        <v>939</v>
      </c>
      <c r="M873" s="249" t="s">
        <v>929</v>
      </c>
      <c r="N873" s="248">
        <v>-29125.98</v>
      </c>
      <c r="O873" s="248">
        <v>-219573.67</v>
      </c>
      <c r="P873" s="247" t="s">
        <v>1200</v>
      </c>
      <c r="Q873" s="247" t="s">
        <v>93</v>
      </c>
    </row>
    <row r="874" spans="1:17" x14ac:dyDescent="0.25">
      <c r="A874" s="247" t="s">
        <v>646</v>
      </c>
      <c r="B874" s="247" t="s">
        <v>25</v>
      </c>
      <c r="C874" s="247" t="s">
        <v>993</v>
      </c>
      <c r="D874" s="247" t="s">
        <v>926</v>
      </c>
      <c r="E874" s="247" t="s">
        <v>1198</v>
      </c>
      <c r="F874" s="247" t="s">
        <v>1898</v>
      </c>
      <c r="G874" s="247" t="s">
        <v>1199</v>
      </c>
      <c r="H874" s="247"/>
      <c r="I874" s="247" t="s">
        <v>1899</v>
      </c>
      <c r="J874" s="247">
        <v>3</v>
      </c>
      <c r="K874" s="247">
        <v>3</v>
      </c>
      <c r="L874" s="249" t="s">
        <v>940</v>
      </c>
      <c r="M874" s="249" t="s">
        <v>929</v>
      </c>
      <c r="N874" s="248">
        <v>-37380.230000000003</v>
      </c>
      <c r="O874" s="248">
        <v>-256953.9</v>
      </c>
      <c r="P874" s="247" t="s">
        <v>1200</v>
      </c>
      <c r="Q874" s="247" t="s">
        <v>94</v>
      </c>
    </row>
    <row r="875" spans="1:17" x14ac:dyDescent="0.25">
      <c r="A875" s="247" t="s">
        <v>646</v>
      </c>
      <c r="B875" s="247" t="s">
        <v>25</v>
      </c>
      <c r="C875" s="247" t="s">
        <v>993</v>
      </c>
      <c r="D875" s="247" t="s">
        <v>926</v>
      </c>
      <c r="E875" s="247" t="s">
        <v>1198</v>
      </c>
      <c r="F875" s="247" t="s">
        <v>1898</v>
      </c>
      <c r="G875" s="247" t="s">
        <v>1199</v>
      </c>
      <c r="H875" s="247"/>
      <c r="I875" s="247" t="s">
        <v>1899</v>
      </c>
      <c r="J875" s="247">
        <v>3</v>
      </c>
      <c r="K875" s="247">
        <v>3</v>
      </c>
      <c r="L875" s="249" t="s">
        <v>642</v>
      </c>
      <c r="M875" s="249" t="s">
        <v>929</v>
      </c>
      <c r="N875" s="248">
        <v>-36679.96</v>
      </c>
      <c r="O875" s="248">
        <v>-293633.86</v>
      </c>
      <c r="P875" s="247" t="s">
        <v>1200</v>
      </c>
      <c r="Q875" s="247" t="s">
        <v>95</v>
      </c>
    </row>
    <row r="876" spans="1:17" x14ac:dyDescent="0.25">
      <c r="A876" s="247" t="s">
        <v>646</v>
      </c>
      <c r="B876" s="247" t="s">
        <v>25</v>
      </c>
      <c r="C876" s="247" t="s">
        <v>993</v>
      </c>
      <c r="D876" s="247" t="s">
        <v>926</v>
      </c>
      <c r="E876" s="247" t="s">
        <v>1201</v>
      </c>
      <c r="F876" s="247" t="s">
        <v>1900</v>
      </c>
      <c r="G876" s="247" t="s">
        <v>1202</v>
      </c>
      <c r="H876" s="247"/>
      <c r="I876" s="247" t="s">
        <v>1901</v>
      </c>
      <c r="J876" s="247">
        <v>16</v>
      </c>
      <c r="K876" s="247">
        <v>16</v>
      </c>
      <c r="L876" s="249" t="s">
        <v>646</v>
      </c>
      <c r="M876" s="249" t="s">
        <v>933</v>
      </c>
      <c r="N876" s="248">
        <v>-1520</v>
      </c>
      <c r="O876" s="248">
        <v>-2280</v>
      </c>
      <c r="P876" s="247" t="s">
        <v>1203</v>
      </c>
      <c r="Q876" s="247" t="s">
        <v>84</v>
      </c>
    </row>
    <row r="877" spans="1:17" x14ac:dyDescent="0.25">
      <c r="A877" s="247" t="s">
        <v>646</v>
      </c>
      <c r="B877" s="247" t="s">
        <v>25</v>
      </c>
      <c r="C877" s="247" t="s">
        <v>993</v>
      </c>
      <c r="D877" s="247" t="s">
        <v>926</v>
      </c>
      <c r="E877" s="247" t="s">
        <v>1201</v>
      </c>
      <c r="F877" s="247" t="s">
        <v>1900</v>
      </c>
      <c r="G877" s="247" t="s">
        <v>1202</v>
      </c>
      <c r="H877" s="247"/>
      <c r="I877" s="247" t="s">
        <v>1901</v>
      </c>
      <c r="J877" s="247">
        <v>16</v>
      </c>
      <c r="K877" s="247">
        <v>16</v>
      </c>
      <c r="L877" s="249" t="s">
        <v>650</v>
      </c>
      <c r="M877" s="249" t="s">
        <v>933</v>
      </c>
      <c r="N877" s="248">
        <v>-760</v>
      </c>
      <c r="O877" s="248">
        <v>-3040</v>
      </c>
      <c r="P877" s="247" t="s">
        <v>1203</v>
      </c>
      <c r="Q877" s="247" t="s">
        <v>85</v>
      </c>
    </row>
    <row r="878" spans="1:17" x14ac:dyDescent="0.25">
      <c r="A878" s="247" t="s">
        <v>646</v>
      </c>
      <c r="B878" s="247" t="s">
        <v>25</v>
      </c>
      <c r="C878" s="247" t="s">
        <v>993</v>
      </c>
      <c r="D878" s="247" t="s">
        <v>926</v>
      </c>
      <c r="E878" s="247" t="s">
        <v>1201</v>
      </c>
      <c r="F878" s="247" t="s">
        <v>1900</v>
      </c>
      <c r="G878" s="247" t="s">
        <v>1202</v>
      </c>
      <c r="H878" s="247"/>
      <c r="I878" s="247" t="s">
        <v>1901</v>
      </c>
      <c r="J878" s="247">
        <v>16</v>
      </c>
      <c r="K878" s="247">
        <v>16</v>
      </c>
      <c r="L878" s="249" t="s">
        <v>652</v>
      </c>
      <c r="M878" s="249" t="s">
        <v>933</v>
      </c>
      <c r="N878" s="248">
        <v>-1320</v>
      </c>
      <c r="O878" s="248">
        <v>-4360</v>
      </c>
      <c r="P878" s="247" t="s">
        <v>1203</v>
      </c>
      <c r="Q878" s="247" t="s">
        <v>86</v>
      </c>
    </row>
    <row r="879" spans="1:17" x14ac:dyDescent="0.25">
      <c r="A879" s="247" t="s">
        <v>646</v>
      </c>
      <c r="B879" s="247" t="s">
        <v>25</v>
      </c>
      <c r="C879" s="247" t="s">
        <v>993</v>
      </c>
      <c r="D879" s="247" t="s">
        <v>926</v>
      </c>
      <c r="E879" s="247" t="s">
        <v>1201</v>
      </c>
      <c r="F879" s="247" t="s">
        <v>1900</v>
      </c>
      <c r="G879" s="247" t="s">
        <v>1202</v>
      </c>
      <c r="H879" s="247"/>
      <c r="I879" s="247" t="s">
        <v>1901</v>
      </c>
      <c r="J879" s="247">
        <v>16</v>
      </c>
      <c r="K879" s="247">
        <v>16</v>
      </c>
      <c r="L879" s="249" t="s">
        <v>789</v>
      </c>
      <c r="M879" s="249" t="s">
        <v>929</v>
      </c>
      <c r="N879" s="248">
        <v>-960</v>
      </c>
      <c r="O879" s="248">
        <v>-960</v>
      </c>
      <c r="P879" s="247" t="s">
        <v>1203</v>
      </c>
      <c r="Q879" s="247" t="s">
        <v>87</v>
      </c>
    </row>
    <row r="880" spans="1:17" x14ac:dyDescent="0.25">
      <c r="A880" s="247" t="s">
        <v>646</v>
      </c>
      <c r="B880" s="247" t="s">
        <v>25</v>
      </c>
      <c r="C880" s="247" t="s">
        <v>993</v>
      </c>
      <c r="D880" s="247" t="s">
        <v>926</v>
      </c>
      <c r="E880" s="247" t="s">
        <v>1201</v>
      </c>
      <c r="F880" s="247" t="s">
        <v>1900</v>
      </c>
      <c r="G880" s="247" t="s">
        <v>1202</v>
      </c>
      <c r="H880" s="247"/>
      <c r="I880" s="247" t="s">
        <v>1901</v>
      </c>
      <c r="J880" s="247">
        <v>16</v>
      </c>
      <c r="K880" s="247">
        <v>16</v>
      </c>
      <c r="L880" s="249" t="s">
        <v>791</v>
      </c>
      <c r="M880" s="249" t="s">
        <v>929</v>
      </c>
      <c r="N880" s="248">
        <v>-760</v>
      </c>
      <c r="O880" s="248">
        <v>-1720</v>
      </c>
      <c r="P880" s="247" t="s">
        <v>1203</v>
      </c>
      <c r="Q880" s="247" t="s">
        <v>88</v>
      </c>
    </row>
    <row r="881" spans="1:17" x14ac:dyDescent="0.25">
      <c r="A881" s="247" t="s">
        <v>646</v>
      </c>
      <c r="B881" s="247" t="s">
        <v>25</v>
      </c>
      <c r="C881" s="247" t="s">
        <v>993</v>
      </c>
      <c r="D881" s="247" t="s">
        <v>926</v>
      </c>
      <c r="E881" s="247" t="s">
        <v>1201</v>
      </c>
      <c r="F881" s="247" t="s">
        <v>1900</v>
      </c>
      <c r="G881" s="247" t="s">
        <v>1202</v>
      </c>
      <c r="H881" s="247"/>
      <c r="I881" s="247" t="s">
        <v>1901</v>
      </c>
      <c r="J881" s="247">
        <v>16</v>
      </c>
      <c r="K881" s="247">
        <v>16</v>
      </c>
      <c r="L881" s="249" t="s">
        <v>935</v>
      </c>
      <c r="M881" s="249" t="s">
        <v>929</v>
      </c>
      <c r="N881" s="248">
        <v>-1520</v>
      </c>
      <c r="O881" s="248">
        <v>-3240</v>
      </c>
      <c r="P881" s="247" t="s">
        <v>1203</v>
      </c>
      <c r="Q881" s="247" t="s">
        <v>89</v>
      </c>
    </row>
    <row r="882" spans="1:17" x14ac:dyDescent="0.25">
      <c r="A882" s="247" t="s">
        <v>646</v>
      </c>
      <c r="B882" s="247" t="s">
        <v>25</v>
      </c>
      <c r="C882" s="247" t="s">
        <v>993</v>
      </c>
      <c r="D882" s="247" t="s">
        <v>926</v>
      </c>
      <c r="E882" s="247" t="s">
        <v>1201</v>
      </c>
      <c r="F882" s="247" t="s">
        <v>1900</v>
      </c>
      <c r="G882" s="247" t="s">
        <v>1202</v>
      </c>
      <c r="H882" s="247"/>
      <c r="I882" s="247" t="s">
        <v>1901</v>
      </c>
      <c r="J882" s="247">
        <v>16</v>
      </c>
      <c r="K882" s="247">
        <v>16</v>
      </c>
      <c r="L882" s="249" t="s">
        <v>936</v>
      </c>
      <c r="M882" s="249" t="s">
        <v>929</v>
      </c>
      <c r="N882" s="248">
        <v>-1040</v>
      </c>
      <c r="O882" s="248">
        <v>-4280</v>
      </c>
      <c r="P882" s="247" t="s">
        <v>1203</v>
      </c>
      <c r="Q882" s="247" t="s">
        <v>90</v>
      </c>
    </row>
    <row r="883" spans="1:17" x14ac:dyDescent="0.25">
      <c r="A883" s="247" t="s">
        <v>646</v>
      </c>
      <c r="B883" s="247" t="s">
        <v>25</v>
      </c>
      <c r="C883" s="247" t="s">
        <v>993</v>
      </c>
      <c r="D883" s="247" t="s">
        <v>926</v>
      </c>
      <c r="E883" s="247" t="s">
        <v>1201</v>
      </c>
      <c r="F883" s="247" t="s">
        <v>1900</v>
      </c>
      <c r="G883" s="247" t="s">
        <v>1202</v>
      </c>
      <c r="H883" s="247"/>
      <c r="I883" s="247" t="s">
        <v>1901</v>
      </c>
      <c r="J883" s="247">
        <v>16</v>
      </c>
      <c r="K883" s="247">
        <v>16</v>
      </c>
      <c r="L883" s="249" t="s">
        <v>937</v>
      </c>
      <c r="M883" s="249" t="s">
        <v>929</v>
      </c>
      <c r="N883" s="248">
        <v>-1240</v>
      </c>
      <c r="O883" s="248">
        <v>-5520</v>
      </c>
      <c r="P883" s="247" t="s">
        <v>1203</v>
      </c>
      <c r="Q883" s="247" t="s">
        <v>91</v>
      </c>
    </row>
    <row r="884" spans="1:17" x14ac:dyDescent="0.25">
      <c r="A884" s="247" t="s">
        <v>646</v>
      </c>
      <c r="B884" s="247" t="s">
        <v>25</v>
      </c>
      <c r="C884" s="247" t="s">
        <v>993</v>
      </c>
      <c r="D884" s="247" t="s">
        <v>926</v>
      </c>
      <c r="E884" s="247" t="s">
        <v>1201</v>
      </c>
      <c r="F884" s="247" t="s">
        <v>1900</v>
      </c>
      <c r="G884" s="247" t="s">
        <v>1202</v>
      </c>
      <c r="H884" s="247"/>
      <c r="I884" s="247" t="s">
        <v>1901</v>
      </c>
      <c r="J884" s="247">
        <v>16</v>
      </c>
      <c r="K884" s="247">
        <v>16</v>
      </c>
      <c r="L884" s="249" t="s">
        <v>938</v>
      </c>
      <c r="M884" s="249" t="s">
        <v>929</v>
      </c>
      <c r="N884" s="248">
        <v>-1240</v>
      </c>
      <c r="O884" s="248">
        <v>-6760</v>
      </c>
      <c r="P884" s="247" t="s">
        <v>1203</v>
      </c>
      <c r="Q884" s="247" t="s">
        <v>92</v>
      </c>
    </row>
    <row r="885" spans="1:17" x14ac:dyDescent="0.25">
      <c r="A885" s="247" t="s">
        <v>646</v>
      </c>
      <c r="B885" s="247" t="s">
        <v>25</v>
      </c>
      <c r="C885" s="247" t="s">
        <v>993</v>
      </c>
      <c r="D885" s="247" t="s">
        <v>926</v>
      </c>
      <c r="E885" s="247" t="s">
        <v>1201</v>
      </c>
      <c r="F885" s="247" t="s">
        <v>1900</v>
      </c>
      <c r="G885" s="247" t="s">
        <v>1202</v>
      </c>
      <c r="H885" s="247"/>
      <c r="I885" s="247" t="s">
        <v>1901</v>
      </c>
      <c r="J885" s="247">
        <v>16</v>
      </c>
      <c r="K885" s="247">
        <v>16</v>
      </c>
      <c r="L885" s="249" t="s">
        <v>939</v>
      </c>
      <c r="M885" s="249" t="s">
        <v>929</v>
      </c>
      <c r="N885" s="248">
        <v>-1720</v>
      </c>
      <c r="O885" s="248">
        <v>-8480</v>
      </c>
      <c r="P885" s="247" t="s">
        <v>1203</v>
      </c>
      <c r="Q885" s="247" t="s">
        <v>93</v>
      </c>
    </row>
    <row r="886" spans="1:17" x14ac:dyDescent="0.25">
      <c r="A886" s="247" t="s">
        <v>646</v>
      </c>
      <c r="B886" s="247" t="s">
        <v>25</v>
      </c>
      <c r="C886" s="247" t="s">
        <v>993</v>
      </c>
      <c r="D886" s="247" t="s">
        <v>926</v>
      </c>
      <c r="E886" s="247" t="s">
        <v>1201</v>
      </c>
      <c r="F886" s="247" t="s">
        <v>1900</v>
      </c>
      <c r="G886" s="247" t="s">
        <v>1202</v>
      </c>
      <c r="H886" s="247"/>
      <c r="I886" s="247" t="s">
        <v>1901</v>
      </c>
      <c r="J886" s="247">
        <v>16</v>
      </c>
      <c r="K886" s="247">
        <v>16</v>
      </c>
      <c r="L886" s="249" t="s">
        <v>940</v>
      </c>
      <c r="M886" s="249" t="s">
        <v>929</v>
      </c>
      <c r="N886" s="248">
        <v>-1360</v>
      </c>
      <c r="O886" s="248">
        <v>-9840</v>
      </c>
      <c r="P886" s="247" t="s">
        <v>1203</v>
      </c>
      <c r="Q886" s="247" t="s">
        <v>94</v>
      </c>
    </row>
    <row r="887" spans="1:17" x14ac:dyDescent="0.25">
      <c r="A887" s="247" t="s">
        <v>646</v>
      </c>
      <c r="B887" s="247" t="s">
        <v>25</v>
      </c>
      <c r="C887" s="247" t="s">
        <v>993</v>
      </c>
      <c r="D887" s="247" t="s">
        <v>926</v>
      </c>
      <c r="E887" s="247" t="s">
        <v>1201</v>
      </c>
      <c r="F887" s="247" t="s">
        <v>1900</v>
      </c>
      <c r="G887" s="247" t="s">
        <v>1202</v>
      </c>
      <c r="H887" s="247"/>
      <c r="I887" s="247" t="s">
        <v>1901</v>
      </c>
      <c r="J887" s="247">
        <v>16</v>
      </c>
      <c r="K887" s="247">
        <v>16</v>
      </c>
      <c r="L887" s="249" t="s">
        <v>642</v>
      </c>
      <c r="M887" s="249" t="s">
        <v>929</v>
      </c>
      <c r="N887" s="248">
        <v>-1560</v>
      </c>
      <c r="O887" s="248">
        <v>-11400</v>
      </c>
      <c r="P887" s="247" t="s">
        <v>1203</v>
      </c>
      <c r="Q887" s="247" t="s">
        <v>95</v>
      </c>
    </row>
    <row r="888" spans="1:17" x14ac:dyDescent="0.25">
      <c r="A888" s="247" t="s">
        <v>646</v>
      </c>
      <c r="B888" s="247" t="s">
        <v>25</v>
      </c>
      <c r="C888" s="247" t="s">
        <v>993</v>
      </c>
      <c r="D888" s="247" t="s">
        <v>926</v>
      </c>
      <c r="E888" s="247" t="s">
        <v>1204</v>
      </c>
      <c r="F888" s="247" t="s">
        <v>1902</v>
      </c>
      <c r="G888" s="247" t="s">
        <v>1205</v>
      </c>
      <c r="H888" s="247"/>
      <c r="I888" s="247" t="s">
        <v>1903</v>
      </c>
      <c r="J888" s="247">
        <v>3</v>
      </c>
      <c r="K888" s="247">
        <v>3</v>
      </c>
      <c r="L888" s="249" t="s">
        <v>646</v>
      </c>
      <c r="M888" s="249" t="s">
        <v>933</v>
      </c>
      <c r="N888" s="248">
        <v>-13963</v>
      </c>
      <c r="O888" s="248">
        <v>-31293</v>
      </c>
      <c r="P888" s="247" t="s">
        <v>1206</v>
      </c>
      <c r="Q888" s="247" t="s">
        <v>84</v>
      </c>
    </row>
    <row r="889" spans="1:17" x14ac:dyDescent="0.25">
      <c r="A889" s="247" t="s">
        <v>646</v>
      </c>
      <c r="B889" s="247" t="s">
        <v>25</v>
      </c>
      <c r="C889" s="247" t="s">
        <v>993</v>
      </c>
      <c r="D889" s="247" t="s">
        <v>926</v>
      </c>
      <c r="E889" s="247" t="s">
        <v>1204</v>
      </c>
      <c r="F889" s="247" t="s">
        <v>1902</v>
      </c>
      <c r="G889" s="247" t="s">
        <v>1205</v>
      </c>
      <c r="H889" s="247"/>
      <c r="I889" s="247" t="s">
        <v>1903</v>
      </c>
      <c r="J889" s="247">
        <v>3</v>
      </c>
      <c r="K889" s="247">
        <v>3</v>
      </c>
      <c r="L889" s="249" t="s">
        <v>650</v>
      </c>
      <c r="M889" s="249" t="s">
        <v>933</v>
      </c>
      <c r="N889" s="248">
        <v>-11560</v>
      </c>
      <c r="O889" s="248">
        <v>-42853</v>
      </c>
      <c r="P889" s="247" t="s">
        <v>1206</v>
      </c>
      <c r="Q889" s="247" t="s">
        <v>85</v>
      </c>
    </row>
    <row r="890" spans="1:17" x14ac:dyDescent="0.25">
      <c r="A890" s="247" t="s">
        <v>646</v>
      </c>
      <c r="B890" s="247" t="s">
        <v>25</v>
      </c>
      <c r="C890" s="247" t="s">
        <v>993</v>
      </c>
      <c r="D890" s="247" t="s">
        <v>926</v>
      </c>
      <c r="E890" s="247" t="s">
        <v>1204</v>
      </c>
      <c r="F890" s="247" t="s">
        <v>1902</v>
      </c>
      <c r="G890" s="247" t="s">
        <v>1205</v>
      </c>
      <c r="H890" s="247"/>
      <c r="I890" s="247" t="s">
        <v>1903</v>
      </c>
      <c r="J890" s="247">
        <v>3</v>
      </c>
      <c r="K890" s="247">
        <v>3</v>
      </c>
      <c r="L890" s="249" t="s">
        <v>652</v>
      </c>
      <c r="M890" s="249" t="s">
        <v>933</v>
      </c>
      <c r="N890" s="248">
        <v>-13410</v>
      </c>
      <c r="O890" s="248">
        <v>-56263</v>
      </c>
      <c r="P890" s="247" t="s">
        <v>1206</v>
      </c>
      <c r="Q890" s="247" t="s">
        <v>86</v>
      </c>
    </row>
    <row r="891" spans="1:17" x14ac:dyDescent="0.25">
      <c r="A891" s="247" t="s">
        <v>646</v>
      </c>
      <c r="B891" s="247" t="s">
        <v>25</v>
      </c>
      <c r="C891" s="247" t="s">
        <v>993</v>
      </c>
      <c r="D891" s="247" t="s">
        <v>926</v>
      </c>
      <c r="E891" s="247" t="s">
        <v>1204</v>
      </c>
      <c r="F891" s="247" t="s">
        <v>1902</v>
      </c>
      <c r="G891" s="247" t="s">
        <v>1205</v>
      </c>
      <c r="H891" s="247"/>
      <c r="I891" s="247" t="s">
        <v>1903</v>
      </c>
      <c r="J891" s="247">
        <v>3</v>
      </c>
      <c r="K891" s="247">
        <v>3</v>
      </c>
      <c r="L891" s="249" t="s">
        <v>789</v>
      </c>
      <c r="M891" s="249" t="s">
        <v>929</v>
      </c>
      <c r="N891" s="248">
        <v>-8586</v>
      </c>
      <c r="O891" s="248">
        <v>-8586</v>
      </c>
      <c r="P891" s="247" t="s">
        <v>1206</v>
      </c>
      <c r="Q891" s="247" t="s">
        <v>87</v>
      </c>
    </row>
    <row r="892" spans="1:17" x14ac:dyDescent="0.25">
      <c r="A892" s="247" t="s">
        <v>646</v>
      </c>
      <c r="B892" s="247" t="s">
        <v>25</v>
      </c>
      <c r="C892" s="247" t="s">
        <v>993</v>
      </c>
      <c r="D892" s="247" t="s">
        <v>926</v>
      </c>
      <c r="E892" s="247" t="s">
        <v>1204</v>
      </c>
      <c r="F892" s="247" t="s">
        <v>1902</v>
      </c>
      <c r="G892" s="247" t="s">
        <v>1205</v>
      </c>
      <c r="H892" s="247"/>
      <c r="I892" s="247" t="s">
        <v>1903</v>
      </c>
      <c r="J892" s="247">
        <v>3</v>
      </c>
      <c r="K892" s="247">
        <v>3</v>
      </c>
      <c r="L892" s="249" t="s">
        <v>791</v>
      </c>
      <c r="M892" s="249" t="s">
        <v>929</v>
      </c>
      <c r="N892" s="248">
        <v>-14194.5</v>
      </c>
      <c r="O892" s="248">
        <v>-22780.5</v>
      </c>
      <c r="P892" s="247" t="s">
        <v>1206</v>
      </c>
      <c r="Q892" s="247" t="s">
        <v>88</v>
      </c>
    </row>
    <row r="893" spans="1:17" x14ac:dyDescent="0.25">
      <c r="A893" s="247" t="s">
        <v>646</v>
      </c>
      <c r="B893" s="247" t="s">
        <v>25</v>
      </c>
      <c r="C893" s="247" t="s">
        <v>993</v>
      </c>
      <c r="D893" s="247" t="s">
        <v>926</v>
      </c>
      <c r="E893" s="247" t="s">
        <v>1204</v>
      </c>
      <c r="F893" s="247" t="s">
        <v>1902</v>
      </c>
      <c r="G893" s="247" t="s">
        <v>1205</v>
      </c>
      <c r="H893" s="247"/>
      <c r="I893" s="247" t="s">
        <v>1903</v>
      </c>
      <c r="J893" s="247">
        <v>3</v>
      </c>
      <c r="K893" s="247">
        <v>3</v>
      </c>
      <c r="L893" s="249" t="s">
        <v>935</v>
      </c>
      <c r="M893" s="249" t="s">
        <v>929</v>
      </c>
      <c r="N893" s="248">
        <v>-13550.5</v>
      </c>
      <c r="O893" s="248">
        <v>-36331</v>
      </c>
      <c r="P893" s="247" t="s">
        <v>1206</v>
      </c>
      <c r="Q893" s="247" t="s">
        <v>89</v>
      </c>
    </row>
    <row r="894" spans="1:17" x14ac:dyDescent="0.25">
      <c r="A894" s="247" t="s">
        <v>646</v>
      </c>
      <c r="B894" s="247" t="s">
        <v>25</v>
      </c>
      <c r="C894" s="247" t="s">
        <v>993</v>
      </c>
      <c r="D894" s="247" t="s">
        <v>926</v>
      </c>
      <c r="E894" s="247" t="s">
        <v>1204</v>
      </c>
      <c r="F894" s="247" t="s">
        <v>1902</v>
      </c>
      <c r="G894" s="247" t="s">
        <v>1205</v>
      </c>
      <c r="H894" s="247"/>
      <c r="I894" s="247" t="s">
        <v>1903</v>
      </c>
      <c r="J894" s="247">
        <v>3</v>
      </c>
      <c r="K894" s="247">
        <v>3</v>
      </c>
      <c r="L894" s="249" t="s">
        <v>936</v>
      </c>
      <c r="M894" s="249" t="s">
        <v>929</v>
      </c>
      <c r="N894" s="248">
        <v>-12079</v>
      </c>
      <c r="O894" s="248">
        <v>-48410</v>
      </c>
      <c r="P894" s="247" t="s">
        <v>1206</v>
      </c>
      <c r="Q894" s="247" t="s">
        <v>90</v>
      </c>
    </row>
    <row r="895" spans="1:17" x14ac:dyDescent="0.25">
      <c r="A895" s="247" t="s">
        <v>646</v>
      </c>
      <c r="B895" s="247" t="s">
        <v>25</v>
      </c>
      <c r="C895" s="247" t="s">
        <v>993</v>
      </c>
      <c r="D895" s="247" t="s">
        <v>926</v>
      </c>
      <c r="E895" s="247" t="s">
        <v>1204</v>
      </c>
      <c r="F895" s="247" t="s">
        <v>1902</v>
      </c>
      <c r="G895" s="247" t="s">
        <v>1205</v>
      </c>
      <c r="H895" s="247"/>
      <c r="I895" s="247" t="s">
        <v>1903</v>
      </c>
      <c r="J895" s="247">
        <v>3</v>
      </c>
      <c r="K895" s="247">
        <v>3</v>
      </c>
      <c r="L895" s="249" t="s">
        <v>937</v>
      </c>
      <c r="M895" s="249" t="s">
        <v>929</v>
      </c>
      <c r="N895" s="248">
        <v>-13398</v>
      </c>
      <c r="O895" s="248">
        <v>-61808</v>
      </c>
      <c r="P895" s="247" t="s">
        <v>1206</v>
      </c>
      <c r="Q895" s="247" t="s">
        <v>91</v>
      </c>
    </row>
    <row r="896" spans="1:17" x14ac:dyDescent="0.25">
      <c r="A896" s="247" t="s">
        <v>646</v>
      </c>
      <c r="B896" s="247" t="s">
        <v>25</v>
      </c>
      <c r="C896" s="247" t="s">
        <v>993</v>
      </c>
      <c r="D896" s="247" t="s">
        <v>926</v>
      </c>
      <c r="E896" s="247" t="s">
        <v>1204</v>
      </c>
      <c r="F896" s="247" t="s">
        <v>1902</v>
      </c>
      <c r="G896" s="247" t="s">
        <v>1205</v>
      </c>
      <c r="H896" s="247"/>
      <c r="I896" s="247" t="s">
        <v>1903</v>
      </c>
      <c r="J896" s="247">
        <v>3</v>
      </c>
      <c r="K896" s="247">
        <v>3</v>
      </c>
      <c r="L896" s="249" t="s">
        <v>938</v>
      </c>
      <c r="M896" s="249" t="s">
        <v>929</v>
      </c>
      <c r="N896" s="248">
        <v>-13400</v>
      </c>
      <c r="O896" s="248">
        <v>-75208</v>
      </c>
      <c r="P896" s="247" t="s">
        <v>1206</v>
      </c>
      <c r="Q896" s="247" t="s">
        <v>92</v>
      </c>
    </row>
    <row r="897" spans="1:17" x14ac:dyDescent="0.25">
      <c r="A897" s="247" t="s">
        <v>646</v>
      </c>
      <c r="B897" s="247" t="s">
        <v>25</v>
      </c>
      <c r="C897" s="247" t="s">
        <v>993</v>
      </c>
      <c r="D897" s="247" t="s">
        <v>926</v>
      </c>
      <c r="E897" s="247" t="s">
        <v>1204</v>
      </c>
      <c r="F897" s="247" t="s">
        <v>1902</v>
      </c>
      <c r="G897" s="247" t="s">
        <v>1205</v>
      </c>
      <c r="H897" s="247"/>
      <c r="I897" s="247" t="s">
        <v>1903</v>
      </c>
      <c r="J897" s="247">
        <v>3</v>
      </c>
      <c r="K897" s="247">
        <v>3</v>
      </c>
      <c r="L897" s="249" t="s">
        <v>939</v>
      </c>
      <c r="M897" s="249" t="s">
        <v>929</v>
      </c>
      <c r="N897" s="248">
        <v>-11834</v>
      </c>
      <c r="O897" s="248">
        <v>-87042</v>
      </c>
      <c r="P897" s="247" t="s">
        <v>1206</v>
      </c>
      <c r="Q897" s="247" t="s">
        <v>93</v>
      </c>
    </row>
    <row r="898" spans="1:17" x14ac:dyDescent="0.25">
      <c r="A898" s="247" t="s">
        <v>646</v>
      </c>
      <c r="B898" s="247" t="s">
        <v>25</v>
      </c>
      <c r="C898" s="247" t="s">
        <v>993</v>
      </c>
      <c r="D898" s="247" t="s">
        <v>926</v>
      </c>
      <c r="E898" s="247" t="s">
        <v>1204</v>
      </c>
      <c r="F898" s="247" t="s">
        <v>1902</v>
      </c>
      <c r="G898" s="247" t="s">
        <v>1205</v>
      </c>
      <c r="H898" s="247"/>
      <c r="I898" s="247" t="s">
        <v>1903</v>
      </c>
      <c r="J898" s="247">
        <v>3</v>
      </c>
      <c r="K898" s="247">
        <v>3</v>
      </c>
      <c r="L898" s="249" t="s">
        <v>940</v>
      </c>
      <c r="M898" s="249" t="s">
        <v>929</v>
      </c>
      <c r="N898" s="248">
        <v>-13426</v>
      </c>
      <c r="O898" s="248">
        <v>-100468</v>
      </c>
      <c r="P898" s="247" t="s">
        <v>1206</v>
      </c>
      <c r="Q898" s="247" t="s">
        <v>94</v>
      </c>
    </row>
    <row r="899" spans="1:17" x14ac:dyDescent="0.25">
      <c r="A899" s="247" t="s">
        <v>646</v>
      </c>
      <c r="B899" s="247" t="s">
        <v>25</v>
      </c>
      <c r="C899" s="247" t="s">
        <v>993</v>
      </c>
      <c r="D899" s="247" t="s">
        <v>926</v>
      </c>
      <c r="E899" s="247" t="s">
        <v>1204</v>
      </c>
      <c r="F899" s="247" t="s">
        <v>1902</v>
      </c>
      <c r="G899" s="247" t="s">
        <v>1205</v>
      </c>
      <c r="H899" s="247"/>
      <c r="I899" s="247" t="s">
        <v>1903</v>
      </c>
      <c r="J899" s="247">
        <v>3</v>
      </c>
      <c r="K899" s="247">
        <v>3</v>
      </c>
      <c r="L899" s="249" t="s">
        <v>642</v>
      </c>
      <c r="M899" s="249" t="s">
        <v>929</v>
      </c>
      <c r="N899" s="248">
        <v>-15480.5</v>
      </c>
      <c r="O899" s="248">
        <v>-115948.5</v>
      </c>
      <c r="P899" s="247" t="s">
        <v>1206</v>
      </c>
      <c r="Q899" s="247" t="s">
        <v>95</v>
      </c>
    </row>
    <row r="900" spans="1:17" x14ac:dyDescent="0.25">
      <c r="A900" s="247" t="s">
        <v>646</v>
      </c>
      <c r="B900" s="247" t="s">
        <v>25</v>
      </c>
      <c r="C900" s="247" t="s">
        <v>993</v>
      </c>
      <c r="D900" s="247" t="s">
        <v>926</v>
      </c>
      <c r="E900" s="247" t="s">
        <v>1049</v>
      </c>
      <c r="F900" s="247" t="s">
        <v>1904</v>
      </c>
      <c r="G900" s="247" t="s">
        <v>1207</v>
      </c>
      <c r="H900" s="247"/>
      <c r="I900" s="247" t="s">
        <v>1905</v>
      </c>
      <c r="J900" s="247">
        <v>4</v>
      </c>
      <c r="K900" s="247">
        <v>4</v>
      </c>
      <c r="L900" s="249" t="s">
        <v>646</v>
      </c>
      <c r="M900" s="249" t="s">
        <v>933</v>
      </c>
      <c r="N900" s="248">
        <v>0</v>
      </c>
      <c r="O900" s="248">
        <v>-479447.74</v>
      </c>
      <c r="P900" s="247" t="s">
        <v>1208</v>
      </c>
      <c r="Q900" s="247" t="s">
        <v>84</v>
      </c>
    </row>
    <row r="901" spans="1:17" x14ac:dyDescent="0.25">
      <c r="A901" s="247" t="s">
        <v>646</v>
      </c>
      <c r="B901" s="247" t="s">
        <v>25</v>
      </c>
      <c r="C901" s="247" t="s">
        <v>993</v>
      </c>
      <c r="D901" s="247" t="s">
        <v>926</v>
      </c>
      <c r="E901" s="247" t="s">
        <v>1049</v>
      </c>
      <c r="F901" s="247" t="s">
        <v>1904</v>
      </c>
      <c r="G901" s="247" t="s">
        <v>1207</v>
      </c>
      <c r="H901" s="247"/>
      <c r="I901" s="247" t="s">
        <v>1905</v>
      </c>
      <c r="J901" s="247">
        <v>4</v>
      </c>
      <c r="K901" s="247">
        <v>4</v>
      </c>
      <c r="L901" s="249" t="s">
        <v>650</v>
      </c>
      <c r="M901" s="249" t="s">
        <v>933</v>
      </c>
      <c r="N901" s="248">
        <v>0</v>
      </c>
      <c r="O901" s="248">
        <v>-479447.74</v>
      </c>
      <c r="P901" s="247" t="s">
        <v>1208</v>
      </c>
      <c r="Q901" s="247" t="s">
        <v>85</v>
      </c>
    </row>
    <row r="902" spans="1:17" x14ac:dyDescent="0.25">
      <c r="A902" s="247" t="s">
        <v>646</v>
      </c>
      <c r="B902" s="247" t="s">
        <v>25</v>
      </c>
      <c r="C902" s="247" t="s">
        <v>993</v>
      </c>
      <c r="D902" s="247" t="s">
        <v>926</v>
      </c>
      <c r="E902" s="247" t="s">
        <v>1049</v>
      </c>
      <c r="F902" s="247" t="s">
        <v>1904</v>
      </c>
      <c r="G902" s="247" t="s">
        <v>1207</v>
      </c>
      <c r="H902" s="247"/>
      <c r="I902" s="247" t="s">
        <v>1905</v>
      </c>
      <c r="J902" s="247">
        <v>4</v>
      </c>
      <c r="K902" s="247">
        <v>4</v>
      </c>
      <c r="L902" s="249" t="s">
        <v>652</v>
      </c>
      <c r="M902" s="249" t="s">
        <v>933</v>
      </c>
      <c r="N902" s="248">
        <v>0</v>
      </c>
      <c r="O902" s="248">
        <v>-479447.74</v>
      </c>
      <c r="P902" s="247" t="s">
        <v>1208</v>
      </c>
      <c r="Q902" s="247" t="s">
        <v>86</v>
      </c>
    </row>
    <row r="903" spans="1:17" x14ac:dyDescent="0.25">
      <c r="A903" s="247" t="s">
        <v>646</v>
      </c>
      <c r="B903" s="247" t="s">
        <v>25</v>
      </c>
      <c r="C903" s="247" t="s">
        <v>993</v>
      </c>
      <c r="D903" s="247" t="s">
        <v>926</v>
      </c>
      <c r="E903" s="247" t="s">
        <v>1209</v>
      </c>
      <c r="F903" s="247" t="s">
        <v>1906</v>
      </c>
      <c r="G903" s="247" t="s">
        <v>1210</v>
      </c>
      <c r="H903" s="247"/>
      <c r="I903" s="247" t="s">
        <v>1907</v>
      </c>
      <c r="J903" s="247">
        <v>4</v>
      </c>
      <c r="K903" s="247">
        <v>4</v>
      </c>
      <c r="L903" s="249" t="s">
        <v>646</v>
      </c>
      <c r="M903" s="249" t="s">
        <v>933</v>
      </c>
      <c r="N903" s="248">
        <v>-20470.63</v>
      </c>
      <c r="O903" s="248">
        <v>-34078.46</v>
      </c>
      <c r="P903" s="247" t="s">
        <v>1211</v>
      </c>
      <c r="Q903" s="247" t="s">
        <v>84</v>
      </c>
    </row>
    <row r="904" spans="1:17" x14ac:dyDescent="0.25">
      <c r="A904" s="247" t="s">
        <v>646</v>
      </c>
      <c r="B904" s="247" t="s">
        <v>25</v>
      </c>
      <c r="C904" s="247" t="s">
        <v>993</v>
      </c>
      <c r="D904" s="247" t="s">
        <v>926</v>
      </c>
      <c r="E904" s="247" t="s">
        <v>1209</v>
      </c>
      <c r="F904" s="247" t="s">
        <v>1906</v>
      </c>
      <c r="G904" s="247" t="s">
        <v>1210</v>
      </c>
      <c r="H904" s="247"/>
      <c r="I904" s="247" t="s">
        <v>1907</v>
      </c>
      <c r="J904" s="247">
        <v>4</v>
      </c>
      <c r="K904" s="247">
        <v>4</v>
      </c>
      <c r="L904" s="249" t="s">
        <v>650</v>
      </c>
      <c r="M904" s="249" t="s">
        <v>933</v>
      </c>
      <c r="N904" s="248">
        <v>-22064.25</v>
      </c>
      <c r="O904" s="248">
        <v>-56142.71</v>
      </c>
      <c r="P904" s="247" t="s">
        <v>1211</v>
      </c>
      <c r="Q904" s="247" t="s">
        <v>85</v>
      </c>
    </row>
    <row r="905" spans="1:17" x14ac:dyDescent="0.25">
      <c r="A905" s="247" t="s">
        <v>646</v>
      </c>
      <c r="B905" s="247" t="s">
        <v>25</v>
      </c>
      <c r="C905" s="247" t="s">
        <v>993</v>
      </c>
      <c r="D905" s="247" t="s">
        <v>926</v>
      </c>
      <c r="E905" s="247" t="s">
        <v>1209</v>
      </c>
      <c r="F905" s="247" t="s">
        <v>1906</v>
      </c>
      <c r="G905" s="247" t="s">
        <v>1210</v>
      </c>
      <c r="H905" s="247"/>
      <c r="I905" s="247" t="s">
        <v>1907</v>
      </c>
      <c r="J905" s="247">
        <v>4</v>
      </c>
      <c r="K905" s="247">
        <v>4</v>
      </c>
      <c r="L905" s="249" t="s">
        <v>652</v>
      </c>
      <c r="M905" s="249" t="s">
        <v>933</v>
      </c>
      <c r="N905" s="248">
        <v>-18012.23</v>
      </c>
      <c r="O905" s="248">
        <v>-74154.94</v>
      </c>
      <c r="P905" s="247" t="s">
        <v>1211</v>
      </c>
      <c r="Q905" s="247" t="s">
        <v>86</v>
      </c>
    </row>
    <row r="906" spans="1:17" x14ac:dyDescent="0.25">
      <c r="A906" s="247" t="s">
        <v>646</v>
      </c>
      <c r="B906" s="247" t="s">
        <v>25</v>
      </c>
      <c r="C906" s="247" t="s">
        <v>993</v>
      </c>
      <c r="D906" s="247" t="s">
        <v>926</v>
      </c>
      <c r="E906" s="247" t="s">
        <v>1209</v>
      </c>
      <c r="F906" s="247" t="s">
        <v>1906</v>
      </c>
      <c r="G906" s="247" t="s">
        <v>1210</v>
      </c>
      <c r="H906" s="247"/>
      <c r="I906" s="247" t="s">
        <v>1907</v>
      </c>
      <c r="J906" s="247">
        <v>4</v>
      </c>
      <c r="K906" s="247">
        <v>4</v>
      </c>
      <c r="L906" s="249" t="s">
        <v>789</v>
      </c>
      <c r="M906" s="249" t="s">
        <v>929</v>
      </c>
      <c r="N906" s="248">
        <v>-16398.79</v>
      </c>
      <c r="O906" s="248">
        <v>-16398.79</v>
      </c>
      <c r="P906" s="247" t="s">
        <v>1211</v>
      </c>
      <c r="Q906" s="247" t="s">
        <v>87</v>
      </c>
    </row>
    <row r="907" spans="1:17" x14ac:dyDescent="0.25">
      <c r="A907" s="247" t="s">
        <v>646</v>
      </c>
      <c r="B907" s="247" t="s">
        <v>25</v>
      </c>
      <c r="C907" s="247" t="s">
        <v>993</v>
      </c>
      <c r="D907" s="247" t="s">
        <v>926</v>
      </c>
      <c r="E907" s="247" t="s">
        <v>1209</v>
      </c>
      <c r="F907" s="247" t="s">
        <v>1906</v>
      </c>
      <c r="G907" s="247" t="s">
        <v>1210</v>
      </c>
      <c r="H907" s="247"/>
      <c r="I907" s="247" t="s">
        <v>1907</v>
      </c>
      <c r="J907" s="247">
        <v>4</v>
      </c>
      <c r="K907" s="247">
        <v>4</v>
      </c>
      <c r="L907" s="249" t="s">
        <v>791</v>
      </c>
      <c r="M907" s="249" t="s">
        <v>929</v>
      </c>
      <c r="N907" s="248">
        <v>-12834.37</v>
      </c>
      <c r="O907" s="248">
        <v>-29233.16</v>
      </c>
      <c r="P907" s="247" t="s">
        <v>1211</v>
      </c>
      <c r="Q907" s="247" t="s">
        <v>88</v>
      </c>
    </row>
    <row r="908" spans="1:17" x14ac:dyDescent="0.25">
      <c r="A908" s="247" t="s">
        <v>646</v>
      </c>
      <c r="B908" s="247" t="s">
        <v>25</v>
      </c>
      <c r="C908" s="247" t="s">
        <v>993</v>
      </c>
      <c r="D908" s="247" t="s">
        <v>926</v>
      </c>
      <c r="E908" s="247" t="s">
        <v>1209</v>
      </c>
      <c r="F908" s="247" t="s">
        <v>1906</v>
      </c>
      <c r="G908" s="247" t="s">
        <v>1210</v>
      </c>
      <c r="H908" s="247"/>
      <c r="I908" s="247" t="s">
        <v>1907</v>
      </c>
      <c r="J908" s="247">
        <v>4</v>
      </c>
      <c r="K908" s="247">
        <v>4</v>
      </c>
      <c r="L908" s="249" t="s">
        <v>935</v>
      </c>
      <c r="M908" s="249" t="s">
        <v>929</v>
      </c>
      <c r="N908" s="248">
        <v>-16016.17</v>
      </c>
      <c r="O908" s="248">
        <v>-45249.33</v>
      </c>
      <c r="P908" s="247" t="s">
        <v>1211</v>
      </c>
      <c r="Q908" s="247" t="s">
        <v>89</v>
      </c>
    </row>
    <row r="909" spans="1:17" x14ac:dyDescent="0.25">
      <c r="A909" s="247" t="s">
        <v>646</v>
      </c>
      <c r="B909" s="247" t="s">
        <v>25</v>
      </c>
      <c r="C909" s="247" t="s">
        <v>993</v>
      </c>
      <c r="D909" s="247" t="s">
        <v>926</v>
      </c>
      <c r="E909" s="247" t="s">
        <v>1209</v>
      </c>
      <c r="F909" s="247" t="s">
        <v>1906</v>
      </c>
      <c r="G909" s="247" t="s">
        <v>1210</v>
      </c>
      <c r="H909" s="247"/>
      <c r="I909" s="247" t="s">
        <v>1907</v>
      </c>
      <c r="J909" s="247">
        <v>4</v>
      </c>
      <c r="K909" s="247">
        <v>4</v>
      </c>
      <c r="L909" s="249" t="s">
        <v>936</v>
      </c>
      <c r="M909" s="249" t="s">
        <v>929</v>
      </c>
      <c r="N909" s="248">
        <v>-13152.16</v>
      </c>
      <c r="O909" s="248">
        <v>-58401.49</v>
      </c>
      <c r="P909" s="247" t="s">
        <v>1211</v>
      </c>
      <c r="Q909" s="247" t="s">
        <v>90</v>
      </c>
    </row>
    <row r="910" spans="1:17" x14ac:dyDescent="0.25">
      <c r="A910" s="247" t="s">
        <v>646</v>
      </c>
      <c r="B910" s="247" t="s">
        <v>25</v>
      </c>
      <c r="C910" s="247" t="s">
        <v>993</v>
      </c>
      <c r="D910" s="247" t="s">
        <v>926</v>
      </c>
      <c r="E910" s="247" t="s">
        <v>1209</v>
      </c>
      <c r="F910" s="247" t="s">
        <v>1906</v>
      </c>
      <c r="G910" s="247" t="s">
        <v>1210</v>
      </c>
      <c r="H910" s="247"/>
      <c r="I910" s="247" t="s">
        <v>1907</v>
      </c>
      <c r="J910" s="247">
        <v>4</v>
      </c>
      <c r="K910" s="247">
        <v>4</v>
      </c>
      <c r="L910" s="249" t="s">
        <v>937</v>
      </c>
      <c r="M910" s="249" t="s">
        <v>929</v>
      </c>
      <c r="N910" s="248">
        <v>-18609.46</v>
      </c>
      <c r="O910" s="248">
        <v>-77010.95</v>
      </c>
      <c r="P910" s="247" t="s">
        <v>1211</v>
      </c>
      <c r="Q910" s="247" t="s">
        <v>91</v>
      </c>
    </row>
    <row r="911" spans="1:17" x14ac:dyDescent="0.25">
      <c r="A911" s="247" t="s">
        <v>646</v>
      </c>
      <c r="B911" s="247" t="s">
        <v>25</v>
      </c>
      <c r="C911" s="247" t="s">
        <v>993</v>
      </c>
      <c r="D911" s="247" t="s">
        <v>926</v>
      </c>
      <c r="E911" s="247" t="s">
        <v>1209</v>
      </c>
      <c r="F911" s="247" t="s">
        <v>1906</v>
      </c>
      <c r="G911" s="247" t="s">
        <v>1210</v>
      </c>
      <c r="H911" s="247"/>
      <c r="I911" s="247" t="s">
        <v>1907</v>
      </c>
      <c r="J911" s="247">
        <v>4</v>
      </c>
      <c r="K911" s="247">
        <v>4</v>
      </c>
      <c r="L911" s="249" t="s">
        <v>938</v>
      </c>
      <c r="M911" s="249" t="s">
        <v>929</v>
      </c>
      <c r="N911" s="248">
        <v>-15430.83</v>
      </c>
      <c r="O911" s="248">
        <v>-92441.78</v>
      </c>
      <c r="P911" s="247" t="s">
        <v>1211</v>
      </c>
      <c r="Q911" s="247" t="s">
        <v>92</v>
      </c>
    </row>
    <row r="912" spans="1:17" x14ac:dyDescent="0.25">
      <c r="A912" s="247" t="s">
        <v>646</v>
      </c>
      <c r="B912" s="247" t="s">
        <v>25</v>
      </c>
      <c r="C912" s="247" t="s">
        <v>993</v>
      </c>
      <c r="D912" s="247" t="s">
        <v>926</v>
      </c>
      <c r="E912" s="247" t="s">
        <v>1209</v>
      </c>
      <c r="F912" s="247" t="s">
        <v>1906</v>
      </c>
      <c r="G912" s="247" t="s">
        <v>1210</v>
      </c>
      <c r="H912" s="247"/>
      <c r="I912" s="247" t="s">
        <v>1907</v>
      </c>
      <c r="J912" s="247">
        <v>4</v>
      </c>
      <c r="K912" s="247">
        <v>4</v>
      </c>
      <c r="L912" s="249" t="s">
        <v>939</v>
      </c>
      <c r="M912" s="249" t="s">
        <v>929</v>
      </c>
      <c r="N912" s="248">
        <v>-12695.72</v>
      </c>
      <c r="O912" s="248">
        <v>-105137.5</v>
      </c>
      <c r="P912" s="247" t="s">
        <v>1211</v>
      </c>
      <c r="Q912" s="247" t="s">
        <v>93</v>
      </c>
    </row>
    <row r="913" spans="1:17" x14ac:dyDescent="0.25">
      <c r="A913" s="247" t="s">
        <v>646</v>
      </c>
      <c r="B913" s="247" t="s">
        <v>25</v>
      </c>
      <c r="C913" s="247" t="s">
        <v>993</v>
      </c>
      <c r="D913" s="247" t="s">
        <v>926</v>
      </c>
      <c r="E913" s="247" t="s">
        <v>1209</v>
      </c>
      <c r="F913" s="247" t="s">
        <v>1906</v>
      </c>
      <c r="G913" s="247" t="s">
        <v>1210</v>
      </c>
      <c r="H913" s="247"/>
      <c r="I913" s="247" t="s">
        <v>1907</v>
      </c>
      <c r="J913" s="247">
        <v>4</v>
      </c>
      <c r="K913" s="247">
        <v>4</v>
      </c>
      <c r="L913" s="249" t="s">
        <v>940</v>
      </c>
      <c r="M913" s="249" t="s">
        <v>929</v>
      </c>
      <c r="N913" s="248">
        <v>-17776.87</v>
      </c>
      <c r="O913" s="248">
        <v>-122914.37</v>
      </c>
      <c r="P913" s="247" t="s">
        <v>1211</v>
      </c>
      <c r="Q913" s="247" t="s">
        <v>94</v>
      </c>
    </row>
    <row r="914" spans="1:17" x14ac:dyDescent="0.25">
      <c r="A914" s="247" t="s">
        <v>646</v>
      </c>
      <c r="B914" s="247" t="s">
        <v>25</v>
      </c>
      <c r="C914" s="247" t="s">
        <v>993</v>
      </c>
      <c r="D914" s="247" t="s">
        <v>926</v>
      </c>
      <c r="E914" s="247" t="s">
        <v>1209</v>
      </c>
      <c r="F914" s="247" t="s">
        <v>1906</v>
      </c>
      <c r="G914" s="247" t="s">
        <v>1210</v>
      </c>
      <c r="H914" s="247"/>
      <c r="I914" s="247" t="s">
        <v>1907</v>
      </c>
      <c r="J914" s="247">
        <v>4</v>
      </c>
      <c r="K914" s="247">
        <v>4</v>
      </c>
      <c r="L914" s="249" t="s">
        <v>642</v>
      </c>
      <c r="M914" s="249" t="s">
        <v>929</v>
      </c>
      <c r="N914" s="248">
        <v>-18087.62</v>
      </c>
      <c r="O914" s="248">
        <v>-141001.99</v>
      </c>
      <c r="P914" s="247" t="s">
        <v>1211</v>
      </c>
      <c r="Q914" s="247" t="s">
        <v>95</v>
      </c>
    </row>
    <row r="915" spans="1:17" x14ac:dyDescent="0.25">
      <c r="A915" s="247" t="s">
        <v>646</v>
      </c>
      <c r="B915" s="247" t="s">
        <v>25</v>
      </c>
      <c r="C915" s="247" t="s">
        <v>993</v>
      </c>
      <c r="D915" s="247" t="s">
        <v>926</v>
      </c>
      <c r="E915" s="247" t="s">
        <v>1212</v>
      </c>
      <c r="F915" s="247" t="s">
        <v>1908</v>
      </c>
      <c r="G915" s="247" t="s">
        <v>1213</v>
      </c>
      <c r="H915" s="247"/>
      <c r="I915" s="247" t="s">
        <v>1909</v>
      </c>
      <c r="J915" s="247">
        <v>4</v>
      </c>
      <c r="K915" s="247">
        <v>4</v>
      </c>
      <c r="L915" s="249" t="s">
        <v>646</v>
      </c>
      <c r="M915" s="249" t="s">
        <v>933</v>
      </c>
      <c r="N915" s="248">
        <v>-37343.339999999997</v>
      </c>
      <c r="O915" s="248">
        <v>-74130.460000000006</v>
      </c>
      <c r="P915" s="247" t="s">
        <v>1214</v>
      </c>
      <c r="Q915" s="247" t="s">
        <v>84</v>
      </c>
    </row>
    <row r="916" spans="1:17" x14ac:dyDescent="0.25">
      <c r="A916" s="247" t="s">
        <v>646</v>
      </c>
      <c r="B916" s="247" t="s">
        <v>25</v>
      </c>
      <c r="C916" s="247" t="s">
        <v>993</v>
      </c>
      <c r="D916" s="247" t="s">
        <v>926</v>
      </c>
      <c r="E916" s="247" t="s">
        <v>1212</v>
      </c>
      <c r="F916" s="247" t="s">
        <v>1908</v>
      </c>
      <c r="G916" s="247" t="s">
        <v>1213</v>
      </c>
      <c r="H916" s="247"/>
      <c r="I916" s="247" t="s">
        <v>1909</v>
      </c>
      <c r="J916" s="247">
        <v>4</v>
      </c>
      <c r="K916" s="247">
        <v>4</v>
      </c>
      <c r="L916" s="249" t="s">
        <v>650</v>
      </c>
      <c r="M916" s="249" t="s">
        <v>933</v>
      </c>
      <c r="N916" s="248">
        <v>-32128.75</v>
      </c>
      <c r="O916" s="248">
        <v>-106259.21</v>
      </c>
      <c r="P916" s="247" t="s">
        <v>1214</v>
      </c>
      <c r="Q916" s="247" t="s">
        <v>85</v>
      </c>
    </row>
    <row r="917" spans="1:17" x14ac:dyDescent="0.25">
      <c r="A917" s="247" t="s">
        <v>646</v>
      </c>
      <c r="B917" s="247" t="s">
        <v>25</v>
      </c>
      <c r="C917" s="247" t="s">
        <v>993</v>
      </c>
      <c r="D917" s="247" t="s">
        <v>926</v>
      </c>
      <c r="E917" s="247" t="s">
        <v>1212</v>
      </c>
      <c r="F917" s="247" t="s">
        <v>1908</v>
      </c>
      <c r="G917" s="247" t="s">
        <v>1213</v>
      </c>
      <c r="H917" s="247"/>
      <c r="I917" s="247" t="s">
        <v>1909</v>
      </c>
      <c r="J917" s="247">
        <v>4</v>
      </c>
      <c r="K917" s="247">
        <v>4</v>
      </c>
      <c r="L917" s="249" t="s">
        <v>652</v>
      </c>
      <c r="M917" s="249" t="s">
        <v>933</v>
      </c>
      <c r="N917" s="248">
        <v>-38714.410000000003</v>
      </c>
      <c r="O917" s="248">
        <v>-144973.62</v>
      </c>
      <c r="P917" s="247" t="s">
        <v>1214</v>
      </c>
      <c r="Q917" s="247" t="s">
        <v>86</v>
      </c>
    </row>
    <row r="918" spans="1:17" x14ac:dyDescent="0.25">
      <c r="A918" s="247" t="s">
        <v>646</v>
      </c>
      <c r="B918" s="247" t="s">
        <v>25</v>
      </c>
      <c r="C918" s="247" t="s">
        <v>993</v>
      </c>
      <c r="D918" s="247" t="s">
        <v>926</v>
      </c>
      <c r="E918" s="247" t="s">
        <v>1212</v>
      </c>
      <c r="F918" s="247" t="s">
        <v>1908</v>
      </c>
      <c r="G918" s="247" t="s">
        <v>1213</v>
      </c>
      <c r="H918" s="247"/>
      <c r="I918" s="247" t="s">
        <v>1909</v>
      </c>
      <c r="J918" s="247">
        <v>4</v>
      </c>
      <c r="K918" s="247">
        <v>4</v>
      </c>
      <c r="L918" s="249" t="s">
        <v>789</v>
      </c>
      <c r="M918" s="249" t="s">
        <v>929</v>
      </c>
      <c r="N918" s="248">
        <v>-32714.33</v>
      </c>
      <c r="O918" s="248">
        <v>-32714.33</v>
      </c>
      <c r="P918" s="247" t="s">
        <v>1214</v>
      </c>
      <c r="Q918" s="247" t="s">
        <v>87</v>
      </c>
    </row>
    <row r="919" spans="1:17" x14ac:dyDescent="0.25">
      <c r="A919" s="247" t="s">
        <v>646</v>
      </c>
      <c r="B919" s="247" t="s">
        <v>25</v>
      </c>
      <c r="C919" s="247" t="s">
        <v>993</v>
      </c>
      <c r="D919" s="247" t="s">
        <v>926</v>
      </c>
      <c r="E919" s="247" t="s">
        <v>1212</v>
      </c>
      <c r="F919" s="247" t="s">
        <v>1908</v>
      </c>
      <c r="G919" s="247" t="s">
        <v>1213</v>
      </c>
      <c r="H919" s="247"/>
      <c r="I919" s="247" t="s">
        <v>1909</v>
      </c>
      <c r="J919" s="247">
        <v>4</v>
      </c>
      <c r="K919" s="247">
        <v>4</v>
      </c>
      <c r="L919" s="249" t="s">
        <v>791</v>
      </c>
      <c r="M919" s="249" t="s">
        <v>929</v>
      </c>
      <c r="N919" s="248">
        <v>-35744.1</v>
      </c>
      <c r="O919" s="248">
        <v>-68458.429999999993</v>
      </c>
      <c r="P919" s="247" t="s">
        <v>1214</v>
      </c>
      <c r="Q919" s="247" t="s">
        <v>88</v>
      </c>
    </row>
    <row r="920" spans="1:17" x14ac:dyDescent="0.25">
      <c r="A920" s="247" t="s">
        <v>646</v>
      </c>
      <c r="B920" s="247" t="s">
        <v>25</v>
      </c>
      <c r="C920" s="247" t="s">
        <v>993</v>
      </c>
      <c r="D920" s="247" t="s">
        <v>926</v>
      </c>
      <c r="E920" s="247" t="s">
        <v>1212</v>
      </c>
      <c r="F920" s="247" t="s">
        <v>1908</v>
      </c>
      <c r="G920" s="247" t="s">
        <v>1213</v>
      </c>
      <c r="H920" s="247"/>
      <c r="I920" s="247" t="s">
        <v>1909</v>
      </c>
      <c r="J920" s="247">
        <v>4</v>
      </c>
      <c r="K920" s="247">
        <v>4</v>
      </c>
      <c r="L920" s="249" t="s">
        <v>935</v>
      </c>
      <c r="M920" s="249" t="s">
        <v>929</v>
      </c>
      <c r="N920" s="248">
        <v>-38571.56</v>
      </c>
      <c r="O920" s="248">
        <v>-107029.99</v>
      </c>
      <c r="P920" s="247" t="s">
        <v>1214</v>
      </c>
      <c r="Q920" s="247" t="s">
        <v>89</v>
      </c>
    </row>
    <row r="921" spans="1:17" x14ac:dyDescent="0.25">
      <c r="A921" s="247" t="s">
        <v>646</v>
      </c>
      <c r="B921" s="247" t="s">
        <v>25</v>
      </c>
      <c r="C921" s="247" t="s">
        <v>993</v>
      </c>
      <c r="D921" s="247" t="s">
        <v>926</v>
      </c>
      <c r="E921" s="247" t="s">
        <v>1212</v>
      </c>
      <c r="F921" s="247" t="s">
        <v>1908</v>
      </c>
      <c r="G921" s="247" t="s">
        <v>1213</v>
      </c>
      <c r="H921" s="247"/>
      <c r="I921" s="247" t="s">
        <v>1909</v>
      </c>
      <c r="J921" s="247">
        <v>4</v>
      </c>
      <c r="K921" s="247">
        <v>4</v>
      </c>
      <c r="L921" s="249" t="s">
        <v>936</v>
      </c>
      <c r="M921" s="249" t="s">
        <v>929</v>
      </c>
      <c r="N921" s="248">
        <v>-22808.78</v>
      </c>
      <c r="O921" s="248">
        <v>-129838.77</v>
      </c>
      <c r="P921" s="247" t="s">
        <v>1214</v>
      </c>
      <c r="Q921" s="247" t="s">
        <v>90</v>
      </c>
    </row>
    <row r="922" spans="1:17" x14ac:dyDescent="0.25">
      <c r="A922" s="247" t="s">
        <v>646</v>
      </c>
      <c r="B922" s="247" t="s">
        <v>25</v>
      </c>
      <c r="C922" s="247" t="s">
        <v>993</v>
      </c>
      <c r="D922" s="247" t="s">
        <v>926</v>
      </c>
      <c r="E922" s="247" t="s">
        <v>1212</v>
      </c>
      <c r="F922" s="247" t="s">
        <v>1908</v>
      </c>
      <c r="G922" s="247" t="s">
        <v>1213</v>
      </c>
      <c r="H922" s="247"/>
      <c r="I922" s="247" t="s">
        <v>1909</v>
      </c>
      <c r="J922" s="247">
        <v>4</v>
      </c>
      <c r="K922" s="247">
        <v>4</v>
      </c>
      <c r="L922" s="249" t="s">
        <v>937</v>
      </c>
      <c r="M922" s="249" t="s">
        <v>929</v>
      </c>
      <c r="N922" s="248">
        <v>-30352.63</v>
      </c>
      <c r="O922" s="248">
        <v>-160191.4</v>
      </c>
      <c r="P922" s="247" t="s">
        <v>1214</v>
      </c>
      <c r="Q922" s="247" t="s">
        <v>91</v>
      </c>
    </row>
    <row r="923" spans="1:17" x14ac:dyDescent="0.25">
      <c r="A923" s="247" t="s">
        <v>646</v>
      </c>
      <c r="B923" s="247" t="s">
        <v>25</v>
      </c>
      <c r="C923" s="247" t="s">
        <v>993</v>
      </c>
      <c r="D923" s="247" t="s">
        <v>926</v>
      </c>
      <c r="E923" s="247" t="s">
        <v>1212</v>
      </c>
      <c r="F923" s="247" t="s">
        <v>1908</v>
      </c>
      <c r="G923" s="247" t="s">
        <v>1213</v>
      </c>
      <c r="H923" s="247"/>
      <c r="I923" s="247" t="s">
        <v>1909</v>
      </c>
      <c r="J923" s="247">
        <v>4</v>
      </c>
      <c r="K923" s="247">
        <v>4</v>
      </c>
      <c r="L923" s="249" t="s">
        <v>938</v>
      </c>
      <c r="M923" s="249" t="s">
        <v>929</v>
      </c>
      <c r="N923" s="248">
        <v>-45683.03</v>
      </c>
      <c r="O923" s="248">
        <v>-205874.43</v>
      </c>
      <c r="P923" s="247" t="s">
        <v>1214</v>
      </c>
      <c r="Q923" s="247" t="s">
        <v>92</v>
      </c>
    </row>
    <row r="924" spans="1:17" x14ac:dyDescent="0.25">
      <c r="A924" s="247" t="s">
        <v>646</v>
      </c>
      <c r="B924" s="247" t="s">
        <v>25</v>
      </c>
      <c r="C924" s="247" t="s">
        <v>993</v>
      </c>
      <c r="D924" s="247" t="s">
        <v>926</v>
      </c>
      <c r="E924" s="247" t="s">
        <v>1212</v>
      </c>
      <c r="F924" s="247" t="s">
        <v>1908</v>
      </c>
      <c r="G924" s="247" t="s">
        <v>1213</v>
      </c>
      <c r="H924" s="247"/>
      <c r="I924" s="247" t="s">
        <v>1909</v>
      </c>
      <c r="J924" s="247">
        <v>4</v>
      </c>
      <c r="K924" s="247">
        <v>4</v>
      </c>
      <c r="L924" s="249" t="s">
        <v>939</v>
      </c>
      <c r="M924" s="249" t="s">
        <v>929</v>
      </c>
      <c r="N924" s="248">
        <v>-33583.629999999997</v>
      </c>
      <c r="O924" s="248">
        <v>-239458.06</v>
      </c>
      <c r="P924" s="247" t="s">
        <v>1214</v>
      </c>
      <c r="Q924" s="247" t="s">
        <v>93</v>
      </c>
    </row>
    <row r="925" spans="1:17" x14ac:dyDescent="0.25">
      <c r="A925" s="247" t="s">
        <v>646</v>
      </c>
      <c r="B925" s="247" t="s">
        <v>25</v>
      </c>
      <c r="C925" s="247" t="s">
        <v>993</v>
      </c>
      <c r="D925" s="247" t="s">
        <v>926</v>
      </c>
      <c r="E925" s="247" t="s">
        <v>1212</v>
      </c>
      <c r="F925" s="247" t="s">
        <v>1908</v>
      </c>
      <c r="G925" s="247" t="s">
        <v>1213</v>
      </c>
      <c r="H925" s="247"/>
      <c r="I925" s="247" t="s">
        <v>1909</v>
      </c>
      <c r="J925" s="247">
        <v>4</v>
      </c>
      <c r="K925" s="247">
        <v>4</v>
      </c>
      <c r="L925" s="249" t="s">
        <v>940</v>
      </c>
      <c r="M925" s="249" t="s">
        <v>929</v>
      </c>
      <c r="N925" s="248">
        <v>-39622.300000000003</v>
      </c>
      <c r="O925" s="248">
        <v>-279080.36</v>
      </c>
      <c r="P925" s="247" t="s">
        <v>1214</v>
      </c>
      <c r="Q925" s="247" t="s">
        <v>94</v>
      </c>
    </row>
    <row r="926" spans="1:17" x14ac:dyDescent="0.25">
      <c r="A926" s="247" t="s">
        <v>646</v>
      </c>
      <c r="B926" s="247" t="s">
        <v>25</v>
      </c>
      <c r="C926" s="247" t="s">
        <v>993</v>
      </c>
      <c r="D926" s="247" t="s">
        <v>926</v>
      </c>
      <c r="E926" s="247" t="s">
        <v>1212</v>
      </c>
      <c r="F926" s="247" t="s">
        <v>1908</v>
      </c>
      <c r="G926" s="247" t="s">
        <v>1213</v>
      </c>
      <c r="H926" s="247"/>
      <c r="I926" s="247" t="s">
        <v>1909</v>
      </c>
      <c r="J926" s="247">
        <v>4</v>
      </c>
      <c r="K926" s="247">
        <v>4</v>
      </c>
      <c r="L926" s="249" t="s">
        <v>642</v>
      </c>
      <c r="M926" s="249" t="s">
        <v>929</v>
      </c>
      <c r="N926" s="248">
        <v>-38952.18</v>
      </c>
      <c r="O926" s="248">
        <v>-318032.53999999998</v>
      </c>
      <c r="P926" s="247" t="s">
        <v>1214</v>
      </c>
      <c r="Q926" s="247" t="s">
        <v>95</v>
      </c>
    </row>
    <row r="927" spans="1:17" x14ac:dyDescent="0.25">
      <c r="A927" s="247" t="s">
        <v>646</v>
      </c>
      <c r="B927" s="247" t="s">
        <v>25</v>
      </c>
      <c r="C927" s="247" t="s">
        <v>993</v>
      </c>
      <c r="D927" s="247" t="s">
        <v>926</v>
      </c>
      <c r="E927" s="247" t="s">
        <v>1215</v>
      </c>
      <c r="F927" s="247" t="s">
        <v>1910</v>
      </c>
      <c r="G927" s="247" t="s">
        <v>1216</v>
      </c>
      <c r="H927" s="247"/>
      <c r="I927" s="247" t="s">
        <v>1911</v>
      </c>
      <c r="J927" s="247">
        <v>4</v>
      </c>
      <c r="K927" s="247">
        <v>4</v>
      </c>
      <c r="L927" s="249" t="s">
        <v>646</v>
      </c>
      <c r="M927" s="249" t="s">
        <v>933</v>
      </c>
      <c r="N927" s="248">
        <v>-5044.8500000000004</v>
      </c>
      <c r="O927" s="248">
        <v>-10565.86</v>
      </c>
      <c r="P927" s="247" t="s">
        <v>1217</v>
      </c>
      <c r="Q927" s="247" t="s">
        <v>84</v>
      </c>
    </row>
    <row r="928" spans="1:17" x14ac:dyDescent="0.25">
      <c r="A928" s="247" t="s">
        <v>646</v>
      </c>
      <c r="B928" s="247" t="s">
        <v>25</v>
      </c>
      <c r="C928" s="247" t="s">
        <v>993</v>
      </c>
      <c r="D928" s="247" t="s">
        <v>926</v>
      </c>
      <c r="E928" s="247" t="s">
        <v>1215</v>
      </c>
      <c r="F928" s="247" t="s">
        <v>1910</v>
      </c>
      <c r="G928" s="247" t="s">
        <v>1216</v>
      </c>
      <c r="H928" s="247"/>
      <c r="I928" s="247" t="s">
        <v>1911</v>
      </c>
      <c r="J928" s="247">
        <v>4</v>
      </c>
      <c r="K928" s="247">
        <v>4</v>
      </c>
      <c r="L928" s="249" t="s">
        <v>650</v>
      </c>
      <c r="M928" s="249" t="s">
        <v>933</v>
      </c>
      <c r="N928" s="248">
        <v>-3250.87</v>
      </c>
      <c r="O928" s="248">
        <v>-13816.73</v>
      </c>
      <c r="P928" s="247" t="s">
        <v>1217</v>
      </c>
      <c r="Q928" s="247" t="s">
        <v>85</v>
      </c>
    </row>
    <row r="929" spans="1:17" x14ac:dyDescent="0.25">
      <c r="A929" s="247" t="s">
        <v>646</v>
      </c>
      <c r="B929" s="247" t="s">
        <v>25</v>
      </c>
      <c r="C929" s="247" t="s">
        <v>993</v>
      </c>
      <c r="D929" s="247" t="s">
        <v>926</v>
      </c>
      <c r="E929" s="247" t="s">
        <v>1215</v>
      </c>
      <c r="F929" s="247" t="s">
        <v>1910</v>
      </c>
      <c r="G929" s="247" t="s">
        <v>1216</v>
      </c>
      <c r="H929" s="247"/>
      <c r="I929" s="247" t="s">
        <v>1911</v>
      </c>
      <c r="J929" s="247">
        <v>4</v>
      </c>
      <c r="K929" s="247">
        <v>4</v>
      </c>
      <c r="L929" s="249" t="s">
        <v>652</v>
      </c>
      <c r="M929" s="249" t="s">
        <v>933</v>
      </c>
      <c r="N929" s="248">
        <v>-4074.58</v>
      </c>
      <c r="O929" s="248">
        <v>-17891.310000000001</v>
      </c>
      <c r="P929" s="247" t="s">
        <v>1217</v>
      </c>
      <c r="Q929" s="247" t="s">
        <v>86</v>
      </c>
    </row>
    <row r="930" spans="1:17" x14ac:dyDescent="0.25">
      <c r="A930" s="247" t="s">
        <v>646</v>
      </c>
      <c r="B930" s="247" t="s">
        <v>25</v>
      </c>
      <c r="C930" s="247" t="s">
        <v>993</v>
      </c>
      <c r="D930" s="247" t="s">
        <v>926</v>
      </c>
      <c r="E930" s="247" t="s">
        <v>1215</v>
      </c>
      <c r="F930" s="247" t="s">
        <v>1910</v>
      </c>
      <c r="G930" s="247" t="s">
        <v>1216</v>
      </c>
      <c r="H930" s="247"/>
      <c r="I930" s="247" t="s">
        <v>1911</v>
      </c>
      <c r="J930" s="247">
        <v>4</v>
      </c>
      <c r="K930" s="247">
        <v>4</v>
      </c>
      <c r="L930" s="249" t="s">
        <v>789</v>
      </c>
      <c r="M930" s="249" t="s">
        <v>929</v>
      </c>
      <c r="N930" s="248">
        <v>-1904.77</v>
      </c>
      <c r="O930" s="248">
        <v>-1904.77</v>
      </c>
      <c r="P930" s="247" t="s">
        <v>1217</v>
      </c>
      <c r="Q930" s="247" t="s">
        <v>87</v>
      </c>
    </row>
    <row r="931" spans="1:17" x14ac:dyDescent="0.25">
      <c r="A931" s="247" t="s">
        <v>646</v>
      </c>
      <c r="B931" s="247" t="s">
        <v>25</v>
      </c>
      <c r="C931" s="247" t="s">
        <v>993</v>
      </c>
      <c r="D931" s="247" t="s">
        <v>926</v>
      </c>
      <c r="E931" s="247" t="s">
        <v>1215</v>
      </c>
      <c r="F931" s="247" t="s">
        <v>1910</v>
      </c>
      <c r="G931" s="247" t="s">
        <v>1216</v>
      </c>
      <c r="H931" s="247"/>
      <c r="I931" s="247" t="s">
        <v>1911</v>
      </c>
      <c r="J931" s="247">
        <v>4</v>
      </c>
      <c r="K931" s="247">
        <v>4</v>
      </c>
      <c r="L931" s="249" t="s">
        <v>791</v>
      </c>
      <c r="M931" s="249" t="s">
        <v>929</v>
      </c>
      <c r="N931" s="248">
        <v>-4099.97</v>
      </c>
      <c r="O931" s="248">
        <v>-6004.74</v>
      </c>
      <c r="P931" s="247" t="s">
        <v>1217</v>
      </c>
      <c r="Q931" s="247" t="s">
        <v>88</v>
      </c>
    </row>
    <row r="932" spans="1:17" x14ac:dyDescent="0.25">
      <c r="A932" s="247" t="s">
        <v>646</v>
      </c>
      <c r="B932" s="247" t="s">
        <v>25</v>
      </c>
      <c r="C932" s="247" t="s">
        <v>993</v>
      </c>
      <c r="D932" s="247" t="s">
        <v>926</v>
      </c>
      <c r="E932" s="247" t="s">
        <v>1215</v>
      </c>
      <c r="F932" s="247" t="s">
        <v>1910</v>
      </c>
      <c r="G932" s="247" t="s">
        <v>1216</v>
      </c>
      <c r="H932" s="247"/>
      <c r="I932" s="247" t="s">
        <v>1911</v>
      </c>
      <c r="J932" s="247">
        <v>4</v>
      </c>
      <c r="K932" s="247">
        <v>4</v>
      </c>
      <c r="L932" s="249" t="s">
        <v>935</v>
      </c>
      <c r="M932" s="249" t="s">
        <v>929</v>
      </c>
      <c r="N932" s="248">
        <v>-4181.57</v>
      </c>
      <c r="O932" s="248">
        <v>-10186.31</v>
      </c>
      <c r="P932" s="247" t="s">
        <v>1217</v>
      </c>
      <c r="Q932" s="247" t="s">
        <v>89</v>
      </c>
    </row>
    <row r="933" spans="1:17" x14ac:dyDescent="0.25">
      <c r="A933" s="247" t="s">
        <v>646</v>
      </c>
      <c r="B933" s="247" t="s">
        <v>25</v>
      </c>
      <c r="C933" s="247" t="s">
        <v>993</v>
      </c>
      <c r="D933" s="247" t="s">
        <v>926</v>
      </c>
      <c r="E933" s="247" t="s">
        <v>1215</v>
      </c>
      <c r="F933" s="247" t="s">
        <v>1910</v>
      </c>
      <c r="G933" s="247" t="s">
        <v>1216</v>
      </c>
      <c r="H933" s="247"/>
      <c r="I933" s="247" t="s">
        <v>1911</v>
      </c>
      <c r="J933" s="247">
        <v>4</v>
      </c>
      <c r="K933" s="247">
        <v>4</v>
      </c>
      <c r="L933" s="249" t="s">
        <v>936</v>
      </c>
      <c r="M933" s="249" t="s">
        <v>929</v>
      </c>
      <c r="N933" s="248">
        <v>-3346.13</v>
      </c>
      <c r="O933" s="248">
        <v>-13532.44</v>
      </c>
      <c r="P933" s="247" t="s">
        <v>1217</v>
      </c>
      <c r="Q933" s="247" t="s">
        <v>90</v>
      </c>
    </row>
    <row r="934" spans="1:17" x14ac:dyDescent="0.25">
      <c r="A934" s="247" t="s">
        <v>646</v>
      </c>
      <c r="B934" s="247" t="s">
        <v>25</v>
      </c>
      <c r="C934" s="247" t="s">
        <v>993</v>
      </c>
      <c r="D934" s="247" t="s">
        <v>926</v>
      </c>
      <c r="E934" s="247" t="s">
        <v>1215</v>
      </c>
      <c r="F934" s="247" t="s">
        <v>1910</v>
      </c>
      <c r="G934" s="247" t="s">
        <v>1216</v>
      </c>
      <c r="H934" s="247"/>
      <c r="I934" s="247" t="s">
        <v>1911</v>
      </c>
      <c r="J934" s="247">
        <v>4</v>
      </c>
      <c r="K934" s="247">
        <v>4</v>
      </c>
      <c r="L934" s="249" t="s">
        <v>937</v>
      </c>
      <c r="M934" s="249" t="s">
        <v>929</v>
      </c>
      <c r="N934" s="248">
        <v>-3715.04</v>
      </c>
      <c r="O934" s="248">
        <v>-17247.48</v>
      </c>
      <c r="P934" s="247" t="s">
        <v>1217</v>
      </c>
      <c r="Q934" s="247" t="s">
        <v>91</v>
      </c>
    </row>
    <row r="935" spans="1:17" x14ac:dyDescent="0.25">
      <c r="A935" s="247" t="s">
        <v>646</v>
      </c>
      <c r="B935" s="247" t="s">
        <v>25</v>
      </c>
      <c r="C935" s="247" t="s">
        <v>993</v>
      </c>
      <c r="D935" s="247" t="s">
        <v>926</v>
      </c>
      <c r="E935" s="247" t="s">
        <v>1215</v>
      </c>
      <c r="F935" s="247" t="s">
        <v>1910</v>
      </c>
      <c r="G935" s="247" t="s">
        <v>1216</v>
      </c>
      <c r="H935" s="247"/>
      <c r="I935" s="247" t="s">
        <v>1911</v>
      </c>
      <c r="J935" s="247">
        <v>4</v>
      </c>
      <c r="K935" s="247">
        <v>4</v>
      </c>
      <c r="L935" s="249" t="s">
        <v>938</v>
      </c>
      <c r="M935" s="249" t="s">
        <v>929</v>
      </c>
      <c r="N935" s="248">
        <v>-3500</v>
      </c>
      <c r="O935" s="248">
        <v>-20747.48</v>
      </c>
      <c r="P935" s="247" t="s">
        <v>1217</v>
      </c>
      <c r="Q935" s="247" t="s">
        <v>92</v>
      </c>
    </row>
    <row r="936" spans="1:17" x14ac:dyDescent="0.25">
      <c r="A936" s="247" t="s">
        <v>646</v>
      </c>
      <c r="B936" s="247" t="s">
        <v>25</v>
      </c>
      <c r="C936" s="247" t="s">
        <v>993</v>
      </c>
      <c r="D936" s="247" t="s">
        <v>926</v>
      </c>
      <c r="E936" s="247" t="s">
        <v>1215</v>
      </c>
      <c r="F936" s="247" t="s">
        <v>1910</v>
      </c>
      <c r="G936" s="247" t="s">
        <v>1216</v>
      </c>
      <c r="H936" s="247"/>
      <c r="I936" s="247" t="s">
        <v>1911</v>
      </c>
      <c r="J936" s="247">
        <v>4</v>
      </c>
      <c r="K936" s="247">
        <v>4</v>
      </c>
      <c r="L936" s="249" t="s">
        <v>939</v>
      </c>
      <c r="M936" s="249" t="s">
        <v>929</v>
      </c>
      <c r="N936" s="248">
        <v>-3150.1</v>
      </c>
      <c r="O936" s="248">
        <v>-23897.58</v>
      </c>
      <c r="P936" s="247" t="s">
        <v>1217</v>
      </c>
      <c r="Q936" s="247" t="s">
        <v>93</v>
      </c>
    </row>
    <row r="937" spans="1:17" x14ac:dyDescent="0.25">
      <c r="A937" s="247" t="s">
        <v>646</v>
      </c>
      <c r="B937" s="247" t="s">
        <v>25</v>
      </c>
      <c r="C937" s="247" t="s">
        <v>993</v>
      </c>
      <c r="D937" s="247" t="s">
        <v>926</v>
      </c>
      <c r="E937" s="247" t="s">
        <v>1215</v>
      </c>
      <c r="F937" s="247" t="s">
        <v>1910</v>
      </c>
      <c r="G937" s="247" t="s">
        <v>1216</v>
      </c>
      <c r="H937" s="247"/>
      <c r="I937" s="247" t="s">
        <v>1911</v>
      </c>
      <c r="J937" s="247">
        <v>4</v>
      </c>
      <c r="K937" s="247">
        <v>4</v>
      </c>
      <c r="L937" s="249" t="s">
        <v>940</v>
      </c>
      <c r="M937" s="249" t="s">
        <v>929</v>
      </c>
      <c r="N937" s="248">
        <v>-3417.94</v>
      </c>
      <c r="O937" s="248">
        <v>-27315.52</v>
      </c>
      <c r="P937" s="247" t="s">
        <v>1217</v>
      </c>
      <c r="Q937" s="247" t="s">
        <v>94</v>
      </c>
    </row>
    <row r="938" spans="1:17" x14ac:dyDescent="0.25">
      <c r="A938" s="247" t="s">
        <v>646</v>
      </c>
      <c r="B938" s="247" t="s">
        <v>25</v>
      </c>
      <c r="C938" s="247" t="s">
        <v>993</v>
      </c>
      <c r="D938" s="247" t="s">
        <v>926</v>
      </c>
      <c r="E938" s="247" t="s">
        <v>1215</v>
      </c>
      <c r="F938" s="247" t="s">
        <v>1910</v>
      </c>
      <c r="G938" s="247" t="s">
        <v>1216</v>
      </c>
      <c r="H938" s="247"/>
      <c r="I938" s="247" t="s">
        <v>1911</v>
      </c>
      <c r="J938" s="247">
        <v>4</v>
      </c>
      <c r="K938" s="247">
        <v>4</v>
      </c>
      <c r="L938" s="249" t="s">
        <v>642</v>
      </c>
      <c r="M938" s="249" t="s">
        <v>929</v>
      </c>
      <c r="N938" s="248">
        <v>-4498.96</v>
      </c>
      <c r="O938" s="248">
        <v>-31814.48</v>
      </c>
      <c r="P938" s="247" t="s">
        <v>1217</v>
      </c>
      <c r="Q938" s="247" t="s">
        <v>95</v>
      </c>
    </row>
    <row r="939" spans="1:17" x14ac:dyDescent="0.25">
      <c r="A939" s="247" t="s">
        <v>646</v>
      </c>
      <c r="B939" s="247" t="s">
        <v>25</v>
      </c>
      <c r="C939" s="247" t="s">
        <v>993</v>
      </c>
      <c r="D939" s="247" t="s">
        <v>990</v>
      </c>
      <c r="E939" s="247" t="s">
        <v>1218</v>
      </c>
      <c r="F939" s="247" t="s">
        <v>1912</v>
      </c>
      <c r="G939" s="247" t="s">
        <v>1219</v>
      </c>
      <c r="H939" s="247"/>
      <c r="I939" s="247" t="s">
        <v>1913</v>
      </c>
      <c r="J939" s="247">
        <v>3</v>
      </c>
      <c r="K939" s="247">
        <v>3</v>
      </c>
      <c r="L939" s="249" t="s">
        <v>646</v>
      </c>
      <c r="M939" s="249" t="s">
        <v>933</v>
      </c>
      <c r="N939" s="248">
        <v>-18007.25</v>
      </c>
      <c r="O939" s="248">
        <v>-38263.25</v>
      </c>
      <c r="P939" s="247" t="s">
        <v>1220</v>
      </c>
      <c r="Q939" s="247" t="s">
        <v>84</v>
      </c>
    </row>
    <row r="940" spans="1:17" x14ac:dyDescent="0.25">
      <c r="A940" s="247" t="s">
        <v>646</v>
      </c>
      <c r="B940" s="247" t="s">
        <v>25</v>
      </c>
      <c r="C940" s="247" t="s">
        <v>993</v>
      </c>
      <c r="D940" s="247" t="s">
        <v>990</v>
      </c>
      <c r="E940" s="247" t="s">
        <v>1218</v>
      </c>
      <c r="F940" s="247" t="s">
        <v>1912</v>
      </c>
      <c r="G940" s="247" t="s">
        <v>1219</v>
      </c>
      <c r="H940" s="247"/>
      <c r="I940" s="247" t="s">
        <v>1913</v>
      </c>
      <c r="J940" s="247">
        <v>3</v>
      </c>
      <c r="K940" s="247">
        <v>3</v>
      </c>
      <c r="L940" s="249" t="s">
        <v>650</v>
      </c>
      <c r="M940" s="249" t="s">
        <v>933</v>
      </c>
      <c r="N940" s="248">
        <v>-12603.17</v>
      </c>
      <c r="O940" s="248">
        <v>-50866.42</v>
      </c>
      <c r="P940" s="247" t="s">
        <v>1220</v>
      </c>
      <c r="Q940" s="247" t="s">
        <v>85</v>
      </c>
    </row>
    <row r="941" spans="1:17" x14ac:dyDescent="0.25">
      <c r="A941" s="247" t="s">
        <v>646</v>
      </c>
      <c r="B941" s="247" t="s">
        <v>25</v>
      </c>
      <c r="C941" s="247" t="s">
        <v>993</v>
      </c>
      <c r="D941" s="247" t="s">
        <v>990</v>
      </c>
      <c r="E941" s="247" t="s">
        <v>1218</v>
      </c>
      <c r="F941" s="247" t="s">
        <v>1912</v>
      </c>
      <c r="G941" s="247" t="s">
        <v>1219</v>
      </c>
      <c r="H941" s="247"/>
      <c r="I941" s="247" t="s">
        <v>1913</v>
      </c>
      <c r="J941" s="247">
        <v>3</v>
      </c>
      <c r="K941" s="247">
        <v>3</v>
      </c>
      <c r="L941" s="249" t="s">
        <v>652</v>
      </c>
      <c r="M941" s="249" t="s">
        <v>933</v>
      </c>
      <c r="N941" s="248">
        <v>-15343.36</v>
      </c>
      <c r="O941" s="248">
        <v>-66209.78</v>
      </c>
      <c r="P941" s="247" t="s">
        <v>1220</v>
      </c>
      <c r="Q941" s="247" t="s">
        <v>86</v>
      </c>
    </row>
    <row r="942" spans="1:17" x14ac:dyDescent="0.25">
      <c r="A942" s="247" t="s">
        <v>646</v>
      </c>
      <c r="B942" s="247" t="s">
        <v>25</v>
      </c>
      <c r="C942" s="247" t="s">
        <v>993</v>
      </c>
      <c r="D942" s="247" t="s">
        <v>990</v>
      </c>
      <c r="E942" s="247" t="s">
        <v>1218</v>
      </c>
      <c r="F942" s="247" t="s">
        <v>1912</v>
      </c>
      <c r="G942" s="247" t="s">
        <v>1219</v>
      </c>
      <c r="H942" s="247"/>
      <c r="I942" s="247" t="s">
        <v>1913</v>
      </c>
      <c r="J942" s="247">
        <v>3</v>
      </c>
      <c r="K942" s="247">
        <v>3</v>
      </c>
      <c r="L942" s="249" t="s">
        <v>789</v>
      </c>
      <c r="M942" s="249" t="s">
        <v>929</v>
      </c>
      <c r="N942" s="248">
        <v>-12490.64</v>
      </c>
      <c r="O942" s="248">
        <v>-12490.64</v>
      </c>
      <c r="P942" s="247" t="s">
        <v>1220</v>
      </c>
      <c r="Q942" s="247" t="s">
        <v>87</v>
      </c>
    </row>
    <row r="943" spans="1:17" x14ac:dyDescent="0.25">
      <c r="A943" s="247" t="s">
        <v>646</v>
      </c>
      <c r="B943" s="247" t="s">
        <v>25</v>
      </c>
      <c r="C943" s="247" t="s">
        <v>993</v>
      </c>
      <c r="D943" s="247" t="s">
        <v>990</v>
      </c>
      <c r="E943" s="247" t="s">
        <v>1218</v>
      </c>
      <c r="F943" s="247" t="s">
        <v>1912</v>
      </c>
      <c r="G943" s="247" t="s">
        <v>1219</v>
      </c>
      <c r="H943" s="247"/>
      <c r="I943" s="247" t="s">
        <v>1913</v>
      </c>
      <c r="J943" s="247">
        <v>3</v>
      </c>
      <c r="K943" s="247">
        <v>3</v>
      </c>
      <c r="L943" s="249" t="s">
        <v>791</v>
      </c>
      <c r="M943" s="249" t="s">
        <v>929</v>
      </c>
      <c r="N943" s="248">
        <v>-12453.25</v>
      </c>
      <c r="O943" s="248">
        <v>-24943.89</v>
      </c>
      <c r="P943" s="247" t="s">
        <v>1220</v>
      </c>
      <c r="Q943" s="247" t="s">
        <v>88</v>
      </c>
    </row>
    <row r="944" spans="1:17" x14ac:dyDescent="0.25">
      <c r="A944" s="247" t="s">
        <v>646</v>
      </c>
      <c r="B944" s="247" t="s">
        <v>25</v>
      </c>
      <c r="C944" s="247" t="s">
        <v>993</v>
      </c>
      <c r="D944" s="247" t="s">
        <v>990</v>
      </c>
      <c r="E944" s="247" t="s">
        <v>1218</v>
      </c>
      <c r="F944" s="247" t="s">
        <v>1912</v>
      </c>
      <c r="G944" s="247" t="s">
        <v>1219</v>
      </c>
      <c r="H944" s="247"/>
      <c r="I944" s="247" t="s">
        <v>1913</v>
      </c>
      <c r="J944" s="247">
        <v>3</v>
      </c>
      <c r="K944" s="247">
        <v>3</v>
      </c>
      <c r="L944" s="249" t="s">
        <v>935</v>
      </c>
      <c r="M944" s="249" t="s">
        <v>929</v>
      </c>
      <c r="N944" s="248">
        <v>-10954.25</v>
      </c>
      <c r="O944" s="248">
        <v>-35898.14</v>
      </c>
      <c r="P944" s="247" t="s">
        <v>1220</v>
      </c>
      <c r="Q944" s="247" t="s">
        <v>89</v>
      </c>
    </row>
    <row r="945" spans="1:17" x14ac:dyDescent="0.25">
      <c r="A945" s="247" t="s">
        <v>646</v>
      </c>
      <c r="B945" s="247" t="s">
        <v>25</v>
      </c>
      <c r="C945" s="247" t="s">
        <v>993</v>
      </c>
      <c r="D945" s="247" t="s">
        <v>990</v>
      </c>
      <c r="E945" s="247" t="s">
        <v>1218</v>
      </c>
      <c r="F945" s="247" t="s">
        <v>1912</v>
      </c>
      <c r="G945" s="247" t="s">
        <v>1219</v>
      </c>
      <c r="H945" s="247"/>
      <c r="I945" s="247" t="s">
        <v>1913</v>
      </c>
      <c r="J945" s="247">
        <v>3</v>
      </c>
      <c r="K945" s="247">
        <v>3</v>
      </c>
      <c r="L945" s="249" t="s">
        <v>936</v>
      </c>
      <c r="M945" s="249" t="s">
        <v>929</v>
      </c>
      <c r="N945" s="248">
        <v>-12153.45</v>
      </c>
      <c r="O945" s="248">
        <v>-48051.59</v>
      </c>
      <c r="P945" s="247" t="s">
        <v>1220</v>
      </c>
      <c r="Q945" s="247" t="s">
        <v>90</v>
      </c>
    </row>
    <row r="946" spans="1:17" x14ac:dyDescent="0.25">
      <c r="A946" s="247" t="s">
        <v>646</v>
      </c>
      <c r="B946" s="247" t="s">
        <v>25</v>
      </c>
      <c r="C946" s="247" t="s">
        <v>993</v>
      </c>
      <c r="D946" s="247" t="s">
        <v>990</v>
      </c>
      <c r="E946" s="247" t="s">
        <v>1218</v>
      </c>
      <c r="F946" s="247" t="s">
        <v>1912</v>
      </c>
      <c r="G946" s="247" t="s">
        <v>1219</v>
      </c>
      <c r="H946" s="247"/>
      <c r="I946" s="247" t="s">
        <v>1913</v>
      </c>
      <c r="J946" s="247">
        <v>3</v>
      </c>
      <c r="K946" s="247">
        <v>3</v>
      </c>
      <c r="L946" s="249" t="s">
        <v>937</v>
      </c>
      <c r="M946" s="249" t="s">
        <v>929</v>
      </c>
      <c r="N946" s="248">
        <v>-10618.35</v>
      </c>
      <c r="O946" s="248">
        <v>-58669.94</v>
      </c>
      <c r="P946" s="247" t="s">
        <v>1220</v>
      </c>
      <c r="Q946" s="247" t="s">
        <v>91</v>
      </c>
    </row>
    <row r="947" spans="1:17" x14ac:dyDescent="0.25">
      <c r="A947" s="247" t="s">
        <v>646</v>
      </c>
      <c r="B947" s="247" t="s">
        <v>25</v>
      </c>
      <c r="C947" s="247" t="s">
        <v>993</v>
      </c>
      <c r="D947" s="247" t="s">
        <v>990</v>
      </c>
      <c r="E947" s="247" t="s">
        <v>1218</v>
      </c>
      <c r="F947" s="247" t="s">
        <v>1912</v>
      </c>
      <c r="G947" s="247" t="s">
        <v>1219</v>
      </c>
      <c r="H947" s="247"/>
      <c r="I947" s="247" t="s">
        <v>1913</v>
      </c>
      <c r="J947" s="247">
        <v>3</v>
      </c>
      <c r="K947" s="247">
        <v>3</v>
      </c>
      <c r="L947" s="249" t="s">
        <v>938</v>
      </c>
      <c r="M947" s="249" t="s">
        <v>929</v>
      </c>
      <c r="N947" s="248">
        <v>-9688.35</v>
      </c>
      <c r="O947" s="248">
        <v>-68358.289999999994</v>
      </c>
      <c r="P947" s="247" t="s">
        <v>1220</v>
      </c>
      <c r="Q947" s="247" t="s">
        <v>92</v>
      </c>
    </row>
    <row r="948" spans="1:17" x14ac:dyDescent="0.25">
      <c r="A948" s="247" t="s">
        <v>646</v>
      </c>
      <c r="B948" s="247" t="s">
        <v>25</v>
      </c>
      <c r="C948" s="247" t="s">
        <v>993</v>
      </c>
      <c r="D948" s="247" t="s">
        <v>990</v>
      </c>
      <c r="E948" s="247" t="s">
        <v>1218</v>
      </c>
      <c r="F948" s="247" t="s">
        <v>1912</v>
      </c>
      <c r="G948" s="247" t="s">
        <v>1219</v>
      </c>
      <c r="H948" s="247"/>
      <c r="I948" s="247" t="s">
        <v>1913</v>
      </c>
      <c r="J948" s="247">
        <v>3</v>
      </c>
      <c r="K948" s="247">
        <v>3</v>
      </c>
      <c r="L948" s="249" t="s">
        <v>939</v>
      </c>
      <c r="M948" s="249" t="s">
        <v>929</v>
      </c>
      <c r="N948" s="248">
        <v>-7749.17</v>
      </c>
      <c r="O948" s="248">
        <v>-76107.460000000006</v>
      </c>
      <c r="P948" s="247" t="s">
        <v>1220</v>
      </c>
      <c r="Q948" s="247" t="s">
        <v>93</v>
      </c>
    </row>
    <row r="949" spans="1:17" x14ac:dyDescent="0.25">
      <c r="A949" s="247" t="s">
        <v>646</v>
      </c>
      <c r="B949" s="247" t="s">
        <v>25</v>
      </c>
      <c r="C949" s="247" t="s">
        <v>993</v>
      </c>
      <c r="D949" s="247" t="s">
        <v>990</v>
      </c>
      <c r="E949" s="247" t="s">
        <v>1218</v>
      </c>
      <c r="F949" s="247" t="s">
        <v>1912</v>
      </c>
      <c r="G949" s="247" t="s">
        <v>1219</v>
      </c>
      <c r="H949" s="247"/>
      <c r="I949" s="247" t="s">
        <v>1913</v>
      </c>
      <c r="J949" s="247">
        <v>3</v>
      </c>
      <c r="K949" s="247">
        <v>3</v>
      </c>
      <c r="L949" s="249" t="s">
        <v>940</v>
      </c>
      <c r="M949" s="249" t="s">
        <v>929</v>
      </c>
      <c r="N949" s="248">
        <v>-11293.5</v>
      </c>
      <c r="O949" s="248">
        <v>-87400.960000000006</v>
      </c>
      <c r="P949" s="247" t="s">
        <v>1220</v>
      </c>
      <c r="Q949" s="247" t="s">
        <v>94</v>
      </c>
    </row>
    <row r="950" spans="1:17" x14ac:dyDescent="0.25">
      <c r="A950" s="247" t="s">
        <v>646</v>
      </c>
      <c r="B950" s="247" t="s">
        <v>25</v>
      </c>
      <c r="C950" s="247" t="s">
        <v>993</v>
      </c>
      <c r="D950" s="247" t="s">
        <v>990</v>
      </c>
      <c r="E950" s="247" t="s">
        <v>1218</v>
      </c>
      <c r="F950" s="247" t="s">
        <v>1912</v>
      </c>
      <c r="G950" s="247" t="s">
        <v>1219</v>
      </c>
      <c r="H950" s="247"/>
      <c r="I950" s="247" t="s">
        <v>1913</v>
      </c>
      <c r="J950" s="247">
        <v>3</v>
      </c>
      <c r="K950" s="247">
        <v>3</v>
      </c>
      <c r="L950" s="249" t="s">
        <v>642</v>
      </c>
      <c r="M950" s="249" t="s">
        <v>929</v>
      </c>
      <c r="N950" s="248">
        <v>-10709.5</v>
      </c>
      <c r="O950" s="248">
        <v>-98110.46</v>
      </c>
      <c r="P950" s="247" t="s">
        <v>1220</v>
      </c>
      <c r="Q950" s="247" t="s">
        <v>95</v>
      </c>
    </row>
    <row r="951" spans="1:17" x14ac:dyDescent="0.25">
      <c r="A951" s="247" t="s">
        <v>646</v>
      </c>
      <c r="B951" s="247" t="s">
        <v>25</v>
      </c>
      <c r="C951" s="247" t="s">
        <v>993</v>
      </c>
      <c r="D951" s="247" t="s">
        <v>990</v>
      </c>
      <c r="E951" s="247" t="s">
        <v>1221</v>
      </c>
      <c r="F951" s="247" t="s">
        <v>1914</v>
      </c>
      <c r="G951" s="247" t="s">
        <v>1222</v>
      </c>
      <c r="H951" s="247"/>
      <c r="I951" s="247" t="s">
        <v>1915</v>
      </c>
      <c r="J951" s="247">
        <v>4</v>
      </c>
      <c r="K951" s="247">
        <v>4</v>
      </c>
      <c r="L951" s="249" t="s">
        <v>646</v>
      </c>
      <c r="M951" s="249" t="s">
        <v>933</v>
      </c>
      <c r="N951" s="248">
        <v>-11796.73</v>
      </c>
      <c r="O951" s="248">
        <v>-25384.15</v>
      </c>
      <c r="P951" s="247" t="s">
        <v>1223</v>
      </c>
      <c r="Q951" s="247" t="s">
        <v>84</v>
      </c>
    </row>
    <row r="952" spans="1:17" x14ac:dyDescent="0.25">
      <c r="A952" s="247" t="s">
        <v>646</v>
      </c>
      <c r="B952" s="247" t="s">
        <v>25</v>
      </c>
      <c r="C952" s="247" t="s">
        <v>993</v>
      </c>
      <c r="D952" s="247" t="s">
        <v>990</v>
      </c>
      <c r="E952" s="247" t="s">
        <v>1221</v>
      </c>
      <c r="F952" s="247" t="s">
        <v>1914</v>
      </c>
      <c r="G952" s="247" t="s">
        <v>1222</v>
      </c>
      <c r="H952" s="247"/>
      <c r="I952" s="247" t="s">
        <v>1915</v>
      </c>
      <c r="J952" s="247">
        <v>4</v>
      </c>
      <c r="K952" s="247">
        <v>4</v>
      </c>
      <c r="L952" s="249" t="s">
        <v>650</v>
      </c>
      <c r="M952" s="249" t="s">
        <v>933</v>
      </c>
      <c r="N952" s="248">
        <v>-5622.92</v>
      </c>
      <c r="O952" s="248">
        <v>-31007.07</v>
      </c>
      <c r="P952" s="247" t="s">
        <v>1223</v>
      </c>
      <c r="Q952" s="247" t="s">
        <v>85</v>
      </c>
    </row>
    <row r="953" spans="1:17" x14ac:dyDescent="0.25">
      <c r="A953" s="247" t="s">
        <v>646</v>
      </c>
      <c r="B953" s="247" t="s">
        <v>25</v>
      </c>
      <c r="C953" s="247" t="s">
        <v>993</v>
      </c>
      <c r="D953" s="247" t="s">
        <v>990</v>
      </c>
      <c r="E953" s="247" t="s">
        <v>1221</v>
      </c>
      <c r="F953" s="247" t="s">
        <v>1914</v>
      </c>
      <c r="G953" s="247" t="s">
        <v>1222</v>
      </c>
      <c r="H953" s="247"/>
      <c r="I953" s="247" t="s">
        <v>1915</v>
      </c>
      <c r="J953" s="247">
        <v>4</v>
      </c>
      <c r="K953" s="247">
        <v>4</v>
      </c>
      <c r="L953" s="249" t="s">
        <v>652</v>
      </c>
      <c r="M953" s="249" t="s">
        <v>933</v>
      </c>
      <c r="N953" s="248">
        <v>-10741.44</v>
      </c>
      <c r="O953" s="248">
        <v>-41748.51</v>
      </c>
      <c r="P953" s="247" t="s">
        <v>1223</v>
      </c>
      <c r="Q953" s="247" t="s">
        <v>86</v>
      </c>
    </row>
    <row r="954" spans="1:17" x14ac:dyDescent="0.25">
      <c r="A954" s="247" t="s">
        <v>646</v>
      </c>
      <c r="B954" s="247" t="s">
        <v>25</v>
      </c>
      <c r="C954" s="247" t="s">
        <v>993</v>
      </c>
      <c r="D954" s="247" t="s">
        <v>990</v>
      </c>
      <c r="E954" s="247" t="s">
        <v>1221</v>
      </c>
      <c r="F954" s="247" t="s">
        <v>1914</v>
      </c>
      <c r="G954" s="247" t="s">
        <v>1222</v>
      </c>
      <c r="H954" s="247"/>
      <c r="I954" s="247" t="s">
        <v>1915</v>
      </c>
      <c r="J954" s="247">
        <v>4</v>
      </c>
      <c r="K954" s="247">
        <v>4</v>
      </c>
      <c r="L954" s="249" t="s">
        <v>789</v>
      </c>
      <c r="M954" s="249" t="s">
        <v>929</v>
      </c>
      <c r="N954" s="248">
        <v>-8501.34</v>
      </c>
      <c r="O954" s="248">
        <v>-8501.34</v>
      </c>
      <c r="P954" s="247" t="s">
        <v>1223</v>
      </c>
      <c r="Q954" s="247" t="s">
        <v>87</v>
      </c>
    </row>
    <row r="955" spans="1:17" x14ac:dyDescent="0.25">
      <c r="A955" s="247" t="s">
        <v>646</v>
      </c>
      <c r="B955" s="247" t="s">
        <v>25</v>
      </c>
      <c r="C955" s="247" t="s">
        <v>993</v>
      </c>
      <c r="D955" s="247" t="s">
        <v>990</v>
      </c>
      <c r="E955" s="247" t="s">
        <v>1221</v>
      </c>
      <c r="F955" s="247" t="s">
        <v>1914</v>
      </c>
      <c r="G955" s="247" t="s">
        <v>1222</v>
      </c>
      <c r="H955" s="247"/>
      <c r="I955" s="247" t="s">
        <v>1915</v>
      </c>
      <c r="J955" s="247">
        <v>4</v>
      </c>
      <c r="K955" s="247">
        <v>4</v>
      </c>
      <c r="L955" s="249" t="s">
        <v>791</v>
      </c>
      <c r="M955" s="249" t="s">
        <v>929</v>
      </c>
      <c r="N955" s="248">
        <v>-14345.64</v>
      </c>
      <c r="O955" s="248">
        <v>-22846.98</v>
      </c>
      <c r="P955" s="247" t="s">
        <v>1223</v>
      </c>
      <c r="Q955" s="247" t="s">
        <v>88</v>
      </c>
    </row>
    <row r="956" spans="1:17" x14ac:dyDescent="0.25">
      <c r="A956" s="247" t="s">
        <v>646</v>
      </c>
      <c r="B956" s="247" t="s">
        <v>25</v>
      </c>
      <c r="C956" s="247" t="s">
        <v>993</v>
      </c>
      <c r="D956" s="247" t="s">
        <v>990</v>
      </c>
      <c r="E956" s="247" t="s">
        <v>1221</v>
      </c>
      <c r="F956" s="247" t="s">
        <v>1914</v>
      </c>
      <c r="G956" s="247" t="s">
        <v>1222</v>
      </c>
      <c r="H956" s="247"/>
      <c r="I956" s="247" t="s">
        <v>1915</v>
      </c>
      <c r="J956" s="247">
        <v>4</v>
      </c>
      <c r="K956" s="247">
        <v>4</v>
      </c>
      <c r="L956" s="249" t="s">
        <v>935</v>
      </c>
      <c r="M956" s="249" t="s">
        <v>929</v>
      </c>
      <c r="N956" s="248">
        <v>-4257.1000000000004</v>
      </c>
      <c r="O956" s="248">
        <v>-27104.080000000002</v>
      </c>
      <c r="P956" s="247" t="s">
        <v>1223</v>
      </c>
      <c r="Q956" s="247" t="s">
        <v>89</v>
      </c>
    </row>
    <row r="957" spans="1:17" x14ac:dyDescent="0.25">
      <c r="A957" s="247" t="s">
        <v>646</v>
      </c>
      <c r="B957" s="247" t="s">
        <v>25</v>
      </c>
      <c r="C957" s="247" t="s">
        <v>993</v>
      </c>
      <c r="D957" s="247" t="s">
        <v>990</v>
      </c>
      <c r="E957" s="247" t="s">
        <v>1221</v>
      </c>
      <c r="F957" s="247" t="s">
        <v>1914</v>
      </c>
      <c r="G957" s="247" t="s">
        <v>1222</v>
      </c>
      <c r="H957" s="247"/>
      <c r="I957" s="247" t="s">
        <v>1915</v>
      </c>
      <c r="J957" s="247">
        <v>4</v>
      </c>
      <c r="K957" s="247">
        <v>4</v>
      </c>
      <c r="L957" s="249" t="s">
        <v>936</v>
      </c>
      <c r="M957" s="249" t="s">
        <v>929</v>
      </c>
      <c r="N957" s="248">
        <v>-3753.33</v>
      </c>
      <c r="O957" s="248">
        <v>-30857.41</v>
      </c>
      <c r="P957" s="247" t="s">
        <v>1223</v>
      </c>
      <c r="Q957" s="247" t="s">
        <v>90</v>
      </c>
    </row>
    <row r="958" spans="1:17" x14ac:dyDescent="0.25">
      <c r="A958" s="247" t="s">
        <v>646</v>
      </c>
      <c r="B958" s="247" t="s">
        <v>25</v>
      </c>
      <c r="C958" s="247" t="s">
        <v>993</v>
      </c>
      <c r="D958" s="247" t="s">
        <v>990</v>
      </c>
      <c r="E958" s="247" t="s">
        <v>1221</v>
      </c>
      <c r="F958" s="247" t="s">
        <v>1914</v>
      </c>
      <c r="G958" s="247" t="s">
        <v>1222</v>
      </c>
      <c r="H958" s="247"/>
      <c r="I958" s="247" t="s">
        <v>1915</v>
      </c>
      <c r="J958" s="247">
        <v>4</v>
      </c>
      <c r="K958" s="247">
        <v>4</v>
      </c>
      <c r="L958" s="249" t="s">
        <v>937</v>
      </c>
      <c r="M958" s="249" t="s">
        <v>929</v>
      </c>
      <c r="N958" s="248">
        <v>-4320.18</v>
      </c>
      <c r="O958" s="248">
        <v>-35177.589999999997</v>
      </c>
      <c r="P958" s="247" t="s">
        <v>1223</v>
      </c>
      <c r="Q958" s="247" t="s">
        <v>91</v>
      </c>
    </row>
    <row r="959" spans="1:17" x14ac:dyDescent="0.25">
      <c r="A959" s="247" t="s">
        <v>646</v>
      </c>
      <c r="B959" s="247" t="s">
        <v>25</v>
      </c>
      <c r="C959" s="247" t="s">
        <v>993</v>
      </c>
      <c r="D959" s="247" t="s">
        <v>990</v>
      </c>
      <c r="E959" s="247" t="s">
        <v>1221</v>
      </c>
      <c r="F959" s="247" t="s">
        <v>1914</v>
      </c>
      <c r="G959" s="247" t="s">
        <v>1222</v>
      </c>
      <c r="H959" s="247"/>
      <c r="I959" s="247" t="s">
        <v>1915</v>
      </c>
      <c r="J959" s="247">
        <v>4</v>
      </c>
      <c r="K959" s="247">
        <v>4</v>
      </c>
      <c r="L959" s="249" t="s">
        <v>938</v>
      </c>
      <c r="M959" s="249" t="s">
        <v>929</v>
      </c>
      <c r="N959" s="248">
        <v>-4766.41</v>
      </c>
      <c r="O959" s="248">
        <v>-39944</v>
      </c>
      <c r="P959" s="247" t="s">
        <v>1223</v>
      </c>
      <c r="Q959" s="247" t="s">
        <v>92</v>
      </c>
    </row>
    <row r="960" spans="1:17" x14ac:dyDescent="0.25">
      <c r="A960" s="247" t="s">
        <v>646</v>
      </c>
      <c r="B960" s="247" t="s">
        <v>25</v>
      </c>
      <c r="C960" s="247" t="s">
        <v>993</v>
      </c>
      <c r="D960" s="247" t="s">
        <v>990</v>
      </c>
      <c r="E960" s="247" t="s">
        <v>1221</v>
      </c>
      <c r="F960" s="247" t="s">
        <v>1914</v>
      </c>
      <c r="G960" s="247" t="s">
        <v>1222</v>
      </c>
      <c r="H960" s="247"/>
      <c r="I960" s="247" t="s">
        <v>1915</v>
      </c>
      <c r="J960" s="247">
        <v>4</v>
      </c>
      <c r="K960" s="247">
        <v>4</v>
      </c>
      <c r="L960" s="249" t="s">
        <v>939</v>
      </c>
      <c r="M960" s="249" t="s">
        <v>929</v>
      </c>
      <c r="N960" s="248">
        <v>-2934.25</v>
      </c>
      <c r="O960" s="248">
        <v>-42878.25</v>
      </c>
      <c r="P960" s="247" t="s">
        <v>1223</v>
      </c>
      <c r="Q960" s="247" t="s">
        <v>93</v>
      </c>
    </row>
    <row r="961" spans="1:17" x14ac:dyDescent="0.25">
      <c r="A961" s="247" t="s">
        <v>646</v>
      </c>
      <c r="B961" s="247" t="s">
        <v>25</v>
      </c>
      <c r="C961" s="247" t="s">
        <v>993</v>
      </c>
      <c r="D961" s="247" t="s">
        <v>990</v>
      </c>
      <c r="E961" s="247" t="s">
        <v>1221</v>
      </c>
      <c r="F961" s="247" t="s">
        <v>1914</v>
      </c>
      <c r="G961" s="247" t="s">
        <v>1222</v>
      </c>
      <c r="H961" s="247"/>
      <c r="I961" s="247" t="s">
        <v>1915</v>
      </c>
      <c r="J961" s="247">
        <v>4</v>
      </c>
      <c r="K961" s="247">
        <v>4</v>
      </c>
      <c r="L961" s="249" t="s">
        <v>940</v>
      </c>
      <c r="M961" s="249" t="s">
        <v>929</v>
      </c>
      <c r="N961" s="248">
        <v>-4405.66</v>
      </c>
      <c r="O961" s="248">
        <v>-47283.91</v>
      </c>
      <c r="P961" s="247" t="s">
        <v>1223</v>
      </c>
      <c r="Q961" s="247" t="s">
        <v>94</v>
      </c>
    </row>
    <row r="962" spans="1:17" x14ac:dyDescent="0.25">
      <c r="A962" s="247" t="s">
        <v>646</v>
      </c>
      <c r="B962" s="247" t="s">
        <v>25</v>
      </c>
      <c r="C962" s="247" t="s">
        <v>993</v>
      </c>
      <c r="D962" s="247" t="s">
        <v>990</v>
      </c>
      <c r="E962" s="247" t="s">
        <v>1221</v>
      </c>
      <c r="F962" s="247" t="s">
        <v>1914</v>
      </c>
      <c r="G962" s="247" t="s">
        <v>1222</v>
      </c>
      <c r="H962" s="247"/>
      <c r="I962" s="247" t="s">
        <v>1915</v>
      </c>
      <c r="J962" s="247">
        <v>4</v>
      </c>
      <c r="K962" s="247">
        <v>4</v>
      </c>
      <c r="L962" s="249" t="s">
        <v>642</v>
      </c>
      <c r="M962" s="249" t="s">
        <v>929</v>
      </c>
      <c r="N962" s="248">
        <v>-1821.97</v>
      </c>
      <c r="O962" s="248">
        <v>-49105.88</v>
      </c>
      <c r="P962" s="247" t="s">
        <v>1223</v>
      </c>
      <c r="Q962" s="247" t="s">
        <v>95</v>
      </c>
    </row>
    <row r="963" spans="1:17" x14ac:dyDescent="0.25">
      <c r="A963" s="247" t="s">
        <v>646</v>
      </c>
      <c r="B963" s="247" t="s">
        <v>25</v>
      </c>
      <c r="C963" s="247" t="s">
        <v>993</v>
      </c>
      <c r="D963" s="247" t="s">
        <v>711</v>
      </c>
      <c r="E963" s="247" t="s">
        <v>1022</v>
      </c>
      <c r="F963" s="247" t="s">
        <v>1916</v>
      </c>
      <c r="G963" s="247" t="s">
        <v>1224</v>
      </c>
      <c r="H963" s="247"/>
      <c r="I963" s="247" t="s">
        <v>1917</v>
      </c>
      <c r="J963" s="247">
        <v>18</v>
      </c>
      <c r="K963" s="247">
        <v>18</v>
      </c>
      <c r="L963" s="249" t="s">
        <v>646</v>
      </c>
      <c r="M963" s="249" t="s">
        <v>933</v>
      </c>
      <c r="N963" s="248">
        <v>-1030</v>
      </c>
      <c r="O963" s="248">
        <v>-1270</v>
      </c>
      <c r="P963" s="247" t="s">
        <v>1225</v>
      </c>
      <c r="Q963" s="247" t="s">
        <v>84</v>
      </c>
    </row>
    <row r="964" spans="1:17" x14ac:dyDescent="0.25">
      <c r="A964" s="247" t="s">
        <v>646</v>
      </c>
      <c r="B964" s="247" t="s">
        <v>25</v>
      </c>
      <c r="C964" s="247" t="s">
        <v>993</v>
      </c>
      <c r="D964" s="247" t="s">
        <v>711</v>
      </c>
      <c r="E964" s="247" t="s">
        <v>1022</v>
      </c>
      <c r="F964" s="247" t="s">
        <v>1916</v>
      </c>
      <c r="G964" s="247" t="s">
        <v>1224</v>
      </c>
      <c r="H964" s="247"/>
      <c r="I964" s="247" t="s">
        <v>1917</v>
      </c>
      <c r="J964" s="247">
        <v>18</v>
      </c>
      <c r="K964" s="247">
        <v>18</v>
      </c>
      <c r="L964" s="249" t="s">
        <v>650</v>
      </c>
      <c r="M964" s="249" t="s">
        <v>933</v>
      </c>
      <c r="N964" s="248">
        <v>-314.5</v>
      </c>
      <c r="O964" s="248">
        <v>-1584.5</v>
      </c>
      <c r="P964" s="247" t="s">
        <v>1225</v>
      </c>
      <c r="Q964" s="247" t="s">
        <v>85</v>
      </c>
    </row>
    <row r="965" spans="1:17" x14ac:dyDescent="0.25">
      <c r="A965" s="247" t="s">
        <v>646</v>
      </c>
      <c r="B965" s="247" t="s">
        <v>25</v>
      </c>
      <c r="C965" s="247" t="s">
        <v>993</v>
      </c>
      <c r="D965" s="247" t="s">
        <v>711</v>
      </c>
      <c r="E965" s="247" t="s">
        <v>1022</v>
      </c>
      <c r="F965" s="247" t="s">
        <v>1916</v>
      </c>
      <c r="G965" s="247" t="s">
        <v>1224</v>
      </c>
      <c r="H965" s="247"/>
      <c r="I965" s="247" t="s">
        <v>1917</v>
      </c>
      <c r="J965" s="247">
        <v>18</v>
      </c>
      <c r="K965" s="247">
        <v>18</v>
      </c>
      <c r="L965" s="249" t="s">
        <v>652</v>
      </c>
      <c r="M965" s="249" t="s">
        <v>933</v>
      </c>
      <c r="N965" s="248">
        <v>-439.5</v>
      </c>
      <c r="O965" s="248">
        <v>-2024</v>
      </c>
      <c r="P965" s="247" t="s">
        <v>1225</v>
      </c>
      <c r="Q965" s="247" t="s">
        <v>86</v>
      </c>
    </row>
    <row r="966" spans="1:17" x14ac:dyDescent="0.25">
      <c r="A966" s="247" t="s">
        <v>646</v>
      </c>
      <c r="B966" s="247" t="s">
        <v>25</v>
      </c>
      <c r="C966" s="247" t="s">
        <v>993</v>
      </c>
      <c r="D966" s="247" t="s">
        <v>711</v>
      </c>
      <c r="E966" s="247" t="s">
        <v>1022</v>
      </c>
      <c r="F966" s="247" t="s">
        <v>1916</v>
      </c>
      <c r="G966" s="247" t="s">
        <v>1224</v>
      </c>
      <c r="H966" s="247"/>
      <c r="I966" s="247" t="s">
        <v>1917</v>
      </c>
      <c r="J966" s="247">
        <v>18</v>
      </c>
      <c r="K966" s="247">
        <v>18</v>
      </c>
      <c r="L966" s="249" t="s">
        <v>789</v>
      </c>
      <c r="M966" s="249" t="s">
        <v>929</v>
      </c>
      <c r="N966" s="248">
        <v>-186.25</v>
      </c>
      <c r="O966" s="248">
        <v>-186.25</v>
      </c>
      <c r="P966" s="247" t="s">
        <v>1225</v>
      </c>
      <c r="Q966" s="247" t="s">
        <v>87</v>
      </c>
    </row>
    <row r="967" spans="1:17" x14ac:dyDescent="0.25">
      <c r="A967" s="247" t="s">
        <v>646</v>
      </c>
      <c r="B967" s="247" t="s">
        <v>25</v>
      </c>
      <c r="C967" s="247" t="s">
        <v>993</v>
      </c>
      <c r="D967" s="247" t="s">
        <v>711</v>
      </c>
      <c r="E967" s="247" t="s">
        <v>1022</v>
      </c>
      <c r="F967" s="247" t="s">
        <v>1916</v>
      </c>
      <c r="G967" s="247" t="s">
        <v>1224</v>
      </c>
      <c r="H967" s="247"/>
      <c r="I967" s="247" t="s">
        <v>1917</v>
      </c>
      <c r="J967" s="247">
        <v>18</v>
      </c>
      <c r="K967" s="247">
        <v>18</v>
      </c>
      <c r="L967" s="249" t="s">
        <v>791</v>
      </c>
      <c r="M967" s="249" t="s">
        <v>929</v>
      </c>
      <c r="N967" s="248">
        <v>-123.25</v>
      </c>
      <c r="O967" s="248">
        <v>-309.5</v>
      </c>
      <c r="P967" s="247" t="s">
        <v>1225</v>
      </c>
      <c r="Q967" s="247" t="s">
        <v>88</v>
      </c>
    </row>
    <row r="968" spans="1:17" x14ac:dyDescent="0.25">
      <c r="A968" s="247" t="s">
        <v>646</v>
      </c>
      <c r="B968" s="247" t="s">
        <v>25</v>
      </c>
      <c r="C968" s="247" t="s">
        <v>993</v>
      </c>
      <c r="D968" s="247" t="s">
        <v>711</v>
      </c>
      <c r="E968" s="247" t="s">
        <v>1022</v>
      </c>
      <c r="F968" s="247" t="s">
        <v>1916</v>
      </c>
      <c r="G968" s="247" t="s">
        <v>1224</v>
      </c>
      <c r="H968" s="247"/>
      <c r="I968" s="247" t="s">
        <v>1917</v>
      </c>
      <c r="J968" s="247">
        <v>18</v>
      </c>
      <c r="K968" s="247">
        <v>18</v>
      </c>
      <c r="L968" s="249" t="s">
        <v>935</v>
      </c>
      <c r="M968" s="249" t="s">
        <v>929</v>
      </c>
      <c r="N968" s="248">
        <v>-131.75</v>
      </c>
      <c r="O968" s="248">
        <v>-441.25</v>
      </c>
      <c r="P968" s="247" t="s">
        <v>1225</v>
      </c>
      <c r="Q968" s="247" t="s">
        <v>89</v>
      </c>
    </row>
    <row r="969" spans="1:17" x14ac:dyDescent="0.25">
      <c r="A969" s="247" t="s">
        <v>646</v>
      </c>
      <c r="B969" s="247" t="s">
        <v>25</v>
      </c>
      <c r="C969" s="247" t="s">
        <v>993</v>
      </c>
      <c r="D969" s="247" t="s">
        <v>711</v>
      </c>
      <c r="E969" s="247" t="s">
        <v>1022</v>
      </c>
      <c r="F969" s="247" t="s">
        <v>1916</v>
      </c>
      <c r="G969" s="247" t="s">
        <v>1224</v>
      </c>
      <c r="H969" s="247"/>
      <c r="I969" s="247" t="s">
        <v>1917</v>
      </c>
      <c r="J969" s="247">
        <v>18</v>
      </c>
      <c r="K969" s="247">
        <v>18</v>
      </c>
      <c r="L969" s="249" t="s">
        <v>936</v>
      </c>
      <c r="M969" s="249" t="s">
        <v>929</v>
      </c>
      <c r="N969" s="248">
        <v>-160</v>
      </c>
      <c r="O969" s="248">
        <v>-601.25</v>
      </c>
      <c r="P969" s="247" t="s">
        <v>1225</v>
      </c>
      <c r="Q969" s="247" t="s">
        <v>90</v>
      </c>
    </row>
    <row r="970" spans="1:17" x14ac:dyDescent="0.25">
      <c r="A970" s="247" t="s">
        <v>646</v>
      </c>
      <c r="B970" s="247" t="s">
        <v>25</v>
      </c>
      <c r="C970" s="247" t="s">
        <v>993</v>
      </c>
      <c r="D970" s="247" t="s">
        <v>711</v>
      </c>
      <c r="E970" s="247" t="s">
        <v>1022</v>
      </c>
      <c r="F970" s="247" t="s">
        <v>1916</v>
      </c>
      <c r="G970" s="247" t="s">
        <v>1224</v>
      </c>
      <c r="H970" s="247"/>
      <c r="I970" s="247" t="s">
        <v>1917</v>
      </c>
      <c r="J970" s="247">
        <v>18</v>
      </c>
      <c r="K970" s="247">
        <v>18</v>
      </c>
      <c r="L970" s="249" t="s">
        <v>937</v>
      </c>
      <c r="M970" s="249" t="s">
        <v>929</v>
      </c>
      <c r="N970" s="248">
        <v>0</v>
      </c>
      <c r="O970" s="248">
        <v>-601.25</v>
      </c>
      <c r="P970" s="247" t="s">
        <v>1225</v>
      </c>
      <c r="Q970" s="247" t="s">
        <v>91</v>
      </c>
    </row>
    <row r="971" spans="1:17" x14ac:dyDescent="0.25">
      <c r="A971" s="247" t="s">
        <v>646</v>
      </c>
      <c r="B971" s="247" t="s">
        <v>25</v>
      </c>
      <c r="C971" s="247" t="s">
        <v>993</v>
      </c>
      <c r="D971" s="247" t="s">
        <v>711</v>
      </c>
      <c r="E971" s="247" t="s">
        <v>1022</v>
      </c>
      <c r="F971" s="247" t="s">
        <v>1916</v>
      </c>
      <c r="G971" s="247" t="s">
        <v>1224</v>
      </c>
      <c r="H971" s="247"/>
      <c r="I971" s="247" t="s">
        <v>1917</v>
      </c>
      <c r="J971" s="247">
        <v>18</v>
      </c>
      <c r="K971" s="247">
        <v>18</v>
      </c>
      <c r="L971" s="249" t="s">
        <v>938</v>
      </c>
      <c r="M971" s="249" t="s">
        <v>929</v>
      </c>
      <c r="N971" s="248">
        <v>-160</v>
      </c>
      <c r="O971" s="248">
        <v>-761.25</v>
      </c>
      <c r="P971" s="247" t="s">
        <v>1225</v>
      </c>
      <c r="Q971" s="247" t="s">
        <v>92</v>
      </c>
    </row>
    <row r="972" spans="1:17" x14ac:dyDescent="0.25">
      <c r="A972" s="247" t="s">
        <v>646</v>
      </c>
      <c r="B972" s="247" t="s">
        <v>25</v>
      </c>
      <c r="C972" s="247" t="s">
        <v>993</v>
      </c>
      <c r="D972" s="247" t="s">
        <v>711</v>
      </c>
      <c r="E972" s="247" t="s">
        <v>1022</v>
      </c>
      <c r="F972" s="247" t="s">
        <v>1916</v>
      </c>
      <c r="G972" s="247" t="s">
        <v>1224</v>
      </c>
      <c r="H972" s="247"/>
      <c r="I972" s="247" t="s">
        <v>1917</v>
      </c>
      <c r="J972" s="247">
        <v>18</v>
      </c>
      <c r="K972" s="247">
        <v>18</v>
      </c>
      <c r="L972" s="249" t="s">
        <v>939</v>
      </c>
      <c r="M972" s="249" t="s">
        <v>929</v>
      </c>
      <c r="N972" s="248">
        <v>-240</v>
      </c>
      <c r="O972" s="248">
        <v>-1001.25</v>
      </c>
      <c r="P972" s="247" t="s">
        <v>1225</v>
      </c>
      <c r="Q972" s="247" t="s">
        <v>93</v>
      </c>
    </row>
    <row r="973" spans="1:17" x14ac:dyDescent="0.25">
      <c r="A973" s="247" t="s">
        <v>646</v>
      </c>
      <c r="B973" s="247" t="s">
        <v>25</v>
      </c>
      <c r="C973" s="247" t="s">
        <v>993</v>
      </c>
      <c r="D973" s="247" t="s">
        <v>711</v>
      </c>
      <c r="E973" s="247" t="s">
        <v>1022</v>
      </c>
      <c r="F973" s="247" t="s">
        <v>1916</v>
      </c>
      <c r="G973" s="247" t="s">
        <v>1224</v>
      </c>
      <c r="H973" s="247"/>
      <c r="I973" s="247" t="s">
        <v>1917</v>
      </c>
      <c r="J973" s="247">
        <v>18</v>
      </c>
      <c r="K973" s="247">
        <v>18</v>
      </c>
      <c r="L973" s="249" t="s">
        <v>940</v>
      </c>
      <c r="M973" s="249" t="s">
        <v>929</v>
      </c>
      <c r="N973" s="248">
        <v>-210</v>
      </c>
      <c r="O973" s="248">
        <v>-1211.25</v>
      </c>
      <c r="P973" s="247" t="s">
        <v>1225</v>
      </c>
      <c r="Q973" s="247" t="s">
        <v>94</v>
      </c>
    </row>
    <row r="974" spans="1:17" x14ac:dyDescent="0.25">
      <c r="A974" s="247" t="s">
        <v>646</v>
      </c>
      <c r="B974" s="247" t="s">
        <v>25</v>
      </c>
      <c r="C974" s="247" t="s">
        <v>993</v>
      </c>
      <c r="D974" s="247" t="s">
        <v>711</v>
      </c>
      <c r="E974" s="247" t="s">
        <v>1022</v>
      </c>
      <c r="F974" s="247" t="s">
        <v>1916</v>
      </c>
      <c r="G974" s="247" t="s">
        <v>1224</v>
      </c>
      <c r="H974" s="247"/>
      <c r="I974" s="247" t="s">
        <v>1917</v>
      </c>
      <c r="J974" s="247">
        <v>18</v>
      </c>
      <c r="K974" s="247">
        <v>18</v>
      </c>
      <c r="L974" s="249" t="s">
        <v>642</v>
      </c>
      <c r="M974" s="249" t="s">
        <v>929</v>
      </c>
      <c r="N974" s="248">
        <v>-240</v>
      </c>
      <c r="O974" s="248">
        <v>-1451.25</v>
      </c>
      <c r="P974" s="247" t="s">
        <v>1225</v>
      </c>
      <c r="Q974" s="247" t="s">
        <v>95</v>
      </c>
    </row>
    <row r="975" spans="1:17" x14ac:dyDescent="0.25">
      <c r="A975" s="247" t="s">
        <v>646</v>
      </c>
      <c r="B975" s="247" t="s">
        <v>25</v>
      </c>
      <c r="C975" s="247" t="s">
        <v>993</v>
      </c>
      <c r="D975" s="247" t="s">
        <v>711</v>
      </c>
      <c r="E975" s="247" t="s">
        <v>1198</v>
      </c>
      <c r="F975" s="247" t="s">
        <v>1918</v>
      </c>
      <c r="G975" s="247" t="s">
        <v>1226</v>
      </c>
      <c r="H975" s="247"/>
      <c r="I975" s="247" t="s">
        <v>1919</v>
      </c>
      <c r="J975" s="247">
        <v>18</v>
      </c>
      <c r="K975" s="247">
        <v>18</v>
      </c>
      <c r="L975" s="249" t="s">
        <v>646</v>
      </c>
      <c r="M975" s="249" t="s">
        <v>933</v>
      </c>
      <c r="N975" s="248">
        <v>-460</v>
      </c>
      <c r="O975" s="248">
        <v>-770</v>
      </c>
      <c r="P975" s="247" t="s">
        <v>1227</v>
      </c>
      <c r="Q975" s="247" t="s">
        <v>84</v>
      </c>
    </row>
    <row r="976" spans="1:17" x14ac:dyDescent="0.25">
      <c r="A976" s="247" t="s">
        <v>646</v>
      </c>
      <c r="B976" s="247" t="s">
        <v>25</v>
      </c>
      <c r="C976" s="247" t="s">
        <v>993</v>
      </c>
      <c r="D976" s="247" t="s">
        <v>711</v>
      </c>
      <c r="E976" s="247" t="s">
        <v>1198</v>
      </c>
      <c r="F976" s="247" t="s">
        <v>1918</v>
      </c>
      <c r="G976" s="247" t="s">
        <v>1226</v>
      </c>
      <c r="H976" s="247"/>
      <c r="I976" s="247" t="s">
        <v>1919</v>
      </c>
      <c r="J976" s="247">
        <v>18</v>
      </c>
      <c r="K976" s="247">
        <v>18</v>
      </c>
      <c r="L976" s="249" t="s">
        <v>650</v>
      </c>
      <c r="M976" s="249" t="s">
        <v>933</v>
      </c>
      <c r="N976" s="248">
        <v>-210</v>
      </c>
      <c r="O976" s="248">
        <v>-980</v>
      </c>
      <c r="P976" s="247" t="s">
        <v>1227</v>
      </c>
      <c r="Q976" s="247" t="s">
        <v>85</v>
      </c>
    </row>
    <row r="977" spans="1:17" x14ac:dyDescent="0.25">
      <c r="A977" s="247" t="s">
        <v>646</v>
      </c>
      <c r="B977" s="247" t="s">
        <v>25</v>
      </c>
      <c r="C977" s="247" t="s">
        <v>993</v>
      </c>
      <c r="D977" s="247" t="s">
        <v>711</v>
      </c>
      <c r="E977" s="247" t="s">
        <v>1198</v>
      </c>
      <c r="F977" s="247" t="s">
        <v>1918</v>
      </c>
      <c r="G977" s="247" t="s">
        <v>1226</v>
      </c>
      <c r="H977" s="247"/>
      <c r="I977" s="247" t="s">
        <v>1919</v>
      </c>
      <c r="J977" s="247">
        <v>18</v>
      </c>
      <c r="K977" s="247">
        <v>18</v>
      </c>
      <c r="L977" s="249" t="s">
        <v>652</v>
      </c>
      <c r="M977" s="249" t="s">
        <v>933</v>
      </c>
      <c r="N977" s="248">
        <v>-310</v>
      </c>
      <c r="O977" s="248">
        <v>-1290</v>
      </c>
      <c r="P977" s="247" t="s">
        <v>1227</v>
      </c>
      <c r="Q977" s="247" t="s">
        <v>86</v>
      </c>
    </row>
    <row r="978" spans="1:17" x14ac:dyDescent="0.25">
      <c r="A978" s="247" t="s">
        <v>646</v>
      </c>
      <c r="B978" s="247" t="s">
        <v>25</v>
      </c>
      <c r="C978" s="247" t="s">
        <v>993</v>
      </c>
      <c r="D978" s="247" t="s">
        <v>711</v>
      </c>
      <c r="E978" s="247" t="s">
        <v>1198</v>
      </c>
      <c r="F978" s="247" t="s">
        <v>1918</v>
      </c>
      <c r="G978" s="247" t="s">
        <v>1226</v>
      </c>
      <c r="H978" s="247"/>
      <c r="I978" s="247" t="s">
        <v>1919</v>
      </c>
      <c r="J978" s="247">
        <v>18</v>
      </c>
      <c r="K978" s="247">
        <v>18</v>
      </c>
      <c r="L978" s="249" t="s">
        <v>789</v>
      </c>
      <c r="M978" s="249" t="s">
        <v>929</v>
      </c>
      <c r="N978" s="248">
        <v>-110</v>
      </c>
      <c r="O978" s="248">
        <v>-110</v>
      </c>
      <c r="P978" s="247" t="s">
        <v>1227</v>
      </c>
      <c r="Q978" s="247" t="s">
        <v>87</v>
      </c>
    </row>
    <row r="979" spans="1:17" x14ac:dyDescent="0.25">
      <c r="A979" s="247" t="s">
        <v>646</v>
      </c>
      <c r="B979" s="247" t="s">
        <v>25</v>
      </c>
      <c r="C979" s="247" t="s">
        <v>993</v>
      </c>
      <c r="D979" s="247" t="s">
        <v>711</v>
      </c>
      <c r="E979" s="247" t="s">
        <v>1198</v>
      </c>
      <c r="F979" s="247" t="s">
        <v>1918</v>
      </c>
      <c r="G979" s="247" t="s">
        <v>1226</v>
      </c>
      <c r="H979" s="247"/>
      <c r="I979" s="247" t="s">
        <v>1919</v>
      </c>
      <c r="J979" s="247">
        <v>18</v>
      </c>
      <c r="K979" s="247">
        <v>18</v>
      </c>
      <c r="L979" s="249" t="s">
        <v>791</v>
      </c>
      <c r="M979" s="249" t="s">
        <v>929</v>
      </c>
      <c r="N979" s="248">
        <v>-310</v>
      </c>
      <c r="O979" s="248">
        <v>-420</v>
      </c>
      <c r="P979" s="247" t="s">
        <v>1227</v>
      </c>
      <c r="Q979" s="247" t="s">
        <v>88</v>
      </c>
    </row>
    <row r="980" spans="1:17" x14ac:dyDescent="0.25">
      <c r="A980" s="247" t="s">
        <v>646</v>
      </c>
      <c r="B980" s="247" t="s">
        <v>25</v>
      </c>
      <c r="C980" s="247" t="s">
        <v>993</v>
      </c>
      <c r="D980" s="247" t="s">
        <v>711</v>
      </c>
      <c r="E980" s="247" t="s">
        <v>1198</v>
      </c>
      <c r="F980" s="247" t="s">
        <v>1918</v>
      </c>
      <c r="G980" s="247" t="s">
        <v>1226</v>
      </c>
      <c r="H980" s="247"/>
      <c r="I980" s="247" t="s">
        <v>1919</v>
      </c>
      <c r="J980" s="247">
        <v>18</v>
      </c>
      <c r="K980" s="247">
        <v>18</v>
      </c>
      <c r="L980" s="249" t="s">
        <v>935</v>
      </c>
      <c r="M980" s="249" t="s">
        <v>929</v>
      </c>
      <c r="N980" s="248">
        <v>-1928.23</v>
      </c>
      <c r="O980" s="248">
        <v>-2348.23</v>
      </c>
      <c r="P980" s="247" t="s">
        <v>1227</v>
      </c>
      <c r="Q980" s="247" t="s">
        <v>89</v>
      </c>
    </row>
    <row r="981" spans="1:17" x14ac:dyDescent="0.25">
      <c r="A981" s="247" t="s">
        <v>646</v>
      </c>
      <c r="B981" s="247" t="s">
        <v>25</v>
      </c>
      <c r="C981" s="247" t="s">
        <v>993</v>
      </c>
      <c r="D981" s="247" t="s">
        <v>711</v>
      </c>
      <c r="E981" s="247" t="s">
        <v>1198</v>
      </c>
      <c r="F981" s="247" t="s">
        <v>1918</v>
      </c>
      <c r="G981" s="247" t="s">
        <v>1226</v>
      </c>
      <c r="H981" s="247"/>
      <c r="I981" s="247" t="s">
        <v>1919</v>
      </c>
      <c r="J981" s="247">
        <v>18</v>
      </c>
      <c r="K981" s="247">
        <v>18</v>
      </c>
      <c r="L981" s="249" t="s">
        <v>936</v>
      </c>
      <c r="M981" s="249" t="s">
        <v>929</v>
      </c>
      <c r="N981" s="248">
        <v>-360</v>
      </c>
      <c r="O981" s="248">
        <v>-2708.23</v>
      </c>
      <c r="P981" s="247" t="s">
        <v>1227</v>
      </c>
      <c r="Q981" s="247" t="s">
        <v>90</v>
      </c>
    </row>
    <row r="982" spans="1:17" x14ac:dyDescent="0.25">
      <c r="A982" s="247" t="s">
        <v>646</v>
      </c>
      <c r="B982" s="247" t="s">
        <v>25</v>
      </c>
      <c r="C982" s="247" t="s">
        <v>993</v>
      </c>
      <c r="D982" s="247" t="s">
        <v>711</v>
      </c>
      <c r="E982" s="247" t="s">
        <v>1198</v>
      </c>
      <c r="F982" s="247" t="s">
        <v>1918</v>
      </c>
      <c r="G982" s="247" t="s">
        <v>1226</v>
      </c>
      <c r="H982" s="247"/>
      <c r="I982" s="247" t="s">
        <v>1919</v>
      </c>
      <c r="J982" s="247">
        <v>18</v>
      </c>
      <c r="K982" s="247">
        <v>18</v>
      </c>
      <c r="L982" s="249" t="s">
        <v>937</v>
      </c>
      <c r="M982" s="249" t="s">
        <v>929</v>
      </c>
      <c r="N982" s="248">
        <v>-110</v>
      </c>
      <c r="O982" s="248">
        <v>-2818.23</v>
      </c>
      <c r="P982" s="247" t="s">
        <v>1227</v>
      </c>
      <c r="Q982" s="247" t="s">
        <v>91</v>
      </c>
    </row>
    <row r="983" spans="1:17" x14ac:dyDescent="0.25">
      <c r="A983" s="247" t="s">
        <v>646</v>
      </c>
      <c r="B983" s="247" t="s">
        <v>25</v>
      </c>
      <c r="C983" s="247" t="s">
        <v>993</v>
      </c>
      <c r="D983" s="247" t="s">
        <v>711</v>
      </c>
      <c r="E983" s="247" t="s">
        <v>1198</v>
      </c>
      <c r="F983" s="247" t="s">
        <v>1918</v>
      </c>
      <c r="G983" s="247" t="s">
        <v>1226</v>
      </c>
      <c r="H983" s="247"/>
      <c r="I983" s="247" t="s">
        <v>1919</v>
      </c>
      <c r="J983" s="247">
        <v>18</v>
      </c>
      <c r="K983" s="247">
        <v>18</v>
      </c>
      <c r="L983" s="249" t="s">
        <v>938</v>
      </c>
      <c r="M983" s="249" t="s">
        <v>929</v>
      </c>
      <c r="N983" s="248">
        <v>-1010</v>
      </c>
      <c r="O983" s="248">
        <v>-3828.23</v>
      </c>
      <c r="P983" s="247" t="s">
        <v>1227</v>
      </c>
      <c r="Q983" s="247" t="s">
        <v>92</v>
      </c>
    </row>
    <row r="984" spans="1:17" x14ac:dyDescent="0.25">
      <c r="A984" s="247" t="s">
        <v>646</v>
      </c>
      <c r="B984" s="247" t="s">
        <v>25</v>
      </c>
      <c r="C984" s="247" t="s">
        <v>993</v>
      </c>
      <c r="D984" s="247" t="s">
        <v>711</v>
      </c>
      <c r="E984" s="247" t="s">
        <v>1198</v>
      </c>
      <c r="F984" s="247" t="s">
        <v>1918</v>
      </c>
      <c r="G984" s="247" t="s">
        <v>1226</v>
      </c>
      <c r="H984" s="247"/>
      <c r="I984" s="247" t="s">
        <v>1919</v>
      </c>
      <c r="J984" s="247">
        <v>18</v>
      </c>
      <c r="K984" s="247">
        <v>18</v>
      </c>
      <c r="L984" s="249" t="s">
        <v>939</v>
      </c>
      <c r="M984" s="249" t="s">
        <v>929</v>
      </c>
      <c r="N984" s="248">
        <v>-550</v>
      </c>
      <c r="O984" s="248">
        <v>-4378.2299999999996</v>
      </c>
      <c r="P984" s="247" t="s">
        <v>1227</v>
      </c>
      <c r="Q984" s="247" t="s">
        <v>93</v>
      </c>
    </row>
    <row r="985" spans="1:17" x14ac:dyDescent="0.25">
      <c r="A985" s="247" t="s">
        <v>646</v>
      </c>
      <c r="B985" s="247" t="s">
        <v>25</v>
      </c>
      <c r="C985" s="247" t="s">
        <v>993</v>
      </c>
      <c r="D985" s="247" t="s">
        <v>711</v>
      </c>
      <c r="E985" s="247" t="s">
        <v>1198</v>
      </c>
      <c r="F985" s="247" t="s">
        <v>1918</v>
      </c>
      <c r="G985" s="247" t="s">
        <v>1226</v>
      </c>
      <c r="H985" s="247"/>
      <c r="I985" s="247" t="s">
        <v>1919</v>
      </c>
      <c r="J985" s="247">
        <v>18</v>
      </c>
      <c r="K985" s="247">
        <v>18</v>
      </c>
      <c r="L985" s="249" t="s">
        <v>940</v>
      </c>
      <c r="M985" s="249" t="s">
        <v>929</v>
      </c>
      <c r="N985" s="248">
        <v>-310</v>
      </c>
      <c r="O985" s="248">
        <v>-4688.2299999999996</v>
      </c>
      <c r="P985" s="247" t="s">
        <v>1227</v>
      </c>
      <c r="Q985" s="247" t="s">
        <v>94</v>
      </c>
    </row>
    <row r="986" spans="1:17" x14ac:dyDescent="0.25">
      <c r="A986" s="247" t="s">
        <v>646</v>
      </c>
      <c r="B986" s="247" t="s">
        <v>25</v>
      </c>
      <c r="C986" s="247" t="s">
        <v>993</v>
      </c>
      <c r="D986" s="247" t="s">
        <v>711</v>
      </c>
      <c r="E986" s="247" t="s">
        <v>1198</v>
      </c>
      <c r="F986" s="247" t="s">
        <v>1918</v>
      </c>
      <c r="G986" s="247" t="s">
        <v>1226</v>
      </c>
      <c r="H986" s="247"/>
      <c r="I986" s="247" t="s">
        <v>1919</v>
      </c>
      <c r="J986" s="247">
        <v>18</v>
      </c>
      <c r="K986" s="247">
        <v>18</v>
      </c>
      <c r="L986" s="249" t="s">
        <v>642</v>
      </c>
      <c r="M986" s="249" t="s">
        <v>929</v>
      </c>
      <c r="N986" s="248">
        <v>-410</v>
      </c>
      <c r="O986" s="248">
        <v>-5098.2299999999996</v>
      </c>
      <c r="P986" s="247" t="s">
        <v>1227</v>
      </c>
      <c r="Q986" s="247" t="s">
        <v>95</v>
      </c>
    </row>
    <row r="987" spans="1:17" x14ac:dyDescent="0.25">
      <c r="A987" s="247" t="s">
        <v>646</v>
      </c>
      <c r="B987" s="247" t="s">
        <v>25</v>
      </c>
      <c r="C987" s="247" t="s">
        <v>993</v>
      </c>
      <c r="D987" s="247" t="s">
        <v>711</v>
      </c>
      <c r="E987" s="247" t="s">
        <v>1209</v>
      </c>
      <c r="F987" s="247" t="s">
        <v>1920</v>
      </c>
      <c r="G987" s="247" t="s">
        <v>1228</v>
      </c>
      <c r="H987" s="247"/>
      <c r="I987" s="247" t="s">
        <v>1921</v>
      </c>
      <c r="J987" s="247">
        <v>18</v>
      </c>
      <c r="K987" s="247">
        <v>18</v>
      </c>
      <c r="L987" s="249" t="s">
        <v>646</v>
      </c>
      <c r="M987" s="249" t="s">
        <v>933</v>
      </c>
      <c r="N987" s="248">
        <v>-1027.92</v>
      </c>
      <c r="O987" s="248">
        <v>-4192.8900000000003</v>
      </c>
      <c r="P987" s="247" t="s">
        <v>1229</v>
      </c>
      <c r="Q987" s="247" t="s">
        <v>84</v>
      </c>
    </row>
    <row r="988" spans="1:17" x14ac:dyDescent="0.25">
      <c r="A988" s="247" t="s">
        <v>646</v>
      </c>
      <c r="B988" s="247" t="s">
        <v>25</v>
      </c>
      <c r="C988" s="247" t="s">
        <v>993</v>
      </c>
      <c r="D988" s="247" t="s">
        <v>711</v>
      </c>
      <c r="E988" s="247" t="s">
        <v>1209</v>
      </c>
      <c r="F988" s="247" t="s">
        <v>1920</v>
      </c>
      <c r="G988" s="247" t="s">
        <v>1228</v>
      </c>
      <c r="H988" s="247"/>
      <c r="I988" s="247" t="s">
        <v>1921</v>
      </c>
      <c r="J988" s="247">
        <v>18</v>
      </c>
      <c r="K988" s="247">
        <v>18</v>
      </c>
      <c r="L988" s="249" t="s">
        <v>650</v>
      </c>
      <c r="M988" s="249" t="s">
        <v>933</v>
      </c>
      <c r="N988" s="248">
        <v>-716.77</v>
      </c>
      <c r="O988" s="248">
        <v>-4909.66</v>
      </c>
      <c r="P988" s="247" t="s">
        <v>1229</v>
      </c>
      <c r="Q988" s="247" t="s">
        <v>85</v>
      </c>
    </row>
    <row r="989" spans="1:17" x14ac:dyDescent="0.25">
      <c r="A989" s="247" t="s">
        <v>646</v>
      </c>
      <c r="B989" s="247" t="s">
        <v>25</v>
      </c>
      <c r="C989" s="247" t="s">
        <v>993</v>
      </c>
      <c r="D989" s="247" t="s">
        <v>711</v>
      </c>
      <c r="E989" s="247" t="s">
        <v>1209</v>
      </c>
      <c r="F989" s="247" t="s">
        <v>1920</v>
      </c>
      <c r="G989" s="247" t="s">
        <v>1228</v>
      </c>
      <c r="H989" s="247"/>
      <c r="I989" s="247" t="s">
        <v>1921</v>
      </c>
      <c r="J989" s="247">
        <v>18</v>
      </c>
      <c r="K989" s="247">
        <v>18</v>
      </c>
      <c r="L989" s="249" t="s">
        <v>652</v>
      </c>
      <c r="M989" s="249" t="s">
        <v>933</v>
      </c>
      <c r="N989" s="248">
        <v>288.12</v>
      </c>
      <c r="O989" s="248">
        <v>-4621.54</v>
      </c>
      <c r="P989" s="247" t="s">
        <v>1229</v>
      </c>
      <c r="Q989" s="247" t="s">
        <v>86</v>
      </c>
    </row>
    <row r="990" spans="1:17" x14ac:dyDescent="0.25">
      <c r="A990" s="247" t="s">
        <v>646</v>
      </c>
      <c r="B990" s="247" t="s">
        <v>25</v>
      </c>
      <c r="C990" s="247" t="s">
        <v>993</v>
      </c>
      <c r="D990" s="247" t="s">
        <v>711</v>
      </c>
      <c r="E990" s="247" t="s">
        <v>1209</v>
      </c>
      <c r="F990" s="247" t="s">
        <v>1920</v>
      </c>
      <c r="G990" s="247" t="s">
        <v>1228</v>
      </c>
      <c r="H990" s="247"/>
      <c r="I990" s="247" t="s">
        <v>1921</v>
      </c>
      <c r="J990" s="247">
        <v>18</v>
      </c>
      <c r="K990" s="247">
        <v>18</v>
      </c>
      <c r="L990" s="249" t="s">
        <v>791</v>
      </c>
      <c r="M990" s="249" t="s">
        <v>929</v>
      </c>
      <c r="N990" s="248">
        <v>8.01</v>
      </c>
      <c r="O990" s="248">
        <v>8.01</v>
      </c>
      <c r="P990" s="247" t="s">
        <v>1229</v>
      </c>
      <c r="Q990" s="247" t="s">
        <v>88</v>
      </c>
    </row>
    <row r="991" spans="1:17" x14ac:dyDescent="0.25">
      <c r="A991" s="247" t="s">
        <v>646</v>
      </c>
      <c r="B991" s="247" t="s">
        <v>25</v>
      </c>
      <c r="C991" s="247" t="s">
        <v>993</v>
      </c>
      <c r="D991" s="247" t="s">
        <v>711</v>
      </c>
      <c r="E991" s="247" t="s">
        <v>1209</v>
      </c>
      <c r="F991" s="247" t="s">
        <v>1920</v>
      </c>
      <c r="G991" s="247" t="s">
        <v>1228</v>
      </c>
      <c r="H991" s="247"/>
      <c r="I991" s="247" t="s">
        <v>1921</v>
      </c>
      <c r="J991" s="247">
        <v>18</v>
      </c>
      <c r="K991" s="247">
        <v>18</v>
      </c>
      <c r="L991" s="249" t="s">
        <v>935</v>
      </c>
      <c r="M991" s="249" t="s">
        <v>929</v>
      </c>
      <c r="N991" s="248">
        <v>-18.350000000000001</v>
      </c>
      <c r="O991" s="248">
        <v>-10.34</v>
      </c>
      <c r="P991" s="247" t="s">
        <v>1229</v>
      </c>
      <c r="Q991" s="247" t="s">
        <v>89</v>
      </c>
    </row>
    <row r="992" spans="1:17" x14ac:dyDescent="0.25">
      <c r="A992" s="247" t="s">
        <v>646</v>
      </c>
      <c r="B992" s="247" t="s">
        <v>25</v>
      </c>
      <c r="C992" s="247" t="s">
        <v>993</v>
      </c>
      <c r="D992" s="247" t="s">
        <v>711</v>
      </c>
      <c r="E992" s="247" t="s">
        <v>1209</v>
      </c>
      <c r="F992" s="247" t="s">
        <v>1920</v>
      </c>
      <c r="G992" s="247" t="s">
        <v>1228</v>
      </c>
      <c r="H992" s="247"/>
      <c r="I992" s="247" t="s">
        <v>1921</v>
      </c>
      <c r="J992" s="247">
        <v>18</v>
      </c>
      <c r="K992" s="247">
        <v>18</v>
      </c>
      <c r="L992" s="249" t="s">
        <v>936</v>
      </c>
      <c r="M992" s="249" t="s">
        <v>929</v>
      </c>
      <c r="N992" s="248">
        <v>18.350000000000001</v>
      </c>
      <c r="O992" s="248">
        <v>8.01</v>
      </c>
      <c r="P992" s="247" t="s">
        <v>1229</v>
      </c>
      <c r="Q992" s="247" t="s">
        <v>90</v>
      </c>
    </row>
    <row r="993" spans="1:17" x14ac:dyDescent="0.25">
      <c r="A993" s="247" t="s">
        <v>646</v>
      </c>
      <c r="B993" s="247" t="s">
        <v>25</v>
      </c>
      <c r="C993" s="247" t="s">
        <v>993</v>
      </c>
      <c r="D993" s="247" t="s">
        <v>711</v>
      </c>
      <c r="E993" s="247" t="s">
        <v>1209</v>
      </c>
      <c r="F993" s="247" t="s">
        <v>1920</v>
      </c>
      <c r="G993" s="247" t="s">
        <v>1228</v>
      </c>
      <c r="H993" s="247"/>
      <c r="I993" s="247" t="s">
        <v>1921</v>
      </c>
      <c r="J993" s="247">
        <v>18</v>
      </c>
      <c r="K993" s="247">
        <v>18</v>
      </c>
      <c r="L993" s="249" t="s">
        <v>937</v>
      </c>
      <c r="M993" s="249" t="s">
        <v>929</v>
      </c>
      <c r="N993" s="248">
        <v>-57.78</v>
      </c>
      <c r="O993" s="248">
        <v>-49.77</v>
      </c>
      <c r="P993" s="247" t="s">
        <v>1229</v>
      </c>
      <c r="Q993" s="247" t="s">
        <v>91</v>
      </c>
    </row>
    <row r="994" spans="1:17" x14ac:dyDescent="0.25">
      <c r="A994" s="247" t="s">
        <v>646</v>
      </c>
      <c r="B994" s="247" t="s">
        <v>25</v>
      </c>
      <c r="C994" s="247" t="s">
        <v>993</v>
      </c>
      <c r="D994" s="247" t="s">
        <v>711</v>
      </c>
      <c r="E994" s="247" t="s">
        <v>1209</v>
      </c>
      <c r="F994" s="247" t="s">
        <v>1920</v>
      </c>
      <c r="G994" s="247" t="s">
        <v>1228</v>
      </c>
      <c r="H994" s="247"/>
      <c r="I994" s="247" t="s">
        <v>1921</v>
      </c>
      <c r="J994" s="247">
        <v>18</v>
      </c>
      <c r="K994" s="247">
        <v>18</v>
      </c>
      <c r="L994" s="249" t="s">
        <v>938</v>
      </c>
      <c r="M994" s="249" t="s">
        <v>929</v>
      </c>
      <c r="N994" s="248">
        <v>0</v>
      </c>
      <c r="O994" s="248">
        <v>-49.77</v>
      </c>
      <c r="P994" s="247" t="s">
        <v>1229</v>
      </c>
      <c r="Q994" s="247" t="s">
        <v>92</v>
      </c>
    </row>
    <row r="995" spans="1:17" x14ac:dyDescent="0.25">
      <c r="A995" s="247" t="s">
        <v>646</v>
      </c>
      <c r="B995" s="247" t="s">
        <v>25</v>
      </c>
      <c r="C995" s="247" t="s">
        <v>993</v>
      </c>
      <c r="D995" s="247" t="s">
        <v>711</v>
      </c>
      <c r="E995" s="247" t="s">
        <v>1209</v>
      </c>
      <c r="F995" s="247" t="s">
        <v>1920</v>
      </c>
      <c r="G995" s="247" t="s">
        <v>1228</v>
      </c>
      <c r="H995" s="247"/>
      <c r="I995" s="247" t="s">
        <v>1921</v>
      </c>
      <c r="J995" s="247">
        <v>18</v>
      </c>
      <c r="K995" s="247">
        <v>18</v>
      </c>
      <c r="L995" s="249" t="s">
        <v>939</v>
      </c>
      <c r="M995" s="249" t="s">
        <v>929</v>
      </c>
      <c r="N995" s="248">
        <v>-67.930000000000007</v>
      </c>
      <c r="O995" s="248">
        <v>-117.7</v>
      </c>
      <c r="P995" s="247" t="s">
        <v>1229</v>
      </c>
      <c r="Q995" s="247" t="s">
        <v>93</v>
      </c>
    </row>
    <row r="996" spans="1:17" x14ac:dyDescent="0.25">
      <c r="A996" s="247" t="s">
        <v>646</v>
      </c>
      <c r="B996" s="247" t="s">
        <v>25</v>
      </c>
      <c r="C996" s="247" t="s">
        <v>993</v>
      </c>
      <c r="D996" s="247" t="s">
        <v>711</v>
      </c>
      <c r="E996" s="247" t="s">
        <v>1209</v>
      </c>
      <c r="F996" s="247" t="s">
        <v>1920</v>
      </c>
      <c r="G996" s="247" t="s">
        <v>1228</v>
      </c>
      <c r="H996" s="247"/>
      <c r="I996" s="247" t="s">
        <v>1921</v>
      </c>
      <c r="J996" s="247">
        <v>18</v>
      </c>
      <c r="K996" s="247">
        <v>18</v>
      </c>
      <c r="L996" s="249" t="s">
        <v>940</v>
      </c>
      <c r="M996" s="249" t="s">
        <v>929</v>
      </c>
      <c r="N996" s="248">
        <v>-224.66</v>
      </c>
      <c r="O996" s="248">
        <v>-342.36</v>
      </c>
      <c r="P996" s="247" t="s">
        <v>1229</v>
      </c>
      <c r="Q996" s="247" t="s">
        <v>94</v>
      </c>
    </row>
    <row r="997" spans="1:17" x14ac:dyDescent="0.25">
      <c r="A997" s="247" t="s">
        <v>646</v>
      </c>
      <c r="B997" s="247" t="s">
        <v>25</v>
      </c>
      <c r="C997" s="247" t="s">
        <v>993</v>
      </c>
      <c r="D997" s="247" t="s">
        <v>711</v>
      </c>
      <c r="E997" s="247" t="s">
        <v>1209</v>
      </c>
      <c r="F997" s="247" t="s">
        <v>1920</v>
      </c>
      <c r="G997" s="247" t="s">
        <v>1228</v>
      </c>
      <c r="H997" s="247"/>
      <c r="I997" s="247" t="s">
        <v>1921</v>
      </c>
      <c r="J997" s="247">
        <v>18</v>
      </c>
      <c r="K997" s="247">
        <v>18</v>
      </c>
      <c r="L997" s="249" t="s">
        <v>642</v>
      </c>
      <c r="M997" s="249" t="s">
        <v>929</v>
      </c>
      <c r="N997" s="248">
        <v>0</v>
      </c>
      <c r="O997" s="248">
        <v>-342.36</v>
      </c>
      <c r="P997" s="247" t="s">
        <v>1229</v>
      </c>
      <c r="Q997" s="247" t="s">
        <v>95</v>
      </c>
    </row>
    <row r="998" spans="1:17" x14ac:dyDescent="0.25">
      <c r="A998" s="247" t="s">
        <v>646</v>
      </c>
      <c r="B998" s="247" t="s">
        <v>25</v>
      </c>
      <c r="C998" s="247" t="s">
        <v>1006</v>
      </c>
      <c r="D998" s="247" t="s">
        <v>926</v>
      </c>
      <c r="E998" s="247" t="s">
        <v>946</v>
      </c>
      <c r="F998" s="247" t="s">
        <v>1922</v>
      </c>
      <c r="G998" s="247" t="s">
        <v>1230</v>
      </c>
      <c r="H998" s="247"/>
      <c r="I998" s="247" t="s">
        <v>1923</v>
      </c>
      <c r="J998" s="247">
        <v>18</v>
      </c>
      <c r="K998" s="247">
        <v>18</v>
      </c>
      <c r="L998" s="249" t="s">
        <v>646</v>
      </c>
      <c r="M998" s="249" t="s">
        <v>933</v>
      </c>
      <c r="N998" s="248">
        <v>0</v>
      </c>
      <c r="O998" s="248">
        <v>-8.3800000000000008</v>
      </c>
      <c r="P998" s="247" t="s">
        <v>1231</v>
      </c>
      <c r="Q998" s="247" t="s">
        <v>84</v>
      </c>
    </row>
    <row r="999" spans="1:17" x14ac:dyDescent="0.25">
      <c r="A999" s="247" t="s">
        <v>646</v>
      </c>
      <c r="B999" s="247" t="s">
        <v>25</v>
      </c>
      <c r="C999" s="247" t="s">
        <v>1006</v>
      </c>
      <c r="D999" s="247" t="s">
        <v>926</v>
      </c>
      <c r="E999" s="247" t="s">
        <v>946</v>
      </c>
      <c r="F999" s="247" t="s">
        <v>1922</v>
      </c>
      <c r="G999" s="247" t="s">
        <v>1230</v>
      </c>
      <c r="H999" s="247"/>
      <c r="I999" s="247" t="s">
        <v>1923</v>
      </c>
      <c r="J999" s="247">
        <v>18</v>
      </c>
      <c r="K999" s="247">
        <v>18</v>
      </c>
      <c r="L999" s="249" t="s">
        <v>650</v>
      </c>
      <c r="M999" s="249" t="s">
        <v>933</v>
      </c>
      <c r="N999" s="248">
        <v>0</v>
      </c>
      <c r="O999" s="248">
        <v>-8.3800000000000008</v>
      </c>
      <c r="P999" s="247" t="s">
        <v>1231</v>
      </c>
      <c r="Q999" s="247" t="s">
        <v>85</v>
      </c>
    </row>
    <row r="1000" spans="1:17" x14ac:dyDescent="0.25">
      <c r="A1000" s="247" t="s">
        <v>646</v>
      </c>
      <c r="B1000" s="247" t="s">
        <v>25</v>
      </c>
      <c r="C1000" s="247" t="s">
        <v>1006</v>
      </c>
      <c r="D1000" s="247" t="s">
        <v>926</v>
      </c>
      <c r="E1000" s="247" t="s">
        <v>946</v>
      </c>
      <c r="F1000" s="247" t="s">
        <v>1922</v>
      </c>
      <c r="G1000" s="247" t="s">
        <v>1230</v>
      </c>
      <c r="H1000" s="247"/>
      <c r="I1000" s="247" t="s">
        <v>1923</v>
      </c>
      <c r="J1000" s="247">
        <v>18</v>
      </c>
      <c r="K1000" s="247">
        <v>18</v>
      </c>
      <c r="L1000" s="249" t="s">
        <v>652</v>
      </c>
      <c r="M1000" s="249" t="s">
        <v>933</v>
      </c>
      <c r="N1000" s="248">
        <v>0</v>
      </c>
      <c r="O1000" s="248">
        <v>-8.3800000000000008</v>
      </c>
      <c r="P1000" s="247" t="s">
        <v>1231</v>
      </c>
      <c r="Q1000" s="247" t="s">
        <v>86</v>
      </c>
    </row>
    <row r="1001" spans="1:17" x14ac:dyDescent="0.25">
      <c r="A1001" s="247" t="s">
        <v>646</v>
      </c>
      <c r="B1001" s="247" t="s">
        <v>25</v>
      </c>
      <c r="C1001" s="247" t="s">
        <v>993</v>
      </c>
      <c r="D1001" s="247" t="s">
        <v>926</v>
      </c>
      <c r="E1001" s="247" t="s">
        <v>569</v>
      </c>
      <c r="F1001" s="247" t="s">
        <v>1924</v>
      </c>
      <c r="G1001" s="247" t="s">
        <v>1232</v>
      </c>
      <c r="H1001" s="247"/>
      <c r="I1001" s="247" t="s">
        <v>1925</v>
      </c>
      <c r="J1001" s="247">
        <v>2</v>
      </c>
      <c r="K1001" s="247">
        <v>2</v>
      </c>
      <c r="L1001" s="249" t="s">
        <v>646</v>
      </c>
      <c r="M1001" s="249" t="s">
        <v>933</v>
      </c>
      <c r="N1001" s="248">
        <v>0</v>
      </c>
      <c r="O1001" s="248">
        <v>-630028.77</v>
      </c>
      <c r="P1001" s="247" t="s">
        <v>1233</v>
      </c>
      <c r="Q1001" s="247" t="s">
        <v>84</v>
      </c>
    </row>
    <row r="1002" spans="1:17" x14ac:dyDescent="0.25">
      <c r="A1002" s="247" t="s">
        <v>646</v>
      </c>
      <c r="B1002" s="247" t="s">
        <v>25</v>
      </c>
      <c r="C1002" s="247" t="s">
        <v>993</v>
      </c>
      <c r="D1002" s="247" t="s">
        <v>926</v>
      </c>
      <c r="E1002" s="247" t="s">
        <v>569</v>
      </c>
      <c r="F1002" s="247" t="s">
        <v>1924</v>
      </c>
      <c r="G1002" s="247" t="s">
        <v>1232</v>
      </c>
      <c r="H1002" s="247"/>
      <c r="I1002" s="247" t="s">
        <v>1925</v>
      </c>
      <c r="J1002" s="247">
        <v>2</v>
      </c>
      <c r="K1002" s="247">
        <v>2</v>
      </c>
      <c r="L1002" s="249" t="s">
        <v>650</v>
      </c>
      <c r="M1002" s="249" t="s">
        <v>933</v>
      </c>
      <c r="N1002" s="248">
        <v>0</v>
      </c>
      <c r="O1002" s="248">
        <v>-630028.77</v>
      </c>
      <c r="P1002" s="247" t="s">
        <v>1233</v>
      </c>
      <c r="Q1002" s="247" t="s">
        <v>85</v>
      </c>
    </row>
    <row r="1003" spans="1:17" x14ac:dyDescent="0.25">
      <c r="A1003" s="247" t="s">
        <v>646</v>
      </c>
      <c r="B1003" s="247" t="s">
        <v>25</v>
      </c>
      <c r="C1003" s="247" t="s">
        <v>993</v>
      </c>
      <c r="D1003" s="247" t="s">
        <v>926</v>
      </c>
      <c r="E1003" s="247" t="s">
        <v>569</v>
      </c>
      <c r="F1003" s="247" t="s">
        <v>1924</v>
      </c>
      <c r="G1003" s="247" t="s">
        <v>1232</v>
      </c>
      <c r="H1003" s="247"/>
      <c r="I1003" s="247" t="s">
        <v>1925</v>
      </c>
      <c r="J1003" s="247">
        <v>2</v>
      </c>
      <c r="K1003" s="247">
        <v>2</v>
      </c>
      <c r="L1003" s="249" t="s">
        <v>652</v>
      </c>
      <c r="M1003" s="249" t="s">
        <v>933</v>
      </c>
      <c r="N1003" s="248">
        <v>0</v>
      </c>
      <c r="O1003" s="248">
        <v>-630028.77</v>
      </c>
      <c r="P1003" s="247" t="s">
        <v>1233</v>
      </c>
      <c r="Q1003" s="247" t="s">
        <v>86</v>
      </c>
    </row>
    <row r="1004" spans="1:17" x14ac:dyDescent="0.25">
      <c r="A1004" s="247" t="s">
        <v>646</v>
      </c>
      <c r="B1004" s="247" t="s">
        <v>25</v>
      </c>
      <c r="C1004" s="247" t="s">
        <v>993</v>
      </c>
      <c r="D1004" s="247" t="s">
        <v>926</v>
      </c>
      <c r="E1004" s="247" t="s">
        <v>487</v>
      </c>
      <c r="F1004" s="247" t="s">
        <v>1926</v>
      </c>
      <c r="G1004" s="247" t="s">
        <v>1234</v>
      </c>
      <c r="H1004" s="247"/>
      <c r="I1004" s="247" t="s">
        <v>1927</v>
      </c>
      <c r="J1004" s="247">
        <v>2</v>
      </c>
      <c r="K1004" s="247">
        <v>2</v>
      </c>
      <c r="L1004" s="249" t="s">
        <v>646</v>
      </c>
      <c r="M1004" s="249" t="s">
        <v>933</v>
      </c>
      <c r="N1004" s="248">
        <v>-45918.77</v>
      </c>
      <c r="O1004" s="248">
        <v>-91512.3</v>
      </c>
      <c r="P1004" s="247" t="s">
        <v>1235</v>
      </c>
      <c r="Q1004" s="247" t="s">
        <v>84</v>
      </c>
    </row>
    <row r="1005" spans="1:17" x14ac:dyDescent="0.25">
      <c r="A1005" s="247" t="s">
        <v>646</v>
      </c>
      <c r="B1005" s="247" t="s">
        <v>25</v>
      </c>
      <c r="C1005" s="247" t="s">
        <v>993</v>
      </c>
      <c r="D1005" s="247" t="s">
        <v>926</v>
      </c>
      <c r="E1005" s="247" t="s">
        <v>487</v>
      </c>
      <c r="F1005" s="247" t="s">
        <v>1926</v>
      </c>
      <c r="G1005" s="247" t="s">
        <v>1234</v>
      </c>
      <c r="H1005" s="247"/>
      <c r="I1005" s="247" t="s">
        <v>1927</v>
      </c>
      <c r="J1005" s="247">
        <v>2</v>
      </c>
      <c r="K1005" s="247">
        <v>2</v>
      </c>
      <c r="L1005" s="249" t="s">
        <v>650</v>
      </c>
      <c r="M1005" s="249" t="s">
        <v>933</v>
      </c>
      <c r="N1005" s="248">
        <v>-44762.38</v>
      </c>
      <c r="O1005" s="248">
        <v>-136274.68</v>
      </c>
      <c r="P1005" s="247" t="s">
        <v>1235</v>
      </c>
      <c r="Q1005" s="247" t="s">
        <v>85</v>
      </c>
    </row>
    <row r="1006" spans="1:17" x14ac:dyDescent="0.25">
      <c r="A1006" s="247" t="s">
        <v>646</v>
      </c>
      <c r="B1006" s="247" t="s">
        <v>25</v>
      </c>
      <c r="C1006" s="247" t="s">
        <v>993</v>
      </c>
      <c r="D1006" s="247" t="s">
        <v>926</v>
      </c>
      <c r="E1006" s="247" t="s">
        <v>487</v>
      </c>
      <c r="F1006" s="247" t="s">
        <v>1926</v>
      </c>
      <c r="G1006" s="247" t="s">
        <v>1234</v>
      </c>
      <c r="H1006" s="247"/>
      <c r="I1006" s="247" t="s">
        <v>1927</v>
      </c>
      <c r="J1006" s="247">
        <v>2</v>
      </c>
      <c r="K1006" s="247">
        <v>2</v>
      </c>
      <c r="L1006" s="249" t="s">
        <v>652</v>
      </c>
      <c r="M1006" s="249" t="s">
        <v>933</v>
      </c>
      <c r="N1006" s="248">
        <v>-43275.08</v>
      </c>
      <c r="O1006" s="248">
        <v>-179549.76</v>
      </c>
      <c r="P1006" s="247" t="s">
        <v>1235</v>
      </c>
      <c r="Q1006" s="247" t="s">
        <v>86</v>
      </c>
    </row>
    <row r="1007" spans="1:17" x14ac:dyDescent="0.25">
      <c r="A1007" s="247" t="s">
        <v>646</v>
      </c>
      <c r="B1007" s="247" t="s">
        <v>25</v>
      </c>
      <c r="C1007" s="247" t="s">
        <v>993</v>
      </c>
      <c r="D1007" s="247" t="s">
        <v>926</v>
      </c>
      <c r="E1007" s="247" t="s">
        <v>487</v>
      </c>
      <c r="F1007" s="247" t="s">
        <v>1926</v>
      </c>
      <c r="G1007" s="247" t="s">
        <v>1234</v>
      </c>
      <c r="H1007" s="247"/>
      <c r="I1007" s="247" t="s">
        <v>1927</v>
      </c>
      <c r="J1007" s="247">
        <v>2</v>
      </c>
      <c r="K1007" s="247">
        <v>2</v>
      </c>
      <c r="L1007" s="249" t="s">
        <v>789</v>
      </c>
      <c r="M1007" s="249" t="s">
        <v>929</v>
      </c>
      <c r="N1007" s="248">
        <v>-41627.93</v>
      </c>
      <c r="O1007" s="248">
        <v>-41627.93</v>
      </c>
      <c r="P1007" s="247" t="s">
        <v>1235</v>
      </c>
      <c r="Q1007" s="247" t="s">
        <v>87</v>
      </c>
    </row>
    <row r="1008" spans="1:17" x14ac:dyDescent="0.25">
      <c r="A1008" s="247" t="s">
        <v>646</v>
      </c>
      <c r="B1008" s="247" t="s">
        <v>25</v>
      </c>
      <c r="C1008" s="247" t="s">
        <v>993</v>
      </c>
      <c r="D1008" s="247" t="s">
        <v>926</v>
      </c>
      <c r="E1008" s="247" t="s">
        <v>487</v>
      </c>
      <c r="F1008" s="247" t="s">
        <v>1926</v>
      </c>
      <c r="G1008" s="247" t="s">
        <v>1234</v>
      </c>
      <c r="H1008" s="247"/>
      <c r="I1008" s="247" t="s">
        <v>1927</v>
      </c>
      <c r="J1008" s="247">
        <v>2</v>
      </c>
      <c r="K1008" s="247">
        <v>2</v>
      </c>
      <c r="L1008" s="249" t="s">
        <v>791</v>
      </c>
      <c r="M1008" s="249" t="s">
        <v>929</v>
      </c>
      <c r="N1008" s="248">
        <v>-42174.29</v>
      </c>
      <c r="O1008" s="248">
        <v>-83802.22</v>
      </c>
      <c r="P1008" s="247" t="s">
        <v>1235</v>
      </c>
      <c r="Q1008" s="247" t="s">
        <v>88</v>
      </c>
    </row>
    <row r="1009" spans="1:17" x14ac:dyDescent="0.25">
      <c r="A1009" s="247" t="s">
        <v>646</v>
      </c>
      <c r="B1009" s="247" t="s">
        <v>25</v>
      </c>
      <c r="C1009" s="247" t="s">
        <v>993</v>
      </c>
      <c r="D1009" s="247" t="s">
        <v>926</v>
      </c>
      <c r="E1009" s="247" t="s">
        <v>487</v>
      </c>
      <c r="F1009" s="247" t="s">
        <v>1926</v>
      </c>
      <c r="G1009" s="247" t="s">
        <v>1234</v>
      </c>
      <c r="H1009" s="247"/>
      <c r="I1009" s="247" t="s">
        <v>1927</v>
      </c>
      <c r="J1009" s="247">
        <v>2</v>
      </c>
      <c r="K1009" s="247">
        <v>2</v>
      </c>
      <c r="L1009" s="249" t="s">
        <v>935</v>
      </c>
      <c r="M1009" s="249" t="s">
        <v>929</v>
      </c>
      <c r="N1009" s="248">
        <v>-43664.3</v>
      </c>
      <c r="O1009" s="248">
        <v>-127466.52</v>
      </c>
      <c r="P1009" s="247" t="s">
        <v>1235</v>
      </c>
      <c r="Q1009" s="247" t="s">
        <v>89</v>
      </c>
    </row>
    <row r="1010" spans="1:17" x14ac:dyDescent="0.25">
      <c r="A1010" s="247" t="s">
        <v>646</v>
      </c>
      <c r="B1010" s="247" t="s">
        <v>25</v>
      </c>
      <c r="C1010" s="247" t="s">
        <v>993</v>
      </c>
      <c r="D1010" s="247" t="s">
        <v>926</v>
      </c>
      <c r="E1010" s="247" t="s">
        <v>487</v>
      </c>
      <c r="F1010" s="247" t="s">
        <v>1926</v>
      </c>
      <c r="G1010" s="247" t="s">
        <v>1234</v>
      </c>
      <c r="H1010" s="247"/>
      <c r="I1010" s="247" t="s">
        <v>1927</v>
      </c>
      <c r="J1010" s="247">
        <v>2</v>
      </c>
      <c r="K1010" s="247">
        <v>2</v>
      </c>
      <c r="L1010" s="249" t="s">
        <v>936</v>
      </c>
      <c r="M1010" s="249" t="s">
        <v>929</v>
      </c>
      <c r="N1010" s="248">
        <v>-44793.760000000002</v>
      </c>
      <c r="O1010" s="248">
        <v>-172260.28</v>
      </c>
      <c r="P1010" s="247" t="s">
        <v>1235</v>
      </c>
      <c r="Q1010" s="247" t="s">
        <v>90</v>
      </c>
    </row>
    <row r="1011" spans="1:17" x14ac:dyDescent="0.25">
      <c r="A1011" s="247" t="s">
        <v>646</v>
      </c>
      <c r="B1011" s="247" t="s">
        <v>25</v>
      </c>
      <c r="C1011" s="247" t="s">
        <v>993</v>
      </c>
      <c r="D1011" s="247" t="s">
        <v>926</v>
      </c>
      <c r="E1011" s="247" t="s">
        <v>487</v>
      </c>
      <c r="F1011" s="247" t="s">
        <v>1926</v>
      </c>
      <c r="G1011" s="247" t="s">
        <v>1234</v>
      </c>
      <c r="H1011" s="247"/>
      <c r="I1011" s="247" t="s">
        <v>1927</v>
      </c>
      <c r="J1011" s="247">
        <v>2</v>
      </c>
      <c r="K1011" s="247">
        <v>2</v>
      </c>
      <c r="L1011" s="249" t="s">
        <v>937</v>
      </c>
      <c r="M1011" s="249" t="s">
        <v>929</v>
      </c>
      <c r="N1011" s="248">
        <v>-46016.23</v>
      </c>
      <c r="O1011" s="248">
        <v>-218276.51</v>
      </c>
      <c r="P1011" s="247" t="s">
        <v>1235</v>
      </c>
      <c r="Q1011" s="247" t="s">
        <v>91</v>
      </c>
    </row>
    <row r="1012" spans="1:17" x14ac:dyDescent="0.25">
      <c r="A1012" s="247" t="s">
        <v>646</v>
      </c>
      <c r="B1012" s="247" t="s">
        <v>25</v>
      </c>
      <c r="C1012" s="247" t="s">
        <v>993</v>
      </c>
      <c r="D1012" s="247" t="s">
        <v>926</v>
      </c>
      <c r="E1012" s="247" t="s">
        <v>487</v>
      </c>
      <c r="F1012" s="247" t="s">
        <v>1926</v>
      </c>
      <c r="G1012" s="247" t="s">
        <v>1234</v>
      </c>
      <c r="H1012" s="247"/>
      <c r="I1012" s="247" t="s">
        <v>1927</v>
      </c>
      <c r="J1012" s="247">
        <v>2</v>
      </c>
      <c r="K1012" s="247">
        <v>2</v>
      </c>
      <c r="L1012" s="249" t="s">
        <v>938</v>
      </c>
      <c r="M1012" s="249" t="s">
        <v>929</v>
      </c>
      <c r="N1012" s="248">
        <v>-48655.08</v>
      </c>
      <c r="O1012" s="248">
        <v>-266931.59000000003</v>
      </c>
      <c r="P1012" s="247" t="s">
        <v>1235</v>
      </c>
      <c r="Q1012" s="247" t="s">
        <v>92</v>
      </c>
    </row>
    <row r="1013" spans="1:17" x14ac:dyDescent="0.25">
      <c r="A1013" s="247" t="s">
        <v>646</v>
      </c>
      <c r="B1013" s="247" t="s">
        <v>25</v>
      </c>
      <c r="C1013" s="247" t="s">
        <v>993</v>
      </c>
      <c r="D1013" s="247" t="s">
        <v>926</v>
      </c>
      <c r="E1013" s="247" t="s">
        <v>487</v>
      </c>
      <c r="F1013" s="247" t="s">
        <v>1926</v>
      </c>
      <c r="G1013" s="247" t="s">
        <v>1234</v>
      </c>
      <c r="H1013" s="247"/>
      <c r="I1013" s="247" t="s">
        <v>1927</v>
      </c>
      <c r="J1013" s="247">
        <v>2</v>
      </c>
      <c r="K1013" s="247">
        <v>2</v>
      </c>
      <c r="L1013" s="249" t="s">
        <v>939</v>
      </c>
      <c r="M1013" s="249" t="s">
        <v>929</v>
      </c>
      <c r="N1013" s="248">
        <v>-53669.86</v>
      </c>
      <c r="O1013" s="248">
        <v>-320601.45</v>
      </c>
      <c r="P1013" s="247" t="s">
        <v>1235</v>
      </c>
      <c r="Q1013" s="247" t="s">
        <v>93</v>
      </c>
    </row>
    <row r="1014" spans="1:17" x14ac:dyDescent="0.25">
      <c r="A1014" s="247" t="s">
        <v>646</v>
      </c>
      <c r="B1014" s="247" t="s">
        <v>25</v>
      </c>
      <c r="C1014" s="247" t="s">
        <v>993</v>
      </c>
      <c r="D1014" s="247" t="s">
        <v>926</v>
      </c>
      <c r="E1014" s="247" t="s">
        <v>487</v>
      </c>
      <c r="F1014" s="247" t="s">
        <v>1926</v>
      </c>
      <c r="G1014" s="247" t="s">
        <v>1234</v>
      </c>
      <c r="H1014" s="247"/>
      <c r="I1014" s="247" t="s">
        <v>1927</v>
      </c>
      <c r="J1014" s="247">
        <v>2</v>
      </c>
      <c r="K1014" s="247">
        <v>2</v>
      </c>
      <c r="L1014" s="249" t="s">
        <v>940</v>
      </c>
      <c r="M1014" s="249" t="s">
        <v>929</v>
      </c>
      <c r="N1014" s="248">
        <v>-48905.07</v>
      </c>
      <c r="O1014" s="248">
        <v>-369506.52</v>
      </c>
      <c r="P1014" s="247" t="s">
        <v>1235</v>
      </c>
      <c r="Q1014" s="247" t="s">
        <v>94</v>
      </c>
    </row>
    <row r="1015" spans="1:17" x14ac:dyDescent="0.25">
      <c r="A1015" s="247" t="s">
        <v>646</v>
      </c>
      <c r="B1015" s="247" t="s">
        <v>25</v>
      </c>
      <c r="C1015" s="247" t="s">
        <v>993</v>
      </c>
      <c r="D1015" s="247" t="s">
        <v>926</v>
      </c>
      <c r="E1015" s="247" t="s">
        <v>487</v>
      </c>
      <c r="F1015" s="247" t="s">
        <v>1926</v>
      </c>
      <c r="G1015" s="247" t="s">
        <v>1234</v>
      </c>
      <c r="H1015" s="247"/>
      <c r="I1015" s="247" t="s">
        <v>1927</v>
      </c>
      <c r="J1015" s="247">
        <v>2</v>
      </c>
      <c r="K1015" s="247">
        <v>2</v>
      </c>
      <c r="L1015" s="249" t="s">
        <v>642</v>
      </c>
      <c r="M1015" s="249" t="s">
        <v>929</v>
      </c>
      <c r="N1015" s="248">
        <v>-49870.92</v>
      </c>
      <c r="O1015" s="248">
        <v>-419377.44</v>
      </c>
      <c r="P1015" s="247" t="s">
        <v>1235</v>
      </c>
      <c r="Q1015" s="247" t="s">
        <v>95</v>
      </c>
    </row>
    <row r="1016" spans="1:17" x14ac:dyDescent="0.25">
      <c r="A1016" s="247" t="s">
        <v>646</v>
      </c>
      <c r="B1016" s="247" t="s">
        <v>25</v>
      </c>
      <c r="C1016" s="247" t="s">
        <v>993</v>
      </c>
      <c r="D1016" s="247" t="s">
        <v>926</v>
      </c>
      <c r="E1016" s="247" t="s">
        <v>581</v>
      </c>
      <c r="F1016" s="247" t="s">
        <v>1928</v>
      </c>
      <c r="G1016" s="247" t="s">
        <v>1236</v>
      </c>
      <c r="H1016" s="247"/>
      <c r="I1016" s="247" t="s">
        <v>1929</v>
      </c>
      <c r="J1016" s="247">
        <v>2</v>
      </c>
      <c r="K1016" s="247">
        <v>2</v>
      </c>
      <c r="L1016" s="249" t="s">
        <v>646</v>
      </c>
      <c r="M1016" s="249" t="s">
        <v>933</v>
      </c>
      <c r="N1016" s="248">
        <v>-17654.439999999999</v>
      </c>
      <c r="O1016" s="248">
        <v>-38269.410000000003</v>
      </c>
      <c r="P1016" s="247" t="s">
        <v>1237</v>
      </c>
      <c r="Q1016" s="247" t="s">
        <v>84</v>
      </c>
    </row>
    <row r="1017" spans="1:17" x14ac:dyDescent="0.25">
      <c r="A1017" s="247" t="s">
        <v>646</v>
      </c>
      <c r="B1017" s="247" t="s">
        <v>25</v>
      </c>
      <c r="C1017" s="247" t="s">
        <v>993</v>
      </c>
      <c r="D1017" s="247" t="s">
        <v>926</v>
      </c>
      <c r="E1017" s="247" t="s">
        <v>581</v>
      </c>
      <c r="F1017" s="247" t="s">
        <v>1928</v>
      </c>
      <c r="G1017" s="247" t="s">
        <v>1236</v>
      </c>
      <c r="H1017" s="247"/>
      <c r="I1017" s="247" t="s">
        <v>1929</v>
      </c>
      <c r="J1017" s="247">
        <v>2</v>
      </c>
      <c r="K1017" s="247">
        <v>2</v>
      </c>
      <c r="L1017" s="249" t="s">
        <v>650</v>
      </c>
      <c r="M1017" s="249" t="s">
        <v>933</v>
      </c>
      <c r="N1017" s="248">
        <v>-16706.48</v>
      </c>
      <c r="O1017" s="248">
        <v>-54975.89</v>
      </c>
      <c r="P1017" s="247" t="s">
        <v>1237</v>
      </c>
      <c r="Q1017" s="247" t="s">
        <v>85</v>
      </c>
    </row>
    <row r="1018" spans="1:17" x14ac:dyDescent="0.25">
      <c r="A1018" s="247" t="s">
        <v>646</v>
      </c>
      <c r="B1018" s="247" t="s">
        <v>25</v>
      </c>
      <c r="C1018" s="247" t="s">
        <v>993</v>
      </c>
      <c r="D1018" s="247" t="s">
        <v>926</v>
      </c>
      <c r="E1018" s="247" t="s">
        <v>581</v>
      </c>
      <c r="F1018" s="247" t="s">
        <v>1928</v>
      </c>
      <c r="G1018" s="247" t="s">
        <v>1236</v>
      </c>
      <c r="H1018" s="247"/>
      <c r="I1018" s="247" t="s">
        <v>1929</v>
      </c>
      <c r="J1018" s="247">
        <v>2</v>
      </c>
      <c r="K1018" s="247">
        <v>2</v>
      </c>
      <c r="L1018" s="249" t="s">
        <v>652</v>
      </c>
      <c r="M1018" s="249" t="s">
        <v>933</v>
      </c>
      <c r="N1018" s="248">
        <v>-16038.25</v>
      </c>
      <c r="O1018" s="248">
        <v>-71014.14</v>
      </c>
      <c r="P1018" s="247" t="s">
        <v>1237</v>
      </c>
      <c r="Q1018" s="247" t="s">
        <v>86</v>
      </c>
    </row>
    <row r="1019" spans="1:17" x14ac:dyDescent="0.25">
      <c r="A1019" s="247" t="s">
        <v>646</v>
      </c>
      <c r="B1019" s="247" t="s">
        <v>25</v>
      </c>
      <c r="C1019" s="247" t="s">
        <v>993</v>
      </c>
      <c r="D1019" s="247" t="s">
        <v>926</v>
      </c>
      <c r="E1019" s="247" t="s">
        <v>581</v>
      </c>
      <c r="F1019" s="247" t="s">
        <v>1928</v>
      </c>
      <c r="G1019" s="247" t="s">
        <v>1236</v>
      </c>
      <c r="H1019" s="247"/>
      <c r="I1019" s="247" t="s">
        <v>1929</v>
      </c>
      <c r="J1019" s="247">
        <v>2</v>
      </c>
      <c r="K1019" s="247">
        <v>2</v>
      </c>
      <c r="L1019" s="249" t="s">
        <v>789</v>
      </c>
      <c r="M1019" s="249" t="s">
        <v>929</v>
      </c>
      <c r="N1019" s="248">
        <v>-17308.89</v>
      </c>
      <c r="O1019" s="248">
        <v>-17308.89</v>
      </c>
      <c r="P1019" s="247" t="s">
        <v>1237</v>
      </c>
      <c r="Q1019" s="247" t="s">
        <v>87</v>
      </c>
    </row>
    <row r="1020" spans="1:17" x14ac:dyDescent="0.25">
      <c r="A1020" s="247" t="s">
        <v>646</v>
      </c>
      <c r="B1020" s="247" t="s">
        <v>25</v>
      </c>
      <c r="C1020" s="247" t="s">
        <v>993</v>
      </c>
      <c r="D1020" s="247" t="s">
        <v>926</v>
      </c>
      <c r="E1020" s="247" t="s">
        <v>581</v>
      </c>
      <c r="F1020" s="247" t="s">
        <v>1928</v>
      </c>
      <c r="G1020" s="247" t="s">
        <v>1236</v>
      </c>
      <c r="H1020" s="247"/>
      <c r="I1020" s="247" t="s">
        <v>1929</v>
      </c>
      <c r="J1020" s="247">
        <v>2</v>
      </c>
      <c r="K1020" s="247">
        <v>2</v>
      </c>
      <c r="L1020" s="249" t="s">
        <v>791</v>
      </c>
      <c r="M1020" s="249" t="s">
        <v>929</v>
      </c>
      <c r="N1020" s="248">
        <v>-17070.77</v>
      </c>
      <c r="O1020" s="248">
        <v>-34379.660000000003</v>
      </c>
      <c r="P1020" s="247" t="s">
        <v>1237</v>
      </c>
      <c r="Q1020" s="247" t="s">
        <v>88</v>
      </c>
    </row>
    <row r="1021" spans="1:17" x14ac:dyDescent="0.25">
      <c r="A1021" s="247" t="s">
        <v>646</v>
      </c>
      <c r="B1021" s="247" t="s">
        <v>25</v>
      </c>
      <c r="C1021" s="247" t="s">
        <v>993</v>
      </c>
      <c r="D1021" s="247" t="s">
        <v>926</v>
      </c>
      <c r="E1021" s="247" t="s">
        <v>581</v>
      </c>
      <c r="F1021" s="247" t="s">
        <v>1928</v>
      </c>
      <c r="G1021" s="247" t="s">
        <v>1236</v>
      </c>
      <c r="H1021" s="247"/>
      <c r="I1021" s="247" t="s">
        <v>1929</v>
      </c>
      <c r="J1021" s="247">
        <v>2</v>
      </c>
      <c r="K1021" s="247">
        <v>2</v>
      </c>
      <c r="L1021" s="249" t="s">
        <v>935</v>
      </c>
      <c r="M1021" s="249" t="s">
        <v>929</v>
      </c>
      <c r="N1021" s="248">
        <v>-17553.3</v>
      </c>
      <c r="O1021" s="248">
        <v>-51932.959999999999</v>
      </c>
      <c r="P1021" s="247" t="s">
        <v>1237</v>
      </c>
      <c r="Q1021" s="247" t="s">
        <v>89</v>
      </c>
    </row>
    <row r="1022" spans="1:17" x14ac:dyDescent="0.25">
      <c r="A1022" s="247" t="s">
        <v>646</v>
      </c>
      <c r="B1022" s="247" t="s">
        <v>25</v>
      </c>
      <c r="C1022" s="247" t="s">
        <v>993</v>
      </c>
      <c r="D1022" s="247" t="s">
        <v>926</v>
      </c>
      <c r="E1022" s="247" t="s">
        <v>581</v>
      </c>
      <c r="F1022" s="247" t="s">
        <v>1928</v>
      </c>
      <c r="G1022" s="247" t="s">
        <v>1236</v>
      </c>
      <c r="H1022" s="247"/>
      <c r="I1022" s="247" t="s">
        <v>1929</v>
      </c>
      <c r="J1022" s="247">
        <v>2</v>
      </c>
      <c r="K1022" s="247">
        <v>2</v>
      </c>
      <c r="L1022" s="249" t="s">
        <v>936</v>
      </c>
      <c r="M1022" s="249" t="s">
        <v>929</v>
      </c>
      <c r="N1022" s="248">
        <v>-17367.310000000001</v>
      </c>
      <c r="O1022" s="248">
        <v>-69300.27</v>
      </c>
      <c r="P1022" s="247" t="s">
        <v>1237</v>
      </c>
      <c r="Q1022" s="247" t="s">
        <v>90</v>
      </c>
    </row>
    <row r="1023" spans="1:17" x14ac:dyDescent="0.25">
      <c r="A1023" s="247" t="s">
        <v>646</v>
      </c>
      <c r="B1023" s="247" t="s">
        <v>25</v>
      </c>
      <c r="C1023" s="247" t="s">
        <v>993</v>
      </c>
      <c r="D1023" s="247" t="s">
        <v>926</v>
      </c>
      <c r="E1023" s="247" t="s">
        <v>581</v>
      </c>
      <c r="F1023" s="247" t="s">
        <v>1928</v>
      </c>
      <c r="G1023" s="247" t="s">
        <v>1236</v>
      </c>
      <c r="H1023" s="247"/>
      <c r="I1023" s="247" t="s">
        <v>1929</v>
      </c>
      <c r="J1023" s="247">
        <v>2</v>
      </c>
      <c r="K1023" s="247">
        <v>2</v>
      </c>
      <c r="L1023" s="249" t="s">
        <v>937</v>
      </c>
      <c r="M1023" s="249" t="s">
        <v>929</v>
      </c>
      <c r="N1023" s="248">
        <v>-19517.97</v>
      </c>
      <c r="O1023" s="248">
        <v>-88818.240000000005</v>
      </c>
      <c r="P1023" s="247" t="s">
        <v>1237</v>
      </c>
      <c r="Q1023" s="247" t="s">
        <v>91</v>
      </c>
    </row>
    <row r="1024" spans="1:17" x14ac:dyDescent="0.25">
      <c r="A1024" s="247" t="s">
        <v>646</v>
      </c>
      <c r="B1024" s="247" t="s">
        <v>25</v>
      </c>
      <c r="C1024" s="247" t="s">
        <v>993</v>
      </c>
      <c r="D1024" s="247" t="s">
        <v>926</v>
      </c>
      <c r="E1024" s="247" t="s">
        <v>581</v>
      </c>
      <c r="F1024" s="247" t="s">
        <v>1928</v>
      </c>
      <c r="G1024" s="247" t="s">
        <v>1236</v>
      </c>
      <c r="H1024" s="247"/>
      <c r="I1024" s="247" t="s">
        <v>1929</v>
      </c>
      <c r="J1024" s="247">
        <v>2</v>
      </c>
      <c r="K1024" s="247">
        <v>2</v>
      </c>
      <c r="L1024" s="249" t="s">
        <v>938</v>
      </c>
      <c r="M1024" s="249" t="s">
        <v>929</v>
      </c>
      <c r="N1024" s="248">
        <v>-22090.87</v>
      </c>
      <c r="O1024" s="248">
        <v>-110909.11</v>
      </c>
      <c r="P1024" s="247" t="s">
        <v>1237</v>
      </c>
      <c r="Q1024" s="247" t="s">
        <v>92</v>
      </c>
    </row>
    <row r="1025" spans="1:17" x14ac:dyDescent="0.25">
      <c r="A1025" s="247" t="s">
        <v>646</v>
      </c>
      <c r="B1025" s="247" t="s">
        <v>25</v>
      </c>
      <c r="C1025" s="247" t="s">
        <v>993</v>
      </c>
      <c r="D1025" s="247" t="s">
        <v>926</v>
      </c>
      <c r="E1025" s="247" t="s">
        <v>581</v>
      </c>
      <c r="F1025" s="247" t="s">
        <v>1928</v>
      </c>
      <c r="G1025" s="247" t="s">
        <v>1236</v>
      </c>
      <c r="H1025" s="247"/>
      <c r="I1025" s="247" t="s">
        <v>1929</v>
      </c>
      <c r="J1025" s="247">
        <v>2</v>
      </c>
      <c r="K1025" s="247">
        <v>2</v>
      </c>
      <c r="L1025" s="249" t="s">
        <v>939</v>
      </c>
      <c r="M1025" s="249" t="s">
        <v>929</v>
      </c>
      <c r="N1025" s="248">
        <v>-26698.58</v>
      </c>
      <c r="O1025" s="248">
        <v>-137607.69</v>
      </c>
      <c r="P1025" s="247" t="s">
        <v>1237</v>
      </c>
      <c r="Q1025" s="247" t="s">
        <v>93</v>
      </c>
    </row>
    <row r="1026" spans="1:17" x14ac:dyDescent="0.25">
      <c r="A1026" s="247" t="s">
        <v>646</v>
      </c>
      <c r="B1026" s="247" t="s">
        <v>25</v>
      </c>
      <c r="C1026" s="247" t="s">
        <v>993</v>
      </c>
      <c r="D1026" s="247" t="s">
        <v>926</v>
      </c>
      <c r="E1026" s="247" t="s">
        <v>581</v>
      </c>
      <c r="F1026" s="247" t="s">
        <v>1928</v>
      </c>
      <c r="G1026" s="247" t="s">
        <v>1236</v>
      </c>
      <c r="H1026" s="247"/>
      <c r="I1026" s="247" t="s">
        <v>1929</v>
      </c>
      <c r="J1026" s="247">
        <v>2</v>
      </c>
      <c r="K1026" s="247">
        <v>2</v>
      </c>
      <c r="L1026" s="249" t="s">
        <v>940</v>
      </c>
      <c r="M1026" s="249" t="s">
        <v>929</v>
      </c>
      <c r="N1026" s="248">
        <v>-24735.53</v>
      </c>
      <c r="O1026" s="248">
        <v>-162343.22</v>
      </c>
      <c r="P1026" s="247" t="s">
        <v>1237</v>
      </c>
      <c r="Q1026" s="247" t="s">
        <v>94</v>
      </c>
    </row>
    <row r="1027" spans="1:17" x14ac:dyDescent="0.25">
      <c r="A1027" s="247" t="s">
        <v>646</v>
      </c>
      <c r="B1027" s="247" t="s">
        <v>25</v>
      </c>
      <c r="C1027" s="247" t="s">
        <v>993</v>
      </c>
      <c r="D1027" s="247" t="s">
        <v>926</v>
      </c>
      <c r="E1027" s="247" t="s">
        <v>581</v>
      </c>
      <c r="F1027" s="247" t="s">
        <v>1928</v>
      </c>
      <c r="G1027" s="247" t="s">
        <v>1236</v>
      </c>
      <c r="H1027" s="247"/>
      <c r="I1027" s="247" t="s">
        <v>1929</v>
      </c>
      <c r="J1027" s="247">
        <v>2</v>
      </c>
      <c r="K1027" s="247">
        <v>2</v>
      </c>
      <c r="L1027" s="249" t="s">
        <v>642</v>
      </c>
      <c r="M1027" s="249" t="s">
        <v>929</v>
      </c>
      <c r="N1027" s="248">
        <v>-20238.34</v>
      </c>
      <c r="O1027" s="248">
        <v>-182581.56</v>
      </c>
      <c r="P1027" s="247" t="s">
        <v>1237</v>
      </c>
      <c r="Q1027" s="247" t="s">
        <v>95</v>
      </c>
    </row>
    <row r="1028" spans="1:17" x14ac:dyDescent="0.25">
      <c r="A1028" s="247" t="s">
        <v>646</v>
      </c>
      <c r="B1028" s="247" t="s">
        <v>25</v>
      </c>
      <c r="C1028" s="247" t="s">
        <v>993</v>
      </c>
      <c r="D1028" s="247" t="s">
        <v>926</v>
      </c>
      <c r="E1028" s="247" t="s">
        <v>483</v>
      </c>
      <c r="F1028" s="247" t="s">
        <v>1930</v>
      </c>
      <c r="G1028" s="247" t="s">
        <v>1238</v>
      </c>
      <c r="H1028" s="247"/>
      <c r="I1028" s="247" t="s">
        <v>1931</v>
      </c>
      <c r="J1028" s="247">
        <v>16</v>
      </c>
      <c r="K1028" s="247">
        <v>16</v>
      </c>
      <c r="L1028" s="249" t="s">
        <v>646</v>
      </c>
      <c r="M1028" s="249" t="s">
        <v>933</v>
      </c>
      <c r="N1028" s="248">
        <v>0</v>
      </c>
      <c r="O1028" s="248">
        <v>-3.5</v>
      </c>
      <c r="P1028" s="247" t="s">
        <v>1239</v>
      </c>
      <c r="Q1028" s="247" t="s">
        <v>84</v>
      </c>
    </row>
    <row r="1029" spans="1:17" x14ac:dyDescent="0.25">
      <c r="A1029" s="247" t="s">
        <v>646</v>
      </c>
      <c r="B1029" s="247" t="s">
        <v>25</v>
      </c>
      <c r="C1029" s="247" t="s">
        <v>993</v>
      </c>
      <c r="D1029" s="247" t="s">
        <v>926</v>
      </c>
      <c r="E1029" s="247" t="s">
        <v>483</v>
      </c>
      <c r="F1029" s="247" t="s">
        <v>1930</v>
      </c>
      <c r="G1029" s="247" t="s">
        <v>1238</v>
      </c>
      <c r="H1029" s="247"/>
      <c r="I1029" s="247" t="s">
        <v>1931</v>
      </c>
      <c r="J1029" s="247">
        <v>16</v>
      </c>
      <c r="K1029" s="247">
        <v>16</v>
      </c>
      <c r="L1029" s="249" t="s">
        <v>650</v>
      </c>
      <c r="M1029" s="249" t="s">
        <v>933</v>
      </c>
      <c r="N1029" s="248">
        <v>0</v>
      </c>
      <c r="O1029" s="248">
        <v>-3.5</v>
      </c>
      <c r="P1029" s="247" t="s">
        <v>1239</v>
      </c>
      <c r="Q1029" s="247" t="s">
        <v>85</v>
      </c>
    </row>
    <row r="1030" spans="1:17" x14ac:dyDescent="0.25">
      <c r="A1030" s="247" t="s">
        <v>646</v>
      </c>
      <c r="B1030" s="247" t="s">
        <v>25</v>
      </c>
      <c r="C1030" s="247" t="s">
        <v>993</v>
      </c>
      <c r="D1030" s="247" t="s">
        <v>926</v>
      </c>
      <c r="E1030" s="247" t="s">
        <v>483</v>
      </c>
      <c r="F1030" s="247" t="s">
        <v>1930</v>
      </c>
      <c r="G1030" s="247" t="s">
        <v>1238</v>
      </c>
      <c r="H1030" s="247"/>
      <c r="I1030" s="247" t="s">
        <v>1931</v>
      </c>
      <c r="J1030" s="247">
        <v>16</v>
      </c>
      <c r="K1030" s="247">
        <v>16</v>
      </c>
      <c r="L1030" s="249" t="s">
        <v>652</v>
      </c>
      <c r="M1030" s="249" t="s">
        <v>933</v>
      </c>
      <c r="N1030" s="248">
        <v>0</v>
      </c>
      <c r="O1030" s="248">
        <v>-3.5</v>
      </c>
      <c r="P1030" s="247" t="s">
        <v>1239</v>
      </c>
      <c r="Q1030" s="247" t="s">
        <v>86</v>
      </c>
    </row>
    <row r="1031" spans="1:17" x14ac:dyDescent="0.25">
      <c r="A1031" s="247" t="s">
        <v>646</v>
      </c>
      <c r="B1031" s="247" t="s">
        <v>25</v>
      </c>
      <c r="C1031" s="247" t="s">
        <v>993</v>
      </c>
      <c r="D1031" s="247" t="s">
        <v>926</v>
      </c>
      <c r="E1031" s="247" t="s">
        <v>1240</v>
      </c>
      <c r="F1031" s="247" t="s">
        <v>1932</v>
      </c>
      <c r="G1031" s="247" t="s">
        <v>1241</v>
      </c>
      <c r="H1031" s="247"/>
      <c r="I1031" s="247" t="s">
        <v>1933</v>
      </c>
      <c r="J1031" s="247">
        <v>2</v>
      </c>
      <c r="K1031" s="247">
        <v>2</v>
      </c>
      <c r="L1031" s="249" t="s">
        <v>646</v>
      </c>
      <c r="M1031" s="249" t="s">
        <v>933</v>
      </c>
      <c r="N1031" s="248">
        <v>116.37</v>
      </c>
      <c r="O1031" s="248">
        <v>12.32</v>
      </c>
      <c r="P1031" s="247" t="s">
        <v>1242</v>
      </c>
      <c r="Q1031" s="247" t="s">
        <v>84</v>
      </c>
    </row>
    <row r="1032" spans="1:17" x14ac:dyDescent="0.25">
      <c r="A1032" s="247" t="s">
        <v>646</v>
      </c>
      <c r="B1032" s="247" t="s">
        <v>25</v>
      </c>
      <c r="C1032" s="247" t="s">
        <v>993</v>
      </c>
      <c r="D1032" s="247" t="s">
        <v>926</v>
      </c>
      <c r="E1032" s="247" t="s">
        <v>1240</v>
      </c>
      <c r="F1032" s="247" t="s">
        <v>1932</v>
      </c>
      <c r="G1032" s="247" t="s">
        <v>1241</v>
      </c>
      <c r="H1032" s="247"/>
      <c r="I1032" s="247" t="s">
        <v>1933</v>
      </c>
      <c r="J1032" s="247">
        <v>2</v>
      </c>
      <c r="K1032" s="247">
        <v>2</v>
      </c>
      <c r="L1032" s="249" t="s">
        <v>650</v>
      </c>
      <c r="M1032" s="249" t="s">
        <v>933</v>
      </c>
      <c r="N1032" s="248">
        <v>-68.5</v>
      </c>
      <c r="O1032" s="248">
        <v>-56.18</v>
      </c>
      <c r="P1032" s="247" t="s">
        <v>1242</v>
      </c>
      <c r="Q1032" s="247" t="s">
        <v>85</v>
      </c>
    </row>
    <row r="1033" spans="1:17" x14ac:dyDescent="0.25">
      <c r="A1033" s="247" t="s">
        <v>646</v>
      </c>
      <c r="B1033" s="247" t="s">
        <v>25</v>
      </c>
      <c r="C1033" s="247" t="s">
        <v>993</v>
      </c>
      <c r="D1033" s="247" t="s">
        <v>926</v>
      </c>
      <c r="E1033" s="247" t="s">
        <v>1240</v>
      </c>
      <c r="F1033" s="247" t="s">
        <v>1932</v>
      </c>
      <c r="G1033" s="247" t="s">
        <v>1241</v>
      </c>
      <c r="H1033" s="247"/>
      <c r="I1033" s="247" t="s">
        <v>1933</v>
      </c>
      <c r="J1033" s="247">
        <v>2</v>
      </c>
      <c r="K1033" s="247">
        <v>2</v>
      </c>
      <c r="L1033" s="249" t="s">
        <v>652</v>
      </c>
      <c r="M1033" s="249" t="s">
        <v>933</v>
      </c>
      <c r="N1033" s="248">
        <v>27.22</v>
      </c>
      <c r="O1033" s="248">
        <v>-28.96</v>
      </c>
      <c r="P1033" s="247" t="s">
        <v>1242</v>
      </c>
      <c r="Q1033" s="247" t="s">
        <v>86</v>
      </c>
    </row>
    <row r="1034" spans="1:17" x14ac:dyDescent="0.25">
      <c r="A1034" s="247" t="s">
        <v>646</v>
      </c>
      <c r="B1034" s="247" t="s">
        <v>25</v>
      </c>
      <c r="C1034" s="247" t="s">
        <v>993</v>
      </c>
      <c r="D1034" s="247" t="s">
        <v>926</v>
      </c>
      <c r="E1034" s="247" t="s">
        <v>1240</v>
      </c>
      <c r="F1034" s="247" t="s">
        <v>1932</v>
      </c>
      <c r="G1034" s="247" t="s">
        <v>1241</v>
      </c>
      <c r="H1034" s="247"/>
      <c r="I1034" s="247" t="s">
        <v>1933</v>
      </c>
      <c r="J1034" s="247">
        <v>2</v>
      </c>
      <c r="K1034" s="247">
        <v>2</v>
      </c>
      <c r="L1034" s="249" t="s">
        <v>789</v>
      </c>
      <c r="M1034" s="249" t="s">
        <v>929</v>
      </c>
      <c r="N1034" s="248">
        <v>-77.89</v>
      </c>
      <c r="O1034" s="248">
        <v>-77.89</v>
      </c>
      <c r="P1034" s="247" t="s">
        <v>1242</v>
      </c>
      <c r="Q1034" s="247" t="s">
        <v>87</v>
      </c>
    </row>
    <row r="1035" spans="1:17" x14ac:dyDescent="0.25">
      <c r="A1035" s="247" t="s">
        <v>646</v>
      </c>
      <c r="B1035" s="247" t="s">
        <v>25</v>
      </c>
      <c r="C1035" s="247" t="s">
        <v>993</v>
      </c>
      <c r="D1035" s="247" t="s">
        <v>926</v>
      </c>
      <c r="E1035" s="247" t="s">
        <v>1240</v>
      </c>
      <c r="F1035" s="247" t="s">
        <v>1932</v>
      </c>
      <c r="G1035" s="247" t="s">
        <v>1241</v>
      </c>
      <c r="H1035" s="247"/>
      <c r="I1035" s="247" t="s">
        <v>1933</v>
      </c>
      <c r="J1035" s="247">
        <v>2</v>
      </c>
      <c r="K1035" s="247">
        <v>2</v>
      </c>
      <c r="L1035" s="249" t="s">
        <v>791</v>
      </c>
      <c r="M1035" s="249" t="s">
        <v>929</v>
      </c>
      <c r="N1035" s="248">
        <v>368</v>
      </c>
      <c r="O1035" s="248">
        <v>290.11</v>
      </c>
      <c r="P1035" s="247" t="s">
        <v>1242</v>
      </c>
      <c r="Q1035" s="247" t="s">
        <v>88</v>
      </c>
    </row>
    <row r="1036" spans="1:17" x14ac:dyDescent="0.25">
      <c r="A1036" s="247" t="s">
        <v>646</v>
      </c>
      <c r="B1036" s="247" t="s">
        <v>25</v>
      </c>
      <c r="C1036" s="247" t="s">
        <v>993</v>
      </c>
      <c r="D1036" s="247" t="s">
        <v>926</v>
      </c>
      <c r="E1036" s="247" t="s">
        <v>1240</v>
      </c>
      <c r="F1036" s="247" t="s">
        <v>1932</v>
      </c>
      <c r="G1036" s="247" t="s">
        <v>1241</v>
      </c>
      <c r="H1036" s="247"/>
      <c r="I1036" s="247" t="s">
        <v>1933</v>
      </c>
      <c r="J1036" s="247">
        <v>2</v>
      </c>
      <c r="K1036" s="247">
        <v>2</v>
      </c>
      <c r="L1036" s="249" t="s">
        <v>935</v>
      </c>
      <c r="M1036" s="249" t="s">
        <v>929</v>
      </c>
      <c r="N1036" s="248">
        <v>-452.24</v>
      </c>
      <c r="O1036" s="248">
        <v>-162.13</v>
      </c>
      <c r="P1036" s="247" t="s">
        <v>1242</v>
      </c>
      <c r="Q1036" s="247" t="s">
        <v>89</v>
      </c>
    </row>
    <row r="1037" spans="1:17" x14ac:dyDescent="0.25">
      <c r="A1037" s="247" t="s">
        <v>646</v>
      </c>
      <c r="B1037" s="247" t="s">
        <v>25</v>
      </c>
      <c r="C1037" s="247" t="s">
        <v>993</v>
      </c>
      <c r="D1037" s="247" t="s">
        <v>926</v>
      </c>
      <c r="E1037" s="247" t="s">
        <v>1240</v>
      </c>
      <c r="F1037" s="247" t="s">
        <v>1932</v>
      </c>
      <c r="G1037" s="247" t="s">
        <v>1241</v>
      </c>
      <c r="H1037" s="247"/>
      <c r="I1037" s="247" t="s">
        <v>1933</v>
      </c>
      <c r="J1037" s="247">
        <v>2</v>
      </c>
      <c r="K1037" s="247">
        <v>2</v>
      </c>
      <c r="L1037" s="249" t="s">
        <v>936</v>
      </c>
      <c r="M1037" s="249" t="s">
        <v>929</v>
      </c>
      <c r="N1037" s="248">
        <v>-93.24</v>
      </c>
      <c r="O1037" s="248">
        <v>-255.37</v>
      </c>
      <c r="P1037" s="247" t="s">
        <v>1242</v>
      </c>
      <c r="Q1037" s="247" t="s">
        <v>90</v>
      </c>
    </row>
    <row r="1038" spans="1:17" x14ac:dyDescent="0.25">
      <c r="A1038" s="247" t="s">
        <v>646</v>
      </c>
      <c r="B1038" s="247" t="s">
        <v>25</v>
      </c>
      <c r="C1038" s="247" t="s">
        <v>993</v>
      </c>
      <c r="D1038" s="247" t="s">
        <v>926</v>
      </c>
      <c r="E1038" s="247" t="s">
        <v>1240</v>
      </c>
      <c r="F1038" s="247" t="s">
        <v>1932</v>
      </c>
      <c r="G1038" s="247" t="s">
        <v>1241</v>
      </c>
      <c r="H1038" s="247"/>
      <c r="I1038" s="247" t="s">
        <v>1933</v>
      </c>
      <c r="J1038" s="247">
        <v>2</v>
      </c>
      <c r="K1038" s="247">
        <v>2</v>
      </c>
      <c r="L1038" s="249" t="s">
        <v>937</v>
      </c>
      <c r="M1038" s="249" t="s">
        <v>929</v>
      </c>
      <c r="N1038" s="248">
        <v>169.93</v>
      </c>
      <c r="O1038" s="248">
        <v>-85.44</v>
      </c>
      <c r="P1038" s="247" t="s">
        <v>1242</v>
      </c>
      <c r="Q1038" s="247" t="s">
        <v>91</v>
      </c>
    </row>
    <row r="1039" spans="1:17" x14ac:dyDescent="0.25">
      <c r="A1039" s="247" t="s">
        <v>646</v>
      </c>
      <c r="B1039" s="247" t="s">
        <v>25</v>
      </c>
      <c r="C1039" s="247" t="s">
        <v>993</v>
      </c>
      <c r="D1039" s="247" t="s">
        <v>926</v>
      </c>
      <c r="E1039" s="247" t="s">
        <v>1240</v>
      </c>
      <c r="F1039" s="247" t="s">
        <v>1932</v>
      </c>
      <c r="G1039" s="247" t="s">
        <v>1241</v>
      </c>
      <c r="H1039" s="247"/>
      <c r="I1039" s="247" t="s">
        <v>1933</v>
      </c>
      <c r="J1039" s="247">
        <v>2</v>
      </c>
      <c r="K1039" s="247">
        <v>2</v>
      </c>
      <c r="L1039" s="249" t="s">
        <v>938</v>
      </c>
      <c r="M1039" s="249" t="s">
        <v>929</v>
      </c>
      <c r="N1039" s="248">
        <v>-90</v>
      </c>
      <c r="O1039" s="248">
        <v>-175.44</v>
      </c>
      <c r="P1039" s="247" t="s">
        <v>1242</v>
      </c>
      <c r="Q1039" s="247" t="s">
        <v>92</v>
      </c>
    </row>
    <row r="1040" spans="1:17" x14ac:dyDescent="0.25">
      <c r="A1040" s="247" t="s">
        <v>646</v>
      </c>
      <c r="B1040" s="247" t="s">
        <v>25</v>
      </c>
      <c r="C1040" s="247" t="s">
        <v>993</v>
      </c>
      <c r="D1040" s="247" t="s">
        <v>926</v>
      </c>
      <c r="E1040" s="247" t="s">
        <v>1240</v>
      </c>
      <c r="F1040" s="247" t="s">
        <v>1932</v>
      </c>
      <c r="G1040" s="247" t="s">
        <v>1241</v>
      </c>
      <c r="H1040" s="247"/>
      <c r="I1040" s="247" t="s">
        <v>1933</v>
      </c>
      <c r="J1040" s="247">
        <v>2</v>
      </c>
      <c r="K1040" s="247">
        <v>2</v>
      </c>
      <c r="L1040" s="249" t="s">
        <v>939</v>
      </c>
      <c r="M1040" s="249" t="s">
        <v>929</v>
      </c>
      <c r="N1040" s="248">
        <v>55.84</v>
      </c>
      <c r="O1040" s="248">
        <v>-119.6</v>
      </c>
      <c r="P1040" s="247" t="s">
        <v>1242</v>
      </c>
      <c r="Q1040" s="247" t="s">
        <v>93</v>
      </c>
    </row>
    <row r="1041" spans="1:17" x14ac:dyDescent="0.25">
      <c r="A1041" s="247" t="s">
        <v>646</v>
      </c>
      <c r="B1041" s="247" t="s">
        <v>25</v>
      </c>
      <c r="C1041" s="247" t="s">
        <v>993</v>
      </c>
      <c r="D1041" s="247" t="s">
        <v>926</v>
      </c>
      <c r="E1041" s="247" t="s">
        <v>1240</v>
      </c>
      <c r="F1041" s="247" t="s">
        <v>1932</v>
      </c>
      <c r="G1041" s="247" t="s">
        <v>1241</v>
      </c>
      <c r="H1041" s="247"/>
      <c r="I1041" s="247" t="s">
        <v>1933</v>
      </c>
      <c r="J1041" s="247">
        <v>2</v>
      </c>
      <c r="K1041" s="247">
        <v>2</v>
      </c>
      <c r="L1041" s="249" t="s">
        <v>940</v>
      </c>
      <c r="M1041" s="249" t="s">
        <v>929</v>
      </c>
      <c r="N1041" s="248">
        <v>-129.9</v>
      </c>
      <c r="O1041" s="248">
        <v>-249.5</v>
      </c>
      <c r="P1041" s="247" t="s">
        <v>1242</v>
      </c>
      <c r="Q1041" s="247" t="s">
        <v>94</v>
      </c>
    </row>
    <row r="1042" spans="1:17" x14ac:dyDescent="0.25">
      <c r="A1042" s="247" t="s">
        <v>646</v>
      </c>
      <c r="B1042" s="247" t="s">
        <v>25</v>
      </c>
      <c r="C1042" s="247" t="s">
        <v>993</v>
      </c>
      <c r="D1042" s="247" t="s">
        <v>926</v>
      </c>
      <c r="E1042" s="247" t="s">
        <v>1240</v>
      </c>
      <c r="F1042" s="247" t="s">
        <v>1932</v>
      </c>
      <c r="G1042" s="247" t="s">
        <v>1241</v>
      </c>
      <c r="H1042" s="247"/>
      <c r="I1042" s="247" t="s">
        <v>1933</v>
      </c>
      <c r="J1042" s="247">
        <v>2</v>
      </c>
      <c r="K1042" s="247">
        <v>2</v>
      </c>
      <c r="L1042" s="249" t="s">
        <v>642</v>
      </c>
      <c r="M1042" s="249" t="s">
        <v>929</v>
      </c>
      <c r="N1042" s="248">
        <v>687.49</v>
      </c>
      <c r="O1042" s="248">
        <v>437.99</v>
      </c>
      <c r="P1042" s="247" t="s">
        <v>1242</v>
      </c>
      <c r="Q1042" s="247" t="s">
        <v>95</v>
      </c>
    </row>
    <row r="1043" spans="1:17" x14ac:dyDescent="0.25">
      <c r="A1043" s="247" t="s">
        <v>646</v>
      </c>
      <c r="B1043" s="247" t="s">
        <v>25</v>
      </c>
      <c r="C1043" s="247" t="s">
        <v>993</v>
      </c>
      <c r="D1043" s="247" t="s">
        <v>990</v>
      </c>
      <c r="E1043" s="247" t="s">
        <v>505</v>
      </c>
      <c r="F1043" s="247" t="s">
        <v>1934</v>
      </c>
      <c r="G1043" s="247" t="s">
        <v>1243</v>
      </c>
      <c r="H1043" s="247"/>
      <c r="I1043" s="247" t="s">
        <v>1935</v>
      </c>
      <c r="J1043" s="247">
        <v>2</v>
      </c>
      <c r="K1043" s="247">
        <v>2</v>
      </c>
      <c r="L1043" s="249" t="s">
        <v>646</v>
      </c>
      <c r="M1043" s="249" t="s">
        <v>933</v>
      </c>
      <c r="N1043" s="248">
        <v>-5751</v>
      </c>
      <c r="O1043" s="248">
        <v>-11562.92</v>
      </c>
      <c r="P1043" s="247" t="s">
        <v>1244</v>
      </c>
      <c r="Q1043" s="247" t="s">
        <v>84</v>
      </c>
    </row>
    <row r="1044" spans="1:17" x14ac:dyDescent="0.25">
      <c r="A1044" s="247" t="s">
        <v>646</v>
      </c>
      <c r="B1044" s="247" t="s">
        <v>25</v>
      </c>
      <c r="C1044" s="247" t="s">
        <v>993</v>
      </c>
      <c r="D1044" s="247" t="s">
        <v>990</v>
      </c>
      <c r="E1044" s="247" t="s">
        <v>505</v>
      </c>
      <c r="F1044" s="247" t="s">
        <v>1934</v>
      </c>
      <c r="G1044" s="247" t="s">
        <v>1243</v>
      </c>
      <c r="H1044" s="247"/>
      <c r="I1044" s="247" t="s">
        <v>1935</v>
      </c>
      <c r="J1044" s="247">
        <v>2</v>
      </c>
      <c r="K1044" s="247">
        <v>2</v>
      </c>
      <c r="L1044" s="249" t="s">
        <v>650</v>
      </c>
      <c r="M1044" s="249" t="s">
        <v>933</v>
      </c>
      <c r="N1044" s="248">
        <v>-5197.3900000000003</v>
      </c>
      <c r="O1044" s="248">
        <v>-16760.310000000001</v>
      </c>
      <c r="P1044" s="247" t="s">
        <v>1244</v>
      </c>
      <c r="Q1044" s="247" t="s">
        <v>85</v>
      </c>
    </row>
    <row r="1045" spans="1:17" x14ac:dyDescent="0.25">
      <c r="A1045" s="247" t="s">
        <v>646</v>
      </c>
      <c r="B1045" s="247" t="s">
        <v>25</v>
      </c>
      <c r="C1045" s="247" t="s">
        <v>993</v>
      </c>
      <c r="D1045" s="247" t="s">
        <v>990</v>
      </c>
      <c r="E1045" s="247" t="s">
        <v>505</v>
      </c>
      <c r="F1045" s="247" t="s">
        <v>1934</v>
      </c>
      <c r="G1045" s="247" t="s">
        <v>1243</v>
      </c>
      <c r="H1045" s="247"/>
      <c r="I1045" s="247" t="s">
        <v>1935</v>
      </c>
      <c r="J1045" s="247">
        <v>2</v>
      </c>
      <c r="K1045" s="247">
        <v>2</v>
      </c>
      <c r="L1045" s="249" t="s">
        <v>652</v>
      </c>
      <c r="M1045" s="249" t="s">
        <v>933</v>
      </c>
      <c r="N1045" s="248">
        <v>-5955.25</v>
      </c>
      <c r="O1045" s="248">
        <v>-22715.56</v>
      </c>
      <c r="P1045" s="247" t="s">
        <v>1244</v>
      </c>
      <c r="Q1045" s="247" t="s">
        <v>86</v>
      </c>
    </row>
    <row r="1046" spans="1:17" x14ac:dyDescent="0.25">
      <c r="A1046" s="247" t="s">
        <v>646</v>
      </c>
      <c r="B1046" s="247" t="s">
        <v>25</v>
      </c>
      <c r="C1046" s="247" t="s">
        <v>993</v>
      </c>
      <c r="D1046" s="247" t="s">
        <v>990</v>
      </c>
      <c r="E1046" s="247" t="s">
        <v>505</v>
      </c>
      <c r="F1046" s="247" t="s">
        <v>1934</v>
      </c>
      <c r="G1046" s="247" t="s">
        <v>1243</v>
      </c>
      <c r="H1046" s="247"/>
      <c r="I1046" s="247" t="s">
        <v>1935</v>
      </c>
      <c r="J1046" s="247">
        <v>2</v>
      </c>
      <c r="K1046" s="247">
        <v>2</v>
      </c>
      <c r="L1046" s="249" t="s">
        <v>789</v>
      </c>
      <c r="M1046" s="249" t="s">
        <v>929</v>
      </c>
      <c r="N1046" s="248">
        <v>-5391.89</v>
      </c>
      <c r="O1046" s="248">
        <v>-5391.89</v>
      </c>
      <c r="P1046" s="247" t="s">
        <v>1244</v>
      </c>
      <c r="Q1046" s="247" t="s">
        <v>87</v>
      </c>
    </row>
    <row r="1047" spans="1:17" x14ac:dyDescent="0.25">
      <c r="A1047" s="247" t="s">
        <v>646</v>
      </c>
      <c r="B1047" s="247" t="s">
        <v>25</v>
      </c>
      <c r="C1047" s="247" t="s">
        <v>993</v>
      </c>
      <c r="D1047" s="247" t="s">
        <v>990</v>
      </c>
      <c r="E1047" s="247" t="s">
        <v>505</v>
      </c>
      <c r="F1047" s="247" t="s">
        <v>1934</v>
      </c>
      <c r="G1047" s="247" t="s">
        <v>1243</v>
      </c>
      <c r="H1047" s="247"/>
      <c r="I1047" s="247" t="s">
        <v>1935</v>
      </c>
      <c r="J1047" s="247">
        <v>2</v>
      </c>
      <c r="K1047" s="247">
        <v>2</v>
      </c>
      <c r="L1047" s="249" t="s">
        <v>791</v>
      </c>
      <c r="M1047" s="249" t="s">
        <v>929</v>
      </c>
      <c r="N1047" s="248">
        <v>-5767.73</v>
      </c>
      <c r="O1047" s="248">
        <v>-11159.62</v>
      </c>
      <c r="P1047" s="247" t="s">
        <v>1244</v>
      </c>
      <c r="Q1047" s="247" t="s">
        <v>88</v>
      </c>
    </row>
    <row r="1048" spans="1:17" x14ac:dyDescent="0.25">
      <c r="A1048" s="247" t="s">
        <v>646</v>
      </c>
      <c r="B1048" s="247" t="s">
        <v>25</v>
      </c>
      <c r="C1048" s="247" t="s">
        <v>993</v>
      </c>
      <c r="D1048" s="247" t="s">
        <v>990</v>
      </c>
      <c r="E1048" s="247" t="s">
        <v>505</v>
      </c>
      <c r="F1048" s="247" t="s">
        <v>1934</v>
      </c>
      <c r="G1048" s="247" t="s">
        <v>1243</v>
      </c>
      <c r="H1048" s="247"/>
      <c r="I1048" s="247" t="s">
        <v>1935</v>
      </c>
      <c r="J1048" s="247">
        <v>2</v>
      </c>
      <c r="K1048" s="247">
        <v>2</v>
      </c>
      <c r="L1048" s="249" t="s">
        <v>935</v>
      </c>
      <c r="M1048" s="249" t="s">
        <v>929</v>
      </c>
      <c r="N1048" s="248">
        <v>-5776.21</v>
      </c>
      <c r="O1048" s="248">
        <v>-16935.830000000002</v>
      </c>
      <c r="P1048" s="247" t="s">
        <v>1244</v>
      </c>
      <c r="Q1048" s="247" t="s">
        <v>89</v>
      </c>
    </row>
    <row r="1049" spans="1:17" x14ac:dyDescent="0.25">
      <c r="A1049" s="247" t="s">
        <v>646</v>
      </c>
      <c r="B1049" s="247" t="s">
        <v>25</v>
      </c>
      <c r="C1049" s="247" t="s">
        <v>993</v>
      </c>
      <c r="D1049" s="247" t="s">
        <v>990</v>
      </c>
      <c r="E1049" s="247" t="s">
        <v>505</v>
      </c>
      <c r="F1049" s="247" t="s">
        <v>1934</v>
      </c>
      <c r="G1049" s="247" t="s">
        <v>1243</v>
      </c>
      <c r="H1049" s="247"/>
      <c r="I1049" s="247" t="s">
        <v>1935</v>
      </c>
      <c r="J1049" s="247">
        <v>2</v>
      </c>
      <c r="K1049" s="247">
        <v>2</v>
      </c>
      <c r="L1049" s="249" t="s">
        <v>936</v>
      </c>
      <c r="M1049" s="249" t="s">
        <v>929</v>
      </c>
      <c r="N1049" s="248">
        <v>-5716.65</v>
      </c>
      <c r="O1049" s="248">
        <v>-22652.48</v>
      </c>
      <c r="P1049" s="247" t="s">
        <v>1244</v>
      </c>
      <c r="Q1049" s="247" t="s">
        <v>90</v>
      </c>
    </row>
    <row r="1050" spans="1:17" x14ac:dyDescent="0.25">
      <c r="A1050" s="247" t="s">
        <v>646</v>
      </c>
      <c r="B1050" s="247" t="s">
        <v>25</v>
      </c>
      <c r="C1050" s="247" t="s">
        <v>993</v>
      </c>
      <c r="D1050" s="247" t="s">
        <v>990</v>
      </c>
      <c r="E1050" s="247" t="s">
        <v>505</v>
      </c>
      <c r="F1050" s="247" t="s">
        <v>1934</v>
      </c>
      <c r="G1050" s="247" t="s">
        <v>1243</v>
      </c>
      <c r="H1050" s="247"/>
      <c r="I1050" s="247" t="s">
        <v>1935</v>
      </c>
      <c r="J1050" s="247">
        <v>2</v>
      </c>
      <c r="K1050" s="247">
        <v>2</v>
      </c>
      <c r="L1050" s="249" t="s">
        <v>937</v>
      </c>
      <c r="M1050" s="249" t="s">
        <v>929</v>
      </c>
      <c r="N1050" s="248">
        <v>-6449.6</v>
      </c>
      <c r="O1050" s="248">
        <v>-29102.080000000002</v>
      </c>
      <c r="P1050" s="247" t="s">
        <v>1244</v>
      </c>
      <c r="Q1050" s="247" t="s">
        <v>91</v>
      </c>
    </row>
    <row r="1051" spans="1:17" x14ac:dyDescent="0.25">
      <c r="A1051" s="247" t="s">
        <v>646</v>
      </c>
      <c r="B1051" s="247" t="s">
        <v>25</v>
      </c>
      <c r="C1051" s="247" t="s">
        <v>993</v>
      </c>
      <c r="D1051" s="247" t="s">
        <v>990</v>
      </c>
      <c r="E1051" s="247" t="s">
        <v>505</v>
      </c>
      <c r="F1051" s="247" t="s">
        <v>1934</v>
      </c>
      <c r="G1051" s="247" t="s">
        <v>1243</v>
      </c>
      <c r="H1051" s="247"/>
      <c r="I1051" s="247" t="s">
        <v>1935</v>
      </c>
      <c r="J1051" s="247">
        <v>2</v>
      </c>
      <c r="K1051" s="247">
        <v>2</v>
      </c>
      <c r="L1051" s="249" t="s">
        <v>938</v>
      </c>
      <c r="M1051" s="249" t="s">
        <v>929</v>
      </c>
      <c r="N1051" s="248">
        <v>-6385.24</v>
      </c>
      <c r="O1051" s="248">
        <v>-35487.32</v>
      </c>
      <c r="P1051" s="247" t="s">
        <v>1244</v>
      </c>
      <c r="Q1051" s="247" t="s">
        <v>92</v>
      </c>
    </row>
    <row r="1052" spans="1:17" x14ac:dyDescent="0.25">
      <c r="A1052" s="247" t="s">
        <v>646</v>
      </c>
      <c r="B1052" s="247" t="s">
        <v>25</v>
      </c>
      <c r="C1052" s="247" t="s">
        <v>993</v>
      </c>
      <c r="D1052" s="247" t="s">
        <v>990</v>
      </c>
      <c r="E1052" s="247" t="s">
        <v>505</v>
      </c>
      <c r="F1052" s="247" t="s">
        <v>1934</v>
      </c>
      <c r="G1052" s="247" t="s">
        <v>1243</v>
      </c>
      <c r="H1052" s="247"/>
      <c r="I1052" s="247" t="s">
        <v>1935</v>
      </c>
      <c r="J1052" s="247">
        <v>2</v>
      </c>
      <c r="K1052" s="247">
        <v>2</v>
      </c>
      <c r="L1052" s="249" t="s">
        <v>939</v>
      </c>
      <c r="M1052" s="249" t="s">
        <v>929</v>
      </c>
      <c r="N1052" s="248">
        <v>-7672.11</v>
      </c>
      <c r="O1052" s="248">
        <v>-43159.43</v>
      </c>
      <c r="P1052" s="247" t="s">
        <v>1244</v>
      </c>
      <c r="Q1052" s="247" t="s">
        <v>93</v>
      </c>
    </row>
    <row r="1053" spans="1:17" x14ac:dyDescent="0.25">
      <c r="A1053" s="247" t="s">
        <v>646</v>
      </c>
      <c r="B1053" s="247" t="s">
        <v>25</v>
      </c>
      <c r="C1053" s="247" t="s">
        <v>993</v>
      </c>
      <c r="D1053" s="247" t="s">
        <v>990</v>
      </c>
      <c r="E1053" s="247" t="s">
        <v>505</v>
      </c>
      <c r="F1053" s="247" t="s">
        <v>1934</v>
      </c>
      <c r="G1053" s="247" t="s">
        <v>1243</v>
      </c>
      <c r="H1053" s="247"/>
      <c r="I1053" s="247" t="s">
        <v>1935</v>
      </c>
      <c r="J1053" s="247">
        <v>2</v>
      </c>
      <c r="K1053" s="247">
        <v>2</v>
      </c>
      <c r="L1053" s="249" t="s">
        <v>940</v>
      </c>
      <c r="M1053" s="249" t="s">
        <v>929</v>
      </c>
      <c r="N1053" s="248">
        <v>-6720.26</v>
      </c>
      <c r="O1053" s="248">
        <v>-49879.69</v>
      </c>
      <c r="P1053" s="247" t="s">
        <v>1244</v>
      </c>
      <c r="Q1053" s="247" t="s">
        <v>94</v>
      </c>
    </row>
    <row r="1054" spans="1:17" x14ac:dyDescent="0.25">
      <c r="A1054" s="247" t="s">
        <v>646</v>
      </c>
      <c r="B1054" s="247" t="s">
        <v>25</v>
      </c>
      <c r="C1054" s="247" t="s">
        <v>993</v>
      </c>
      <c r="D1054" s="247" t="s">
        <v>990</v>
      </c>
      <c r="E1054" s="247" t="s">
        <v>505</v>
      </c>
      <c r="F1054" s="247" t="s">
        <v>1934</v>
      </c>
      <c r="G1054" s="247" t="s">
        <v>1243</v>
      </c>
      <c r="H1054" s="247"/>
      <c r="I1054" s="247" t="s">
        <v>1935</v>
      </c>
      <c r="J1054" s="247">
        <v>2</v>
      </c>
      <c r="K1054" s="247">
        <v>2</v>
      </c>
      <c r="L1054" s="249" t="s">
        <v>642</v>
      </c>
      <c r="M1054" s="249" t="s">
        <v>929</v>
      </c>
      <c r="N1054" s="248">
        <v>-6978.7</v>
      </c>
      <c r="O1054" s="248">
        <v>-56858.39</v>
      </c>
      <c r="P1054" s="247" t="s">
        <v>1244</v>
      </c>
      <c r="Q1054" s="247" t="s">
        <v>95</v>
      </c>
    </row>
    <row r="1055" spans="1:17" x14ac:dyDescent="0.25">
      <c r="A1055" s="247" t="s">
        <v>646</v>
      </c>
      <c r="B1055" s="247" t="s">
        <v>25</v>
      </c>
      <c r="C1055" s="247" t="s">
        <v>993</v>
      </c>
      <c r="D1055" s="247" t="s">
        <v>711</v>
      </c>
      <c r="E1055" s="247" t="s">
        <v>487</v>
      </c>
      <c r="F1055" s="247" t="s">
        <v>1936</v>
      </c>
      <c r="G1055" s="247" t="s">
        <v>1245</v>
      </c>
      <c r="H1055" s="247"/>
      <c r="I1055" s="247" t="s">
        <v>1937</v>
      </c>
      <c r="J1055" s="247">
        <v>18</v>
      </c>
      <c r="K1055" s="247">
        <v>18</v>
      </c>
      <c r="L1055" s="249" t="s">
        <v>646</v>
      </c>
      <c r="M1055" s="249" t="s">
        <v>933</v>
      </c>
      <c r="N1055" s="248">
        <v>-1500.4</v>
      </c>
      <c r="O1055" s="248">
        <v>-2813.37</v>
      </c>
      <c r="P1055" s="247" t="s">
        <v>1246</v>
      </c>
      <c r="Q1055" s="247" t="s">
        <v>84</v>
      </c>
    </row>
    <row r="1056" spans="1:17" x14ac:dyDescent="0.25">
      <c r="A1056" s="247" t="s">
        <v>646</v>
      </c>
      <c r="B1056" s="247" t="s">
        <v>25</v>
      </c>
      <c r="C1056" s="247" t="s">
        <v>993</v>
      </c>
      <c r="D1056" s="247" t="s">
        <v>711</v>
      </c>
      <c r="E1056" s="247" t="s">
        <v>487</v>
      </c>
      <c r="F1056" s="247" t="s">
        <v>1936</v>
      </c>
      <c r="G1056" s="247" t="s">
        <v>1245</v>
      </c>
      <c r="H1056" s="247"/>
      <c r="I1056" s="247" t="s">
        <v>1937</v>
      </c>
      <c r="J1056" s="247">
        <v>18</v>
      </c>
      <c r="K1056" s="247">
        <v>18</v>
      </c>
      <c r="L1056" s="249" t="s">
        <v>650</v>
      </c>
      <c r="M1056" s="249" t="s">
        <v>933</v>
      </c>
      <c r="N1056" s="248">
        <v>-2953.67</v>
      </c>
      <c r="O1056" s="248">
        <v>-5767.04</v>
      </c>
      <c r="P1056" s="247" t="s">
        <v>1246</v>
      </c>
      <c r="Q1056" s="247" t="s">
        <v>85</v>
      </c>
    </row>
    <row r="1057" spans="1:17" x14ac:dyDescent="0.25">
      <c r="A1057" s="247" t="s">
        <v>646</v>
      </c>
      <c r="B1057" s="247" t="s">
        <v>25</v>
      </c>
      <c r="C1057" s="247" t="s">
        <v>993</v>
      </c>
      <c r="D1057" s="247" t="s">
        <v>711</v>
      </c>
      <c r="E1057" s="247" t="s">
        <v>487</v>
      </c>
      <c r="F1057" s="247" t="s">
        <v>1936</v>
      </c>
      <c r="G1057" s="247" t="s">
        <v>1245</v>
      </c>
      <c r="H1057" s="247"/>
      <c r="I1057" s="247" t="s">
        <v>1937</v>
      </c>
      <c r="J1057" s="247">
        <v>18</v>
      </c>
      <c r="K1057" s="247">
        <v>18</v>
      </c>
      <c r="L1057" s="249" t="s">
        <v>652</v>
      </c>
      <c r="M1057" s="249" t="s">
        <v>933</v>
      </c>
      <c r="N1057" s="248">
        <v>-1684.77</v>
      </c>
      <c r="O1057" s="248">
        <v>-7451.81</v>
      </c>
      <c r="P1057" s="247" t="s">
        <v>1246</v>
      </c>
      <c r="Q1057" s="247" t="s">
        <v>86</v>
      </c>
    </row>
    <row r="1058" spans="1:17" x14ac:dyDescent="0.25">
      <c r="A1058" s="247" t="s">
        <v>646</v>
      </c>
      <c r="B1058" s="247" t="s">
        <v>25</v>
      </c>
      <c r="C1058" s="247" t="s">
        <v>993</v>
      </c>
      <c r="D1058" s="247" t="s">
        <v>711</v>
      </c>
      <c r="E1058" s="247" t="s">
        <v>487</v>
      </c>
      <c r="F1058" s="247" t="s">
        <v>1936</v>
      </c>
      <c r="G1058" s="247" t="s">
        <v>1245</v>
      </c>
      <c r="H1058" s="247"/>
      <c r="I1058" s="247" t="s">
        <v>1937</v>
      </c>
      <c r="J1058" s="247">
        <v>18</v>
      </c>
      <c r="K1058" s="247">
        <v>18</v>
      </c>
      <c r="L1058" s="249" t="s">
        <v>789</v>
      </c>
      <c r="M1058" s="249" t="s">
        <v>929</v>
      </c>
      <c r="N1058" s="248">
        <v>-2767.17</v>
      </c>
      <c r="O1058" s="248">
        <v>-2767.17</v>
      </c>
      <c r="P1058" s="247" t="s">
        <v>1246</v>
      </c>
      <c r="Q1058" s="247" t="s">
        <v>87</v>
      </c>
    </row>
    <row r="1059" spans="1:17" x14ac:dyDescent="0.25">
      <c r="A1059" s="247" t="s">
        <v>646</v>
      </c>
      <c r="B1059" s="247" t="s">
        <v>25</v>
      </c>
      <c r="C1059" s="247" t="s">
        <v>993</v>
      </c>
      <c r="D1059" s="247" t="s">
        <v>711</v>
      </c>
      <c r="E1059" s="247" t="s">
        <v>487</v>
      </c>
      <c r="F1059" s="247" t="s">
        <v>1936</v>
      </c>
      <c r="G1059" s="247" t="s">
        <v>1245</v>
      </c>
      <c r="H1059" s="247"/>
      <c r="I1059" s="247" t="s">
        <v>1937</v>
      </c>
      <c r="J1059" s="247">
        <v>18</v>
      </c>
      <c r="K1059" s="247">
        <v>18</v>
      </c>
      <c r="L1059" s="249" t="s">
        <v>791</v>
      </c>
      <c r="M1059" s="249" t="s">
        <v>929</v>
      </c>
      <c r="N1059" s="248">
        <v>-2224.52</v>
      </c>
      <c r="O1059" s="248">
        <v>-4991.6899999999996</v>
      </c>
      <c r="P1059" s="247" t="s">
        <v>1246</v>
      </c>
      <c r="Q1059" s="247" t="s">
        <v>88</v>
      </c>
    </row>
    <row r="1060" spans="1:17" x14ac:dyDescent="0.25">
      <c r="A1060" s="247" t="s">
        <v>646</v>
      </c>
      <c r="B1060" s="247" t="s">
        <v>25</v>
      </c>
      <c r="C1060" s="247" t="s">
        <v>993</v>
      </c>
      <c r="D1060" s="247" t="s">
        <v>711</v>
      </c>
      <c r="E1060" s="247" t="s">
        <v>487</v>
      </c>
      <c r="F1060" s="247" t="s">
        <v>1936</v>
      </c>
      <c r="G1060" s="247" t="s">
        <v>1245</v>
      </c>
      <c r="H1060" s="247"/>
      <c r="I1060" s="247" t="s">
        <v>1937</v>
      </c>
      <c r="J1060" s="247">
        <v>18</v>
      </c>
      <c r="K1060" s="247">
        <v>18</v>
      </c>
      <c r="L1060" s="249" t="s">
        <v>935</v>
      </c>
      <c r="M1060" s="249" t="s">
        <v>929</v>
      </c>
      <c r="N1060" s="248">
        <v>-2795.12</v>
      </c>
      <c r="O1060" s="248">
        <v>-7786.81</v>
      </c>
      <c r="P1060" s="247" t="s">
        <v>1246</v>
      </c>
      <c r="Q1060" s="247" t="s">
        <v>89</v>
      </c>
    </row>
    <row r="1061" spans="1:17" x14ac:dyDescent="0.25">
      <c r="A1061" s="247" t="s">
        <v>646</v>
      </c>
      <c r="B1061" s="247" t="s">
        <v>25</v>
      </c>
      <c r="C1061" s="247" t="s">
        <v>993</v>
      </c>
      <c r="D1061" s="247" t="s">
        <v>711</v>
      </c>
      <c r="E1061" s="247" t="s">
        <v>487</v>
      </c>
      <c r="F1061" s="247" t="s">
        <v>1936</v>
      </c>
      <c r="G1061" s="247" t="s">
        <v>1245</v>
      </c>
      <c r="H1061" s="247"/>
      <c r="I1061" s="247" t="s">
        <v>1937</v>
      </c>
      <c r="J1061" s="247">
        <v>18</v>
      </c>
      <c r="K1061" s="247">
        <v>18</v>
      </c>
      <c r="L1061" s="249" t="s">
        <v>936</v>
      </c>
      <c r="M1061" s="249" t="s">
        <v>929</v>
      </c>
      <c r="N1061" s="248">
        <v>-1806.97</v>
      </c>
      <c r="O1061" s="248">
        <v>-9593.7800000000007</v>
      </c>
      <c r="P1061" s="247" t="s">
        <v>1246</v>
      </c>
      <c r="Q1061" s="247" t="s">
        <v>90</v>
      </c>
    </row>
    <row r="1062" spans="1:17" x14ac:dyDescent="0.25">
      <c r="A1062" s="247" t="s">
        <v>646</v>
      </c>
      <c r="B1062" s="247" t="s">
        <v>25</v>
      </c>
      <c r="C1062" s="247" t="s">
        <v>993</v>
      </c>
      <c r="D1062" s="247" t="s">
        <v>711</v>
      </c>
      <c r="E1062" s="247" t="s">
        <v>487</v>
      </c>
      <c r="F1062" s="247" t="s">
        <v>1936</v>
      </c>
      <c r="G1062" s="247" t="s">
        <v>1245</v>
      </c>
      <c r="H1062" s="247"/>
      <c r="I1062" s="247" t="s">
        <v>1937</v>
      </c>
      <c r="J1062" s="247">
        <v>18</v>
      </c>
      <c r="K1062" s="247">
        <v>18</v>
      </c>
      <c r="L1062" s="249" t="s">
        <v>937</v>
      </c>
      <c r="M1062" s="249" t="s">
        <v>929</v>
      </c>
      <c r="N1062" s="248">
        <v>-1296.71</v>
      </c>
      <c r="O1062" s="248">
        <v>-10890.49</v>
      </c>
      <c r="P1062" s="247" t="s">
        <v>1246</v>
      </c>
      <c r="Q1062" s="247" t="s">
        <v>91</v>
      </c>
    </row>
    <row r="1063" spans="1:17" x14ac:dyDescent="0.25">
      <c r="A1063" s="247" t="s">
        <v>646</v>
      </c>
      <c r="B1063" s="247" t="s">
        <v>25</v>
      </c>
      <c r="C1063" s="247" t="s">
        <v>993</v>
      </c>
      <c r="D1063" s="247" t="s">
        <v>711</v>
      </c>
      <c r="E1063" s="247" t="s">
        <v>487</v>
      </c>
      <c r="F1063" s="247" t="s">
        <v>1936</v>
      </c>
      <c r="G1063" s="247" t="s">
        <v>1245</v>
      </c>
      <c r="H1063" s="247"/>
      <c r="I1063" s="247" t="s">
        <v>1937</v>
      </c>
      <c r="J1063" s="247">
        <v>18</v>
      </c>
      <c r="K1063" s="247">
        <v>18</v>
      </c>
      <c r="L1063" s="249" t="s">
        <v>938</v>
      </c>
      <c r="M1063" s="249" t="s">
        <v>929</v>
      </c>
      <c r="N1063" s="248">
        <v>-996.06</v>
      </c>
      <c r="O1063" s="248">
        <v>-11886.55</v>
      </c>
      <c r="P1063" s="247" t="s">
        <v>1246</v>
      </c>
      <c r="Q1063" s="247" t="s">
        <v>92</v>
      </c>
    </row>
    <row r="1064" spans="1:17" x14ac:dyDescent="0.25">
      <c r="A1064" s="247" t="s">
        <v>646</v>
      </c>
      <c r="B1064" s="247" t="s">
        <v>25</v>
      </c>
      <c r="C1064" s="247" t="s">
        <v>993</v>
      </c>
      <c r="D1064" s="247" t="s">
        <v>711</v>
      </c>
      <c r="E1064" s="247" t="s">
        <v>487</v>
      </c>
      <c r="F1064" s="247" t="s">
        <v>1936</v>
      </c>
      <c r="G1064" s="247" t="s">
        <v>1245</v>
      </c>
      <c r="H1064" s="247"/>
      <c r="I1064" s="247" t="s">
        <v>1937</v>
      </c>
      <c r="J1064" s="247">
        <v>18</v>
      </c>
      <c r="K1064" s="247">
        <v>18</v>
      </c>
      <c r="L1064" s="249" t="s">
        <v>939</v>
      </c>
      <c r="M1064" s="249" t="s">
        <v>929</v>
      </c>
      <c r="N1064" s="248">
        <v>-789.94</v>
      </c>
      <c r="O1064" s="248">
        <v>-12676.49</v>
      </c>
      <c r="P1064" s="247" t="s">
        <v>1246</v>
      </c>
      <c r="Q1064" s="247" t="s">
        <v>93</v>
      </c>
    </row>
    <row r="1065" spans="1:17" x14ac:dyDescent="0.25">
      <c r="A1065" s="247" t="s">
        <v>646</v>
      </c>
      <c r="B1065" s="247" t="s">
        <v>25</v>
      </c>
      <c r="C1065" s="247" t="s">
        <v>993</v>
      </c>
      <c r="D1065" s="247" t="s">
        <v>711</v>
      </c>
      <c r="E1065" s="247" t="s">
        <v>487</v>
      </c>
      <c r="F1065" s="247" t="s">
        <v>1936</v>
      </c>
      <c r="G1065" s="247" t="s">
        <v>1245</v>
      </c>
      <c r="H1065" s="247"/>
      <c r="I1065" s="247" t="s">
        <v>1937</v>
      </c>
      <c r="J1065" s="247">
        <v>18</v>
      </c>
      <c r="K1065" s="247">
        <v>18</v>
      </c>
      <c r="L1065" s="249" t="s">
        <v>940</v>
      </c>
      <c r="M1065" s="249" t="s">
        <v>929</v>
      </c>
      <c r="N1065" s="248">
        <v>-623.04999999999995</v>
      </c>
      <c r="O1065" s="248">
        <v>-13299.54</v>
      </c>
      <c r="P1065" s="247" t="s">
        <v>1246</v>
      </c>
      <c r="Q1065" s="247" t="s">
        <v>94</v>
      </c>
    </row>
    <row r="1066" spans="1:17" x14ac:dyDescent="0.25">
      <c r="A1066" s="247" t="s">
        <v>646</v>
      </c>
      <c r="B1066" s="247" t="s">
        <v>25</v>
      </c>
      <c r="C1066" s="247" t="s">
        <v>993</v>
      </c>
      <c r="D1066" s="247" t="s">
        <v>711</v>
      </c>
      <c r="E1066" s="247" t="s">
        <v>487</v>
      </c>
      <c r="F1066" s="247" t="s">
        <v>1936</v>
      </c>
      <c r="G1066" s="247" t="s">
        <v>1245</v>
      </c>
      <c r="H1066" s="247"/>
      <c r="I1066" s="247" t="s">
        <v>1937</v>
      </c>
      <c r="J1066" s="247">
        <v>18</v>
      </c>
      <c r="K1066" s="247">
        <v>18</v>
      </c>
      <c r="L1066" s="249" t="s">
        <v>642</v>
      </c>
      <c r="M1066" s="249" t="s">
        <v>929</v>
      </c>
      <c r="N1066" s="248">
        <v>-1731.58</v>
      </c>
      <c r="O1066" s="248">
        <v>-15031.12</v>
      </c>
      <c r="P1066" s="247" t="s">
        <v>1246</v>
      </c>
      <c r="Q1066" s="247" t="s">
        <v>95</v>
      </c>
    </row>
    <row r="1067" spans="1:17" x14ac:dyDescent="0.25">
      <c r="A1067" s="247" t="s">
        <v>646</v>
      </c>
      <c r="B1067" s="247" t="s">
        <v>25</v>
      </c>
      <c r="C1067" s="247" t="s">
        <v>993</v>
      </c>
      <c r="D1067" s="247" t="s">
        <v>735</v>
      </c>
      <c r="E1067" s="247" t="s">
        <v>505</v>
      </c>
      <c r="F1067" s="247" t="s">
        <v>1938</v>
      </c>
      <c r="G1067" s="247" t="s">
        <v>1247</v>
      </c>
      <c r="H1067" s="247"/>
      <c r="I1067" s="247" t="s">
        <v>1939</v>
      </c>
      <c r="J1067" s="247">
        <v>18</v>
      </c>
      <c r="K1067" s="247">
        <v>18</v>
      </c>
      <c r="L1067" s="249" t="s">
        <v>646</v>
      </c>
      <c r="M1067" s="249" t="s">
        <v>933</v>
      </c>
      <c r="N1067" s="248">
        <v>-4537.13</v>
      </c>
      <c r="O1067" s="248">
        <v>-8119.75</v>
      </c>
      <c r="P1067" s="247" t="s">
        <v>1248</v>
      </c>
      <c r="Q1067" s="247" t="s">
        <v>84</v>
      </c>
    </row>
    <row r="1068" spans="1:17" x14ac:dyDescent="0.25">
      <c r="A1068" s="247" t="s">
        <v>646</v>
      </c>
      <c r="B1068" s="247" t="s">
        <v>25</v>
      </c>
      <c r="C1068" s="247" t="s">
        <v>993</v>
      </c>
      <c r="D1068" s="247" t="s">
        <v>735</v>
      </c>
      <c r="E1068" s="247" t="s">
        <v>505</v>
      </c>
      <c r="F1068" s="247" t="s">
        <v>1938</v>
      </c>
      <c r="G1068" s="247" t="s">
        <v>1247</v>
      </c>
      <c r="H1068" s="247"/>
      <c r="I1068" s="247" t="s">
        <v>1939</v>
      </c>
      <c r="J1068" s="247">
        <v>18</v>
      </c>
      <c r="K1068" s="247">
        <v>18</v>
      </c>
      <c r="L1068" s="249" t="s">
        <v>650</v>
      </c>
      <c r="M1068" s="249" t="s">
        <v>933</v>
      </c>
      <c r="N1068" s="248">
        <v>-6537.09</v>
      </c>
      <c r="O1068" s="248">
        <v>-14656.84</v>
      </c>
      <c r="P1068" s="247" t="s">
        <v>1248</v>
      </c>
      <c r="Q1068" s="247" t="s">
        <v>85</v>
      </c>
    </row>
    <row r="1069" spans="1:17" x14ac:dyDescent="0.25">
      <c r="A1069" s="247" t="s">
        <v>646</v>
      </c>
      <c r="B1069" s="247" t="s">
        <v>25</v>
      </c>
      <c r="C1069" s="247" t="s">
        <v>993</v>
      </c>
      <c r="D1069" s="247" t="s">
        <v>735</v>
      </c>
      <c r="E1069" s="247" t="s">
        <v>505</v>
      </c>
      <c r="F1069" s="247" t="s">
        <v>1938</v>
      </c>
      <c r="G1069" s="247" t="s">
        <v>1247</v>
      </c>
      <c r="H1069" s="247"/>
      <c r="I1069" s="247" t="s">
        <v>1939</v>
      </c>
      <c r="J1069" s="247">
        <v>18</v>
      </c>
      <c r="K1069" s="247">
        <v>18</v>
      </c>
      <c r="L1069" s="249" t="s">
        <v>652</v>
      </c>
      <c r="M1069" s="249" t="s">
        <v>933</v>
      </c>
      <c r="N1069" s="248">
        <v>-8075.27</v>
      </c>
      <c r="O1069" s="248">
        <v>-22732.11</v>
      </c>
      <c r="P1069" s="247" t="s">
        <v>1248</v>
      </c>
      <c r="Q1069" s="247" t="s">
        <v>86</v>
      </c>
    </row>
    <row r="1070" spans="1:17" x14ac:dyDescent="0.25">
      <c r="A1070" s="247" t="s">
        <v>646</v>
      </c>
      <c r="B1070" s="247" t="s">
        <v>25</v>
      </c>
      <c r="C1070" s="247" t="s">
        <v>993</v>
      </c>
      <c r="D1070" s="247" t="s">
        <v>735</v>
      </c>
      <c r="E1070" s="247" t="s">
        <v>505</v>
      </c>
      <c r="F1070" s="247" t="s">
        <v>1938</v>
      </c>
      <c r="G1070" s="247" t="s">
        <v>1247</v>
      </c>
      <c r="H1070" s="247"/>
      <c r="I1070" s="247" t="s">
        <v>1939</v>
      </c>
      <c r="J1070" s="247">
        <v>18</v>
      </c>
      <c r="K1070" s="247">
        <v>18</v>
      </c>
      <c r="L1070" s="249" t="s">
        <v>789</v>
      </c>
      <c r="M1070" s="249" t="s">
        <v>929</v>
      </c>
      <c r="N1070" s="248">
        <v>-8184.98</v>
      </c>
      <c r="O1070" s="248">
        <v>-8184.98</v>
      </c>
      <c r="P1070" s="247" t="s">
        <v>1248</v>
      </c>
      <c r="Q1070" s="247" t="s">
        <v>87</v>
      </c>
    </row>
    <row r="1071" spans="1:17" x14ac:dyDescent="0.25">
      <c r="A1071" s="247" t="s">
        <v>646</v>
      </c>
      <c r="B1071" s="247" t="s">
        <v>25</v>
      </c>
      <c r="C1071" s="247" t="s">
        <v>993</v>
      </c>
      <c r="D1071" s="247" t="s">
        <v>735</v>
      </c>
      <c r="E1071" s="247" t="s">
        <v>505</v>
      </c>
      <c r="F1071" s="247" t="s">
        <v>1938</v>
      </c>
      <c r="G1071" s="247" t="s">
        <v>1247</v>
      </c>
      <c r="H1071" s="247"/>
      <c r="I1071" s="247" t="s">
        <v>1939</v>
      </c>
      <c r="J1071" s="247">
        <v>18</v>
      </c>
      <c r="K1071" s="247">
        <v>18</v>
      </c>
      <c r="L1071" s="249" t="s">
        <v>791</v>
      </c>
      <c r="M1071" s="249" t="s">
        <v>929</v>
      </c>
      <c r="N1071" s="248">
        <v>-7091.38</v>
      </c>
      <c r="O1071" s="248">
        <v>-15276.36</v>
      </c>
      <c r="P1071" s="247" t="s">
        <v>1248</v>
      </c>
      <c r="Q1071" s="247" t="s">
        <v>88</v>
      </c>
    </row>
    <row r="1072" spans="1:17" x14ac:dyDescent="0.25">
      <c r="A1072" s="247" t="s">
        <v>646</v>
      </c>
      <c r="B1072" s="247" t="s">
        <v>25</v>
      </c>
      <c r="C1072" s="247" t="s">
        <v>993</v>
      </c>
      <c r="D1072" s="247" t="s">
        <v>735</v>
      </c>
      <c r="E1072" s="247" t="s">
        <v>505</v>
      </c>
      <c r="F1072" s="247" t="s">
        <v>1938</v>
      </c>
      <c r="G1072" s="247" t="s">
        <v>1247</v>
      </c>
      <c r="H1072" s="247"/>
      <c r="I1072" s="247" t="s">
        <v>1939</v>
      </c>
      <c r="J1072" s="247">
        <v>18</v>
      </c>
      <c r="K1072" s="247">
        <v>18</v>
      </c>
      <c r="L1072" s="249" t="s">
        <v>935</v>
      </c>
      <c r="M1072" s="249" t="s">
        <v>929</v>
      </c>
      <c r="N1072" s="248">
        <v>-4243.8100000000004</v>
      </c>
      <c r="O1072" s="248">
        <v>-19520.169999999998</v>
      </c>
      <c r="P1072" s="247" t="s">
        <v>1248</v>
      </c>
      <c r="Q1072" s="247" t="s">
        <v>89</v>
      </c>
    </row>
    <row r="1073" spans="1:17" x14ac:dyDescent="0.25">
      <c r="A1073" s="247" t="s">
        <v>646</v>
      </c>
      <c r="B1073" s="247" t="s">
        <v>25</v>
      </c>
      <c r="C1073" s="247" t="s">
        <v>993</v>
      </c>
      <c r="D1073" s="247" t="s">
        <v>735</v>
      </c>
      <c r="E1073" s="247" t="s">
        <v>505</v>
      </c>
      <c r="F1073" s="247" t="s">
        <v>1938</v>
      </c>
      <c r="G1073" s="247" t="s">
        <v>1247</v>
      </c>
      <c r="H1073" s="247"/>
      <c r="I1073" s="247" t="s">
        <v>1939</v>
      </c>
      <c r="J1073" s="247">
        <v>18</v>
      </c>
      <c r="K1073" s="247">
        <v>18</v>
      </c>
      <c r="L1073" s="249" t="s">
        <v>936</v>
      </c>
      <c r="M1073" s="249" t="s">
        <v>929</v>
      </c>
      <c r="N1073" s="248">
        <v>-6314.37</v>
      </c>
      <c r="O1073" s="248">
        <v>-25834.54</v>
      </c>
      <c r="P1073" s="247" t="s">
        <v>1248</v>
      </c>
      <c r="Q1073" s="247" t="s">
        <v>90</v>
      </c>
    </row>
    <row r="1074" spans="1:17" x14ac:dyDescent="0.25">
      <c r="A1074" s="247" t="s">
        <v>646</v>
      </c>
      <c r="B1074" s="247" t="s">
        <v>25</v>
      </c>
      <c r="C1074" s="247" t="s">
        <v>993</v>
      </c>
      <c r="D1074" s="247" t="s">
        <v>735</v>
      </c>
      <c r="E1074" s="247" t="s">
        <v>505</v>
      </c>
      <c r="F1074" s="247" t="s">
        <v>1938</v>
      </c>
      <c r="G1074" s="247" t="s">
        <v>1247</v>
      </c>
      <c r="H1074" s="247"/>
      <c r="I1074" s="247" t="s">
        <v>1939</v>
      </c>
      <c r="J1074" s="247">
        <v>18</v>
      </c>
      <c r="K1074" s="247">
        <v>18</v>
      </c>
      <c r="L1074" s="249" t="s">
        <v>937</v>
      </c>
      <c r="M1074" s="249" t="s">
        <v>929</v>
      </c>
      <c r="N1074" s="248">
        <v>-6402.35</v>
      </c>
      <c r="O1074" s="248">
        <v>-32236.89</v>
      </c>
      <c r="P1074" s="247" t="s">
        <v>1248</v>
      </c>
      <c r="Q1074" s="247" t="s">
        <v>91</v>
      </c>
    </row>
    <row r="1075" spans="1:17" x14ac:dyDescent="0.25">
      <c r="A1075" s="247" t="s">
        <v>646</v>
      </c>
      <c r="B1075" s="247" t="s">
        <v>25</v>
      </c>
      <c r="C1075" s="247" t="s">
        <v>993</v>
      </c>
      <c r="D1075" s="247" t="s">
        <v>735</v>
      </c>
      <c r="E1075" s="247" t="s">
        <v>505</v>
      </c>
      <c r="F1075" s="247" t="s">
        <v>1938</v>
      </c>
      <c r="G1075" s="247" t="s">
        <v>1247</v>
      </c>
      <c r="H1075" s="247"/>
      <c r="I1075" s="247" t="s">
        <v>1939</v>
      </c>
      <c r="J1075" s="247">
        <v>18</v>
      </c>
      <c r="K1075" s="247">
        <v>18</v>
      </c>
      <c r="L1075" s="249" t="s">
        <v>938</v>
      </c>
      <c r="M1075" s="249" t="s">
        <v>929</v>
      </c>
      <c r="N1075" s="248">
        <v>-5942.12</v>
      </c>
      <c r="O1075" s="248">
        <v>-38179.01</v>
      </c>
      <c r="P1075" s="247" t="s">
        <v>1248</v>
      </c>
      <c r="Q1075" s="247" t="s">
        <v>92</v>
      </c>
    </row>
    <row r="1076" spans="1:17" x14ac:dyDescent="0.25">
      <c r="A1076" s="247" t="s">
        <v>646</v>
      </c>
      <c r="B1076" s="247" t="s">
        <v>25</v>
      </c>
      <c r="C1076" s="247" t="s">
        <v>993</v>
      </c>
      <c r="D1076" s="247" t="s">
        <v>735</v>
      </c>
      <c r="E1076" s="247" t="s">
        <v>505</v>
      </c>
      <c r="F1076" s="247" t="s">
        <v>1938</v>
      </c>
      <c r="G1076" s="247" t="s">
        <v>1247</v>
      </c>
      <c r="H1076" s="247"/>
      <c r="I1076" s="247" t="s">
        <v>1939</v>
      </c>
      <c r="J1076" s="247">
        <v>18</v>
      </c>
      <c r="K1076" s="247">
        <v>18</v>
      </c>
      <c r="L1076" s="249" t="s">
        <v>939</v>
      </c>
      <c r="M1076" s="249" t="s">
        <v>929</v>
      </c>
      <c r="N1076" s="248">
        <v>-4034.86</v>
      </c>
      <c r="O1076" s="248">
        <v>-42213.87</v>
      </c>
      <c r="P1076" s="247" t="s">
        <v>1248</v>
      </c>
      <c r="Q1076" s="247" t="s">
        <v>93</v>
      </c>
    </row>
    <row r="1077" spans="1:17" x14ac:dyDescent="0.25">
      <c r="A1077" s="247" t="s">
        <v>646</v>
      </c>
      <c r="B1077" s="247" t="s">
        <v>25</v>
      </c>
      <c r="C1077" s="247" t="s">
        <v>993</v>
      </c>
      <c r="D1077" s="247" t="s">
        <v>735</v>
      </c>
      <c r="E1077" s="247" t="s">
        <v>505</v>
      </c>
      <c r="F1077" s="247" t="s">
        <v>1938</v>
      </c>
      <c r="G1077" s="247" t="s">
        <v>1247</v>
      </c>
      <c r="H1077" s="247"/>
      <c r="I1077" s="247" t="s">
        <v>1939</v>
      </c>
      <c r="J1077" s="247">
        <v>18</v>
      </c>
      <c r="K1077" s="247">
        <v>18</v>
      </c>
      <c r="L1077" s="249" t="s">
        <v>940</v>
      </c>
      <c r="M1077" s="249" t="s">
        <v>929</v>
      </c>
      <c r="N1077" s="248">
        <v>-5359.71</v>
      </c>
      <c r="O1077" s="248">
        <v>-47573.58</v>
      </c>
      <c r="P1077" s="247" t="s">
        <v>1248</v>
      </c>
      <c r="Q1077" s="247" t="s">
        <v>94</v>
      </c>
    </row>
    <row r="1078" spans="1:17" x14ac:dyDescent="0.25">
      <c r="A1078" s="247" t="s">
        <v>646</v>
      </c>
      <c r="B1078" s="247" t="s">
        <v>25</v>
      </c>
      <c r="C1078" s="247" t="s">
        <v>993</v>
      </c>
      <c r="D1078" s="247" t="s">
        <v>735</v>
      </c>
      <c r="E1078" s="247" t="s">
        <v>505</v>
      </c>
      <c r="F1078" s="247" t="s">
        <v>1938</v>
      </c>
      <c r="G1078" s="247" t="s">
        <v>1247</v>
      </c>
      <c r="H1078" s="247"/>
      <c r="I1078" s="247" t="s">
        <v>1939</v>
      </c>
      <c r="J1078" s="247">
        <v>18</v>
      </c>
      <c r="K1078" s="247">
        <v>18</v>
      </c>
      <c r="L1078" s="249" t="s">
        <v>642</v>
      </c>
      <c r="M1078" s="249" t="s">
        <v>929</v>
      </c>
      <c r="N1078" s="248">
        <v>-6348.55</v>
      </c>
      <c r="O1078" s="248">
        <v>-53922.13</v>
      </c>
      <c r="P1078" s="247" t="s">
        <v>1248</v>
      </c>
      <c r="Q1078" s="247" t="s">
        <v>95</v>
      </c>
    </row>
    <row r="1079" spans="1:17" x14ac:dyDescent="0.25">
      <c r="A1079" s="247" t="s">
        <v>646</v>
      </c>
      <c r="B1079" s="247" t="s">
        <v>25</v>
      </c>
      <c r="C1079" s="247" t="s">
        <v>993</v>
      </c>
      <c r="D1079" s="247" t="s">
        <v>735</v>
      </c>
      <c r="E1079" s="247" t="s">
        <v>981</v>
      </c>
      <c r="F1079" s="247" t="s">
        <v>1940</v>
      </c>
      <c r="G1079" s="247" t="s">
        <v>1249</v>
      </c>
      <c r="H1079" s="247"/>
      <c r="I1079" s="247" t="s">
        <v>1941</v>
      </c>
      <c r="J1079" s="247">
        <v>18</v>
      </c>
      <c r="K1079" s="247">
        <v>18</v>
      </c>
      <c r="L1079" s="249" t="s">
        <v>650</v>
      </c>
      <c r="M1079" s="249" t="s">
        <v>933</v>
      </c>
      <c r="N1079" s="248">
        <v>-2</v>
      </c>
      <c r="O1079" s="248">
        <v>-2</v>
      </c>
      <c r="P1079" s="247" t="s">
        <v>1250</v>
      </c>
      <c r="Q1079" s="247" t="s">
        <v>85</v>
      </c>
    </row>
    <row r="1080" spans="1:17" x14ac:dyDescent="0.25">
      <c r="A1080" s="247" t="s">
        <v>646</v>
      </c>
      <c r="B1080" s="247" t="s">
        <v>25</v>
      </c>
      <c r="C1080" s="247" t="s">
        <v>993</v>
      </c>
      <c r="D1080" s="247" t="s">
        <v>735</v>
      </c>
      <c r="E1080" s="247" t="s">
        <v>981</v>
      </c>
      <c r="F1080" s="247" t="s">
        <v>1940</v>
      </c>
      <c r="G1080" s="247" t="s">
        <v>1249</v>
      </c>
      <c r="H1080" s="247"/>
      <c r="I1080" s="247" t="s">
        <v>1941</v>
      </c>
      <c r="J1080" s="247">
        <v>18</v>
      </c>
      <c r="K1080" s="247">
        <v>18</v>
      </c>
      <c r="L1080" s="249" t="s">
        <v>652</v>
      </c>
      <c r="M1080" s="249" t="s">
        <v>933</v>
      </c>
      <c r="N1080" s="248">
        <v>0</v>
      </c>
      <c r="O1080" s="248">
        <v>-2</v>
      </c>
      <c r="P1080" s="247" t="s">
        <v>1250</v>
      </c>
      <c r="Q1080" s="247" t="s">
        <v>86</v>
      </c>
    </row>
    <row r="1081" spans="1:17" x14ac:dyDescent="0.25">
      <c r="A1081" s="247" t="s">
        <v>646</v>
      </c>
      <c r="B1081" s="247" t="s">
        <v>25</v>
      </c>
      <c r="C1081" s="247" t="s">
        <v>993</v>
      </c>
      <c r="D1081" s="247" t="s">
        <v>735</v>
      </c>
      <c r="E1081" s="247" t="s">
        <v>981</v>
      </c>
      <c r="F1081" s="247" t="s">
        <v>1940</v>
      </c>
      <c r="G1081" s="247" t="s">
        <v>1249</v>
      </c>
      <c r="H1081" s="247"/>
      <c r="I1081" s="247" t="s">
        <v>1941</v>
      </c>
      <c r="J1081" s="247">
        <v>18</v>
      </c>
      <c r="K1081" s="247">
        <v>18</v>
      </c>
      <c r="L1081" s="249" t="s">
        <v>789</v>
      </c>
      <c r="M1081" s="249" t="s">
        <v>929</v>
      </c>
      <c r="N1081" s="248">
        <v>-1</v>
      </c>
      <c r="O1081" s="248">
        <v>-1</v>
      </c>
      <c r="P1081" s="247" t="s">
        <v>1250</v>
      </c>
      <c r="Q1081" s="247" t="s">
        <v>87</v>
      </c>
    </row>
    <row r="1082" spans="1:17" x14ac:dyDescent="0.25">
      <c r="A1082" s="247" t="s">
        <v>646</v>
      </c>
      <c r="B1082" s="247" t="s">
        <v>25</v>
      </c>
      <c r="C1082" s="247" t="s">
        <v>993</v>
      </c>
      <c r="D1082" s="247" t="s">
        <v>735</v>
      </c>
      <c r="E1082" s="247" t="s">
        <v>981</v>
      </c>
      <c r="F1082" s="247" t="s">
        <v>1940</v>
      </c>
      <c r="G1082" s="247" t="s">
        <v>1249</v>
      </c>
      <c r="H1082" s="247"/>
      <c r="I1082" s="247" t="s">
        <v>1941</v>
      </c>
      <c r="J1082" s="247">
        <v>18</v>
      </c>
      <c r="K1082" s="247">
        <v>18</v>
      </c>
      <c r="L1082" s="249" t="s">
        <v>791</v>
      </c>
      <c r="M1082" s="249" t="s">
        <v>929</v>
      </c>
      <c r="N1082" s="248">
        <v>0</v>
      </c>
      <c r="O1082" s="248">
        <v>-1</v>
      </c>
      <c r="P1082" s="247" t="s">
        <v>1250</v>
      </c>
      <c r="Q1082" s="247" t="s">
        <v>88</v>
      </c>
    </row>
    <row r="1083" spans="1:17" x14ac:dyDescent="0.25">
      <c r="A1083" s="247" t="s">
        <v>646</v>
      </c>
      <c r="B1083" s="247" t="s">
        <v>25</v>
      </c>
      <c r="C1083" s="247" t="s">
        <v>993</v>
      </c>
      <c r="D1083" s="247" t="s">
        <v>735</v>
      </c>
      <c r="E1083" s="247" t="s">
        <v>981</v>
      </c>
      <c r="F1083" s="247" t="s">
        <v>1940</v>
      </c>
      <c r="G1083" s="247" t="s">
        <v>1249</v>
      </c>
      <c r="H1083" s="247"/>
      <c r="I1083" s="247" t="s">
        <v>1941</v>
      </c>
      <c r="J1083" s="247">
        <v>18</v>
      </c>
      <c r="K1083" s="247">
        <v>18</v>
      </c>
      <c r="L1083" s="249" t="s">
        <v>935</v>
      </c>
      <c r="M1083" s="249" t="s">
        <v>929</v>
      </c>
      <c r="N1083" s="248">
        <v>-1</v>
      </c>
      <c r="O1083" s="248">
        <v>-2</v>
      </c>
      <c r="P1083" s="247" t="s">
        <v>1250</v>
      </c>
      <c r="Q1083" s="247" t="s">
        <v>89</v>
      </c>
    </row>
    <row r="1084" spans="1:17" x14ac:dyDescent="0.25">
      <c r="A1084" s="247" t="s">
        <v>646</v>
      </c>
      <c r="B1084" s="247" t="s">
        <v>25</v>
      </c>
      <c r="C1084" s="247" t="s">
        <v>993</v>
      </c>
      <c r="D1084" s="247" t="s">
        <v>735</v>
      </c>
      <c r="E1084" s="247" t="s">
        <v>981</v>
      </c>
      <c r="F1084" s="247" t="s">
        <v>1940</v>
      </c>
      <c r="G1084" s="247" t="s">
        <v>1249</v>
      </c>
      <c r="H1084" s="247"/>
      <c r="I1084" s="247" t="s">
        <v>1941</v>
      </c>
      <c r="J1084" s="247">
        <v>18</v>
      </c>
      <c r="K1084" s="247">
        <v>18</v>
      </c>
      <c r="L1084" s="249" t="s">
        <v>936</v>
      </c>
      <c r="M1084" s="249" t="s">
        <v>929</v>
      </c>
      <c r="N1084" s="248">
        <v>-1</v>
      </c>
      <c r="O1084" s="248">
        <v>-3</v>
      </c>
      <c r="P1084" s="247" t="s">
        <v>1250</v>
      </c>
      <c r="Q1084" s="247" t="s">
        <v>90</v>
      </c>
    </row>
    <row r="1085" spans="1:17" x14ac:dyDescent="0.25">
      <c r="A1085" s="247" t="s">
        <v>646</v>
      </c>
      <c r="B1085" s="247" t="s">
        <v>25</v>
      </c>
      <c r="C1085" s="247" t="s">
        <v>993</v>
      </c>
      <c r="D1085" s="247" t="s">
        <v>735</v>
      </c>
      <c r="E1085" s="247" t="s">
        <v>981</v>
      </c>
      <c r="F1085" s="247" t="s">
        <v>1940</v>
      </c>
      <c r="G1085" s="247" t="s">
        <v>1249</v>
      </c>
      <c r="H1085" s="247"/>
      <c r="I1085" s="247" t="s">
        <v>1941</v>
      </c>
      <c r="J1085" s="247">
        <v>18</v>
      </c>
      <c r="K1085" s="247">
        <v>18</v>
      </c>
      <c r="L1085" s="249" t="s">
        <v>937</v>
      </c>
      <c r="M1085" s="249" t="s">
        <v>929</v>
      </c>
      <c r="N1085" s="248">
        <v>0</v>
      </c>
      <c r="O1085" s="248">
        <v>-3</v>
      </c>
      <c r="P1085" s="247" t="s">
        <v>1250</v>
      </c>
      <c r="Q1085" s="247" t="s">
        <v>91</v>
      </c>
    </row>
    <row r="1086" spans="1:17" x14ac:dyDescent="0.25">
      <c r="A1086" s="247" t="s">
        <v>646</v>
      </c>
      <c r="B1086" s="247" t="s">
        <v>25</v>
      </c>
      <c r="C1086" s="247" t="s">
        <v>993</v>
      </c>
      <c r="D1086" s="247" t="s">
        <v>735</v>
      </c>
      <c r="E1086" s="247" t="s">
        <v>981</v>
      </c>
      <c r="F1086" s="247" t="s">
        <v>1940</v>
      </c>
      <c r="G1086" s="247" t="s">
        <v>1249</v>
      </c>
      <c r="H1086" s="247"/>
      <c r="I1086" s="247" t="s">
        <v>1941</v>
      </c>
      <c r="J1086" s="247">
        <v>18</v>
      </c>
      <c r="K1086" s="247">
        <v>18</v>
      </c>
      <c r="L1086" s="249" t="s">
        <v>938</v>
      </c>
      <c r="M1086" s="249" t="s">
        <v>929</v>
      </c>
      <c r="N1086" s="248">
        <v>-1</v>
      </c>
      <c r="O1086" s="248">
        <v>-4</v>
      </c>
      <c r="P1086" s="247" t="s">
        <v>1250</v>
      </c>
      <c r="Q1086" s="247" t="s">
        <v>92</v>
      </c>
    </row>
    <row r="1087" spans="1:17" x14ac:dyDescent="0.25">
      <c r="A1087" s="247" t="s">
        <v>646</v>
      </c>
      <c r="B1087" s="247" t="s">
        <v>25</v>
      </c>
      <c r="C1087" s="247" t="s">
        <v>993</v>
      </c>
      <c r="D1087" s="247" t="s">
        <v>735</v>
      </c>
      <c r="E1087" s="247" t="s">
        <v>981</v>
      </c>
      <c r="F1087" s="247" t="s">
        <v>1940</v>
      </c>
      <c r="G1087" s="247" t="s">
        <v>1249</v>
      </c>
      <c r="H1087" s="247"/>
      <c r="I1087" s="247" t="s">
        <v>1941</v>
      </c>
      <c r="J1087" s="247">
        <v>18</v>
      </c>
      <c r="K1087" s="247">
        <v>18</v>
      </c>
      <c r="L1087" s="249" t="s">
        <v>939</v>
      </c>
      <c r="M1087" s="249" t="s">
        <v>929</v>
      </c>
      <c r="N1087" s="248">
        <v>0</v>
      </c>
      <c r="O1087" s="248">
        <v>-4</v>
      </c>
      <c r="P1087" s="247" t="s">
        <v>1250</v>
      </c>
      <c r="Q1087" s="247" t="s">
        <v>93</v>
      </c>
    </row>
    <row r="1088" spans="1:17" x14ac:dyDescent="0.25">
      <c r="A1088" s="247" t="s">
        <v>646</v>
      </c>
      <c r="B1088" s="247" t="s">
        <v>25</v>
      </c>
      <c r="C1088" s="247" t="s">
        <v>993</v>
      </c>
      <c r="D1088" s="247" t="s">
        <v>735</v>
      </c>
      <c r="E1088" s="247" t="s">
        <v>981</v>
      </c>
      <c r="F1088" s="247" t="s">
        <v>1940</v>
      </c>
      <c r="G1088" s="247" t="s">
        <v>1249</v>
      </c>
      <c r="H1088" s="247"/>
      <c r="I1088" s="247" t="s">
        <v>1941</v>
      </c>
      <c r="J1088" s="247">
        <v>18</v>
      </c>
      <c r="K1088" s="247">
        <v>18</v>
      </c>
      <c r="L1088" s="249" t="s">
        <v>940</v>
      </c>
      <c r="M1088" s="249" t="s">
        <v>929</v>
      </c>
      <c r="N1088" s="248">
        <v>-1</v>
      </c>
      <c r="O1088" s="248">
        <v>-5</v>
      </c>
      <c r="P1088" s="247" t="s">
        <v>1250</v>
      </c>
      <c r="Q1088" s="247" t="s">
        <v>94</v>
      </c>
    </row>
    <row r="1089" spans="1:17" x14ac:dyDescent="0.25">
      <c r="A1089" s="247" t="s">
        <v>646</v>
      </c>
      <c r="B1089" s="247" t="s">
        <v>25</v>
      </c>
      <c r="C1089" s="247" t="s">
        <v>993</v>
      </c>
      <c r="D1089" s="247" t="s">
        <v>735</v>
      </c>
      <c r="E1089" s="247" t="s">
        <v>981</v>
      </c>
      <c r="F1089" s="247" t="s">
        <v>1940</v>
      </c>
      <c r="G1089" s="247" t="s">
        <v>1249</v>
      </c>
      <c r="H1089" s="247"/>
      <c r="I1089" s="247" t="s">
        <v>1941</v>
      </c>
      <c r="J1089" s="247">
        <v>18</v>
      </c>
      <c r="K1089" s="247">
        <v>18</v>
      </c>
      <c r="L1089" s="249" t="s">
        <v>642</v>
      </c>
      <c r="M1089" s="249" t="s">
        <v>929</v>
      </c>
      <c r="N1089" s="248">
        <v>0</v>
      </c>
      <c r="O1089" s="248">
        <v>-5</v>
      </c>
      <c r="P1089" s="247" t="s">
        <v>1250</v>
      </c>
      <c r="Q1089" s="247" t="s">
        <v>95</v>
      </c>
    </row>
    <row r="1090" spans="1:17" x14ac:dyDescent="0.25">
      <c r="A1090" s="247" t="s">
        <v>646</v>
      </c>
      <c r="B1090" s="247" t="s">
        <v>25</v>
      </c>
      <c r="C1090" s="247" t="s">
        <v>993</v>
      </c>
      <c r="D1090" s="247" t="s">
        <v>926</v>
      </c>
      <c r="E1090" s="247" t="s">
        <v>711</v>
      </c>
      <c r="F1090" s="247" t="s">
        <v>1942</v>
      </c>
      <c r="G1090" s="247" t="s">
        <v>1251</v>
      </c>
      <c r="H1090" s="247"/>
      <c r="I1090" s="247" t="s">
        <v>1943</v>
      </c>
      <c r="J1090" s="247">
        <v>1</v>
      </c>
      <c r="K1090" s="247">
        <v>1</v>
      </c>
      <c r="L1090" s="249" t="s">
        <v>646</v>
      </c>
      <c r="M1090" s="249" t="s">
        <v>933</v>
      </c>
      <c r="N1090" s="248">
        <v>0</v>
      </c>
      <c r="O1090" s="248">
        <v>-903405.31</v>
      </c>
      <c r="P1090" s="247" t="s">
        <v>1252</v>
      </c>
      <c r="Q1090" s="247" t="s">
        <v>84</v>
      </c>
    </row>
    <row r="1091" spans="1:17" x14ac:dyDescent="0.25">
      <c r="A1091" s="247" t="s">
        <v>646</v>
      </c>
      <c r="B1091" s="247" t="s">
        <v>25</v>
      </c>
      <c r="C1091" s="247" t="s">
        <v>993</v>
      </c>
      <c r="D1091" s="247" t="s">
        <v>926</v>
      </c>
      <c r="E1091" s="247" t="s">
        <v>711</v>
      </c>
      <c r="F1091" s="247" t="s">
        <v>1942</v>
      </c>
      <c r="G1091" s="247" t="s">
        <v>1251</v>
      </c>
      <c r="H1091" s="247"/>
      <c r="I1091" s="247" t="s">
        <v>1943</v>
      </c>
      <c r="J1091" s="247">
        <v>1</v>
      </c>
      <c r="K1091" s="247">
        <v>1</v>
      </c>
      <c r="L1091" s="249" t="s">
        <v>650</v>
      </c>
      <c r="M1091" s="249" t="s">
        <v>933</v>
      </c>
      <c r="N1091" s="248">
        <v>0</v>
      </c>
      <c r="O1091" s="248">
        <v>-903405.31</v>
      </c>
      <c r="P1091" s="247" t="s">
        <v>1252</v>
      </c>
      <c r="Q1091" s="247" t="s">
        <v>85</v>
      </c>
    </row>
    <row r="1092" spans="1:17" x14ac:dyDescent="0.25">
      <c r="A1092" s="247" t="s">
        <v>646</v>
      </c>
      <c r="B1092" s="247" t="s">
        <v>25</v>
      </c>
      <c r="C1092" s="247" t="s">
        <v>993</v>
      </c>
      <c r="D1092" s="247" t="s">
        <v>926</v>
      </c>
      <c r="E1092" s="247" t="s">
        <v>711</v>
      </c>
      <c r="F1092" s="247" t="s">
        <v>1942</v>
      </c>
      <c r="G1092" s="247" t="s">
        <v>1251</v>
      </c>
      <c r="H1092" s="247"/>
      <c r="I1092" s="247" t="s">
        <v>1943</v>
      </c>
      <c r="J1092" s="247">
        <v>1</v>
      </c>
      <c r="K1092" s="247">
        <v>1</v>
      </c>
      <c r="L1092" s="249" t="s">
        <v>652</v>
      </c>
      <c r="M1092" s="249" t="s">
        <v>933</v>
      </c>
      <c r="N1092" s="248">
        <v>0</v>
      </c>
      <c r="O1092" s="248">
        <v>-903405.31</v>
      </c>
      <c r="P1092" s="247" t="s">
        <v>1252</v>
      </c>
      <c r="Q1092" s="247" t="s">
        <v>86</v>
      </c>
    </row>
    <row r="1093" spans="1:17" x14ac:dyDescent="0.25">
      <c r="A1093" s="247" t="s">
        <v>646</v>
      </c>
      <c r="B1093" s="247" t="s">
        <v>25</v>
      </c>
      <c r="C1093" s="247" t="s">
        <v>993</v>
      </c>
      <c r="D1093" s="247" t="s">
        <v>926</v>
      </c>
      <c r="E1093" s="247" t="s">
        <v>719</v>
      </c>
      <c r="F1093" s="247" t="s">
        <v>1944</v>
      </c>
      <c r="G1093" s="247" t="s">
        <v>1253</v>
      </c>
      <c r="H1093" s="247"/>
      <c r="I1093" s="247" t="s">
        <v>1945</v>
      </c>
      <c r="J1093" s="247">
        <v>1</v>
      </c>
      <c r="K1093" s="247">
        <v>1</v>
      </c>
      <c r="L1093" s="249" t="s">
        <v>646</v>
      </c>
      <c r="M1093" s="249" t="s">
        <v>933</v>
      </c>
      <c r="N1093" s="248">
        <v>-59562.71</v>
      </c>
      <c r="O1093" s="248">
        <v>-119228.28</v>
      </c>
      <c r="P1093" s="247" t="s">
        <v>1254</v>
      </c>
      <c r="Q1093" s="247" t="s">
        <v>84</v>
      </c>
    </row>
    <row r="1094" spans="1:17" x14ac:dyDescent="0.25">
      <c r="A1094" s="247" t="s">
        <v>646</v>
      </c>
      <c r="B1094" s="247" t="s">
        <v>25</v>
      </c>
      <c r="C1094" s="247" t="s">
        <v>993</v>
      </c>
      <c r="D1094" s="247" t="s">
        <v>926</v>
      </c>
      <c r="E1094" s="247" t="s">
        <v>719</v>
      </c>
      <c r="F1094" s="247" t="s">
        <v>1944</v>
      </c>
      <c r="G1094" s="247" t="s">
        <v>1253</v>
      </c>
      <c r="H1094" s="247"/>
      <c r="I1094" s="247" t="s">
        <v>1945</v>
      </c>
      <c r="J1094" s="247">
        <v>1</v>
      </c>
      <c r="K1094" s="247">
        <v>1</v>
      </c>
      <c r="L1094" s="249" t="s">
        <v>650</v>
      </c>
      <c r="M1094" s="249" t="s">
        <v>933</v>
      </c>
      <c r="N1094" s="248">
        <v>-58660.92</v>
      </c>
      <c r="O1094" s="248">
        <v>-177889.2</v>
      </c>
      <c r="P1094" s="247" t="s">
        <v>1254</v>
      </c>
      <c r="Q1094" s="247" t="s">
        <v>85</v>
      </c>
    </row>
    <row r="1095" spans="1:17" x14ac:dyDescent="0.25">
      <c r="A1095" s="247" t="s">
        <v>646</v>
      </c>
      <c r="B1095" s="247" t="s">
        <v>25</v>
      </c>
      <c r="C1095" s="247" t="s">
        <v>993</v>
      </c>
      <c r="D1095" s="247" t="s">
        <v>926</v>
      </c>
      <c r="E1095" s="247" t="s">
        <v>719</v>
      </c>
      <c r="F1095" s="247" t="s">
        <v>1944</v>
      </c>
      <c r="G1095" s="247" t="s">
        <v>1253</v>
      </c>
      <c r="H1095" s="247"/>
      <c r="I1095" s="247" t="s">
        <v>1945</v>
      </c>
      <c r="J1095" s="247">
        <v>1</v>
      </c>
      <c r="K1095" s="247">
        <v>1</v>
      </c>
      <c r="L1095" s="249" t="s">
        <v>652</v>
      </c>
      <c r="M1095" s="249" t="s">
        <v>933</v>
      </c>
      <c r="N1095" s="248">
        <v>-58989.42</v>
      </c>
      <c r="O1095" s="248">
        <v>-236878.62</v>
      </c>
      <c r="P1095" s="247" t="s">
        <v>1254</v>
      </c>
      <c r="Q1095" s="247" t="s">
        <v>86</v>
      </c>
    </row>
    <row r="1096" spans="1:17" x14ac:dyDescent="0.25">
      <c r="A1096" s="247" t="s">
        <v>646</v>
      </c>
      <c r="B1096" s="247" t="s">
        <v>25</v>
      </c>
      <c r="C1096" s="247" t="s">
        <v>993</v>
      </c>
      <c r="D1096" s="247" t="s">
        <v>926</v>
      </c>
      <c r="E1096" s="247" t="s">
        <v>719</v>
      </c>
      <c r="F1096" s="247" t="s">
        <v>1944</v>
      </c>
      <c r="G1096" s="247" t="s">
        <v>1253</v>
      </c>
      <c r="H1096" s="247"/>
      <c r="I1096" s="247" t="s">
        <v>1945</v>
      </c>
      <c r="J1096" s="247">
        <v>1</v>
      </c>
      <c r="K1096" s="247">
        <v>1</v>
      </c>
      <c r="L1096" s="249" t="s">
        <v>789</v>
      </c>
      <c r="M1096" s="249" t="s">
        <v>929</v>
      </c>
      <c r="N1096" s="248">
        <v>-58613.18</v>
      </c>
      <c r="O1096" s="248">
        <v>-58613.18</v>
      </c>
      <c r="P1096" s="247" t="s">
        <v>1254</v>
      </c>
      <c r="Q1096" s="247" t="s">
        <v>87</v>
      </c>
    </row>
    <row r="1097" spans="1:17" x14ac:dyDescent="0.25">
      <c r="A1097" s="247" t="s">
        <v>646</v>
      </c>
      <c r="B1097" s="247" t="s">
        <v>25</v>
      </c>
      <c r="C1097" s="247" t="s">
        <v>993</v>
      </c>
      <c r="D1097" s="247" t="s">
        <v>926</v>
      </c>
      <c r="E1097" s="247" t="s">
        <v>719</v>
      </c>
      <c r="F1097" s="247" t="s">
        <v>1944</v>
      </c>
      <c r="G1097" s="247" t="s">
        <v>1253</v>
      </c>
      <c r="H1097" s="247"/>
      <c r="I1097" s="247" t="s">
        <v>1945</v>
      </c>
      <c r="J1097" s="247">
        <v>1</v>
      </c>
      <c r="K1097" s="247">
        <v>1</v>
      </c>
      <c r="L1097" s="249" t="s">
        <v>791</v>
      </c>
      <c r="M1097" s="249" t="s">
        <v>929</v>
      </c>
      <c r="N1097" s="248">
        <v>680.88</v>
      </c>
      <c r="O1097" s="248">
        <v>-57932.3</v>
      </c>
      <c r="P1097" s="247" t="s">
        <v>1254</v>
      </c>
      <c r="Q1097" s="247" t="s">
        <v>88</v>
      </c>
    </row>
    <row r="1098" spans="1:17" x14ac:dyDescent="0.25">
      <c r="A1098" s="247" t="s">
        <v>646</v>
      </c>
      <c r="B1098" s="247" t="s">
        <v>25</v>
      </c>
      <c r="C1098" s="247" t="s">
        <v>993</v>
      </c>
      <c r="D1098" s="247" t="s">
        <v>926</v>
      </c>
      <c r="E1098" s="247" t="s">
        <v>719</v>
      </c>
      <c r="F1098" s="247" t="s">
        <v>1944</v>
      </c>
      <c r="G1098" s="247" t="s">
        <v>1253</v>
      </c>
      <c r="H1098" s="247"/>
      <c r="I1098" s="247" t="s">
        <v>1945</v>
      </c>
      <c r="J1098" s="247">
        <v>1</v>
      </c>
      <c r="K1098" s="247">
        <v>1</v>
      </c>
      <c r="L1098" s="249" t="s">
        <v>935</v>
      </c>
      <c r="M1098" s="249" t="s">
        <v>929</v>
      </c>
      <c r="N1098" s="248">
        <v>-60307.68</v>
      </c>
      <c r="O1098" s="248">
        <v>-118239.98</v>
      </c>
      <c r="P1098" s="247" t="s">
        <v>1254</v>
      </c>
      <c r="Q1098" s="247" t="s">
        <v>89</v>
      </c>
    </row>
    <row r="1099" spans="1:17" x14ac:dyDescent="0.25">
      <c r="A1099" s="247" t="s">
        <v>646</v>
      </c>
      <c r="B1099" s="247" t="s">
        <v>25</v>
      </c>
      <c r="C1099" s="247" t="s">
        <v>993</v>
      </c>
      <c r="D1099" s="247" t="s">
        <v>926</v>
      </c>
      <c r="E1099" s="247" t="s">
        <v>719</v>
      </c>
      <c r="F1099" s="247" t="s">
        <v>1944</v>
      </c>
      <c r="G1099" s="247" t="s">
        <v>1253</v>
      </c>
      <c r="H1099" s="247"/>
      <c r="I1099" s="247" t="s">
        <v>1945</v>
      </c>
      <c r="J1099" s="247">
        <v>1</v>
      </c>
      <c r="K1099" s="247">
        <v>1</v>
      </c>
      <c r="L1099" s="249" t="s">
        <v>936</v>
      </c>
      <c r="M1099" s="249" t="s">
        <v>929</v>
      </c>
      <c r="N1099" s="248">
        <v>-59691</v>
      </c>
      <c r="O1099" s="248">
        <v>-177930.98</v>
      </c>
      <c r="P1099" s="247" t="s">
        <v>1254</v>
      </c>
      <c r="Q1099" s="247" t="s">
        <v>90</v>
      </c>
    </row>
    <row r="1100" spans="1:17" x14ac:dyDescent="0.25">
      <c r="A1100" s="247" t="s">
        <v>646</v>
      </c>
      <c r="B1100" s="247" t="s">
        <v>25</v>
      </c>
      <c r="C1100" s="247" t="s">
        <v>993</v>
      </c>
      <c r="D1100" s="247" t="s">
        <v>926</v>
      </c>
      <c r="E1100" s="247" t="s">
        <v>719</v>
      </c>
      <c r="F1100" s="247" t="s">
        <v>1944</v>
      </c>
      <c r="G1100" s="247" t="s">
        <v>1253</v>
      </c>
      <c r="H1100" s="247"/>
      <c r="I1100" s="247" t="s">
        <v>1945</v>
      </c>
      <c r="J1100" s="247">
        <v>1</v>
      </c>
      <c r="K1100" s="247">
        <v>1</v>
      </c>
      <c r="L1100" s="249" t="s">
        <v>937</v>
      </c>
      <c r="M1100" s="249" t="s">
        <v>929</v>
      </c>
      <c r="N1100" s="248">
        <v>-62439.6</v>
      </c>
      <c r="O1100" s="248">
        <v>-240370.58</v>
      </c>
      <c r="P1100" s="247" t="s">
        <v>1254</v>
      </c>
      <c r="Q1100" s="247" t="s">
        <v>91</v>
      </c>
    </row>
    <row r="1101" spans="1:17" x14ac:dyDescent="0.25">
      <c r="A1101" s="247" t="s">
        <v>646</v>
      </c>
      <c r="B1101" s="247" t="s">
        <v>25</v>
      </c>
      <c r="C1101" s="247" t="s">
        <v>993</v>
      </c>
      <c r="D1101" s="247" t="s">
        <v>926</v>
      </c>
      <c r="E1101" s="247" t="s">
        <v>719</v>
      </c>
      <c r="F1101" s="247" t="s">
        <v>1944</v>
      </c>
      <c r="G1101" s="247" t="s">
        <v>1253</v>
      </c>
      <c r="H1101" s="247"/>
      <c r="I1101" s="247" t="s">
        <v>1945</v>
      </c>
      <c r="J1101" s="247">
        <v>1</v>
      </c>
      <c r="K1101" s="247">
        <v>1</v>
      </c>
      <c r="L1101" s="249" t="s">
        <v>938</v>
      </c>
      <c r="M1101" s="249" t="s">
        <v>929</v>
      </c>
      <c r="N1101" s="248">
        <v>-61149.35</v>
      </c>
      <c r="O1101" s="248">
        <v>-301519.93</v>
      </c>
      <c r="P1101" s="247" t="s">
        <v>1254</v>
      </c>
      <c r="Q1101" s="247" t="s">
        <v>92</v>
      </c>
    </row>
    <row r="1102" spans="1:17" x14ac:dyDescent="0.25">
      <c r="A1102" s="247" t="s">
        <v>646</v>
      </c>
      <c r="B1102" s="247" t="s">
        <v>25</v>
      </c>
      <c r="C1102" s="247" t="s">
        <v>993</v>
      </c>
      <c r="D1102" s="247" t="s">
        <v>926</v>
      </c>
      <c r="E1102" s="247" t="s">
        <v>719</v>
      </c>
      <c r="F1102" s="247" t="s">
        <v>1944</v>
      </c>
      <c r="G1102" s="247" t="s">
        <v>1253</v>
      </c>
      <c r="H1102" s="247"/>
      <c r="I1102" s="247" t="s">
        <v>1945</v>
      </c>
      <c r="J1102" s="247">
        <v>1</v>
      </c>
      <c r="K1102" s="247">
        <v>1</v>
      </c>
      <c r="L1102" s="249" t="s">
        <v>939</v>
      </c>
      <c r="M1102" s="249" t="s">
        <v>929</v>
      </c>
      <c r="N1102" s="248">
        <v>-62139.41</v>
      </c>
      <c r="O1102" s="248">
        <v>-363659.34</v>
      </c>
      <c r="P1102" s="247" t="s">
        <v>1254</v>
      </c>
      <c r="Q1102" s="247" t="s">
        <v>93</v>
      </c>
    </row>
    <row r="1103" spans="1:17" x14ac:dyDescent="0.25">
      <c r="A1103" s="247" t="s">
        <v>646</v>
      </c>
      <c r="B1103" s="247" t="s">
        <v>25</v>
      </c>
      <c r="C1103" s="247" t="s">
        <v>993</v>
      </c>
      <c r="D1103" s="247" t="s">
        <v>926</v>
      </c>
      <c r="E1103" s="247" t="s">
        <v>719</v>
      </c>
      <c r="F1103" s="247" t="s">
        <v>1944</v>
      </c>
      <c r="G1103" s="247" t="s">
        <v>1253</v>
      </c>
      <c r="H1103" s="247"/>
      <c r="I1103" s="247" t="s">
        <v>1945</v>
      </c>
      <c r="J1103" s="247">
        <v>1</v>
      </c>
      <c r="K1103" s="247">
        <v>1</v>
      </c>
      <c r="L1103" s="249" t="s">
        <v>940</v>
      </c>
      <c r="M1103" s="249" t="s">
        <v>929</v>
      </c>
      <c r="N1103" s="248">
        <v>-61473.09</v>
      </c>
      <c r="O1103" s="248">
        <v>-425132.43</v>
      </c>
      <c r="P1103" s="247" t="s">
        <v>1254</v>
      </c>
      <c r="Q1103" s="247" t="s">
        <v>94</v>
      </c>
    </row>
    <row r="1104" spans="1:17" x14ac:dyDescent="0.25">
      <c r="A1104" s="247" t="s">
        <v>646</v>
      </c>
      <c r="B1104" s="247" t="s">
        <v>25</v>
      </c>
      <c r="C1104" s="247" t="s">
        <v>993</v>
      </c>
      <c r="D1104" s="247" t="s">
        <v>926</v>
      </c>
      <c r="E1104" s="247" t="s">
        <v>719</v>
      </c>
      <c r="F1104" s="247" t="s">
        <v>1944</v>
      </c>
      <c r="G1104" s="247" t="s">
        <v>1253</v>
      </c>
      <c r="H1104" s="247"/>
      <c r="I1104" s="247" t="s">
        <v>1945</v>
      </c>
      <c r="J1104" s="247">
        <v>1</v>
      </c>
      <c r="K1104" s="247">
        <v>1</v>
      </c>
      <c r="L1104" s="249" t="s">
        <v>642</v>
      </c>
      <c r="M1104" s="249" t="s">
        <v>929</v>
      </c>
      <c r="N1104" s="248">
        <v>-62506.76</v>
      </c>
      <c r="O1104" s="248">
        <v>-487639.19</v>
      </c>
      <c r="P1104" s="247" t="s">
        <v>1254</v>
      </c>
      <c r="Q1104" s="247" t="s">
        <v>95</v>
      </c>
    </row>
    <row r="1105" spans="1:17" x14ac:dyDescent="0.25">
      <c r="A1105" s="247" t="s">
        <v>646</v>
      </c>
      <c r="B1105" s="247" t="s">
        <v>25</v>
      </c>
      <c r="C1105" s="247" t="s">
        <v>993</v>
      </c>
      <c r="D1105" s="247" t="s">
        <v>926</v>
      </c>
      <c r="E1105" s="247" t="s">
        <v>723</v>
      </c>
      <c r="F1105" s="247" t="s">
        <v>1946</v>
      </c>
      <c r="G1105" s="247" t="s">
        <v>1255</v>
      </c>
      <c r="H1105" s="247"/>
      <c r="I1105" s="247" t="s">
        <v>1947</v>
      </c>
      <c r="J1105" s="247">
        <v>1</v>
      </c>
      <c r="K1105" s="247">
        <v>1</v>
      </c>
      <c r="L1105" s="249" t="s">
        <v>646</v>
      </c>
      <c r="M1105" s="249" t="s">
        <v>933</v>
      </c>
      <c r="N1105" s="248">
        <v>-25884.27</v>
      </c>
      <c r="O1105" s="248">
        <v>-53722.75</v>
      </c>
      <c r="P1105" s="247" t="s">
        <v>1256</v>
      </c>
      <c r="Q1105" s="247" t="s">
        <v>84</v>
      </c>
    </row>
    <row r="1106" spans="1:17" x14ac:dyDescent="0.25">
      <c r="A1106" s="247" t="s">
        <v>646</v>
      </c>
      <c r="B1106" s="247" t="s">
        <v>25</v>
      </c>
      <c r="C1106" s="247" t="s">
        <v>993</v>
      </c>
      <c r="D1106" s="247" t="s">
        <v>926</v>
      </c>
      <c r="E1106" s="247" t="s">
        <v>723</v>
      </c>
      <c r="F1106" s="247" t="s">
        <v>1946</v>
      </c>
      <c r="G1106" s="247" t="s">
        <v>1255</v>
      </c>
      <c r="H1106" s="247"/>
      <c r="I1106" s="247" t="s">
        <v>1947</v>
      </c>
      <c r="J1106" s="247">
        <v>1</v>
      </c>
      <c r="K1106" s="247">
        <v>1</v>
      </c>
      <c r="L1106" s="249" t="s">
        <v>650</v>
      </c>
      <c r="M1106" s="249" t="s">
        <v>933</v>
      </c>
      <c r="N1106" s="248">
        <v>-27362</v>
      </c>
      <c r="O1106" s="248">
        <v>-81084.75</v>
      </c>
      <c r="P1106" s="247" t="s">
        <v>1256</v>
      </c>
      <c r="Q1106" s="247" t="s">
        <v>85</v>
      </c>
    </row>
    <row r="1107" spans="1:17" x14ac:dyDescent="0.25">
      <c r="A1107" s="247" t="s">
        <v>646</v>
      </c>
      <c r="B1107" s="247" t="s">
        <v>25</v>
      </c>
      <c r="C1107" s="247" t="s">
        <v>993</v>
      </c>
      <c r="D1107" s="247" t="s">
        <v>926</v>
      </c>
      <c r="E1107" s="247" t="s">
        <v>723</v>
      </c>
      <c r="F1107" s="247" t="s">
        <v>1946</v>
      </c>
      <c r="G1107" s="247" t="s">
        <v>1255</v>
      </c>
      <c r="H1107" s="247"/>
      <c r="I1107" s="247" t="s">
        <v>1947</v>
      </c>
      <c r="J1107" s="247">
        <v>1</v>
      </c>
      <c r="K1107" s="247">
        <v>1</v>
      </c>
      <c r="L1107" s="249" t="s">
        <v>652</v>
      </c>
      <c r="M1107" s="249" t="s">
        <v>933</v>
      </c>
      <c r="N1107" s="248">
        <v>-24988.2</v>
      </c>
      <c r="O1107" s="248">
        <v>-106072.95</v>
      </c>
      <c r="P1107" s="247" t="s">
        <v>1256</v>
      </c>
      <c r="Q1107" s="247" t="s">
        <v>86</v>
      </c>
    </row>
    <row r="1108" spans="1:17" x14ac:dyDescent="0.25">
      <c r="A1108" s="247" t="s">
        <v>646</v>
      </c>
      <c r="B1108" s="247" t="s">
        <v>25</v>
      </c>
      <c r="C1108" s="247" t="s">
        <v>993</v>
      </c>
      <c r="D1108" s="247" t="s">
        <v>926</v>
      </c>
      <c r="E1108" s="247" t="s">
        <v>723</v>
      </c>
      <c r="F1108" s="247" t="s">
        <v>1946</v>
      </c>
      <c r="G1108" s="247" t="s">
        <v>1255</v>
      </c>
      <c r="H1108" s="247"/>
      <c r="I1108" s="247" t="s">
        <v>1947</v>
      </c>
      <c r="J1108" s="247">
        <v>1</v>
      </c>
      <c r="K1108" s="247">
        <v>1</v>
      </c>
      <c r="L1108" s="249" t="s">
        <v>789</v>
      </c>
      <c r="M1108" s="249" t="s">
        <v>929</v>
      </c>
      <c r="N1108" s="248">
        <v>-27294.799999999999</v>
      </c>
      <c r="O1108" s="248">
        <v>-27294.799999999999</v>
      </c>
      <c r="P1108" s="247" t="s">
        <v>1256</v>
      </c>
      <c r="Q1108" s="247" t="s">
        <v>87</v>
      </c>
    </row>
    <row r="1109" spans="1:17" x14ac:dyDescent="0.25">
      <c r="A1109" s="247" t="s">
        <v>646</v>
      </c>
      <c r="B1109" s="247" t="s">
        <v>25</v>
      </c>
      <c r="C1109" s="247" t="s">
        <v>993</v>
      </c>
      <c r="D1109" s="247" t="s">
        <v>926</v>
      </c>
      <c r="E1109" s="247" t="s">
        <v>723</v>
      </c>
      <c r="F1109" s="247" t="s">
        <v>1946</v>
      </c>
      <c r="G1109" s="247" t="s">
        <v>1255</v>
      </c>
      <c r="H1109" s="247"/>
      <c r="I1109" s="247" t="s">
        <v>1947</v>
      </c>
      <c r="J1109" s="247">
        <v>1</v>
      </c>
      <c r="K1109" s="247">
        <v>1</v>
      </c>
      <c r="L1109" s="249" t="s">
        <v>791</v>
      </c>
      <c r="M1109" s="249" t="s">
        <v>929</v>
      </c>
      <c r="N1109" s="248">
        <v>614.63</v>
      </c>
      <c r="O1109" s="248">
        <v>-26680.17</v>
      </c>
      <c r="P1109" s="247" t="s">
        <v>1256</v>
      </c>
      <c r="Q1109" s="247" t="s">
        <v>88</v>
      </c>
    </row>
    <row r="1110" spans="1:17" x14ac:dyDescent="0.25">
      <c r="A1110" s="247" t="s">
        <v>646</v>
      </c>
      <c r="B1110" s="247" t="s">
        <v>25</v>
      </c>
      <c r="C1110" s="247" t="s">
        <v>993</v>
      </c>
      <c r="D1110" s="247" t="s">
        <v>926</v>
      </c>
      <c r="E1110" s="247" t="s">
        <v>723</v>
      </c>
      <c r="F1110" s="247" t="s">
        <v>1946</v>
      </c>
      <c r="G1110" s="247" t="s">
        <v>1255</v>
      </c>
      <c r="H1110" s="247"/>
      <c r="I1110" s="247" t="s">
        <v>1947</v>
      </c>
      <c r="J1110" s="247">
        <v>1</v>
      </c>
      <c r="K1110" s="247">
        <v>1</v>
      </c>
      <c r="L1110" s="249" t="s">
        <v>935</v>
      </c>
      <c r="M1110" s="249" t="s">
        <v>929</v>
      </c>
      <c r="N1110" s="248">
        <v>-26132.14</v>
      </c>
      <c r="O1110" s="248">
        <v>-52812.31</v>
      </c>
      <c r="P1110" s="247" t="s">
        <v>1256</v>
      </c>
      <c r="Q1110" s="247" t="s">
        <v>89</v>
      </c>
    </row>
    <row r="1111" spans="1:17" x14ac:dyDescent="0.25">
      <c r="A1111" s="247" t="s">
        <v>646</v>
      </c>
      <c r="B1111" s="247" t="s">
        <v>25</v>
      </c>
      <c r="C1111" s="247" t="s">
        <v>993</v>
      </c>
      <c r="D1111" s="247" t="s">
        <v>926</v>
      </c>
      <c r="E1111" s="247" t="s">
        <v>723</v>
      </c>
      <c r="F1111" s="247" t="s">
        <v>1946</v>
      </c>
      <c r="G1111" s="247" t="s">
        <v>1255</v>
      </c>
      <c r="H1111" s="247"/>
      <c r="I1111" s="247" t="s">
        <v>1947</v>
      </c>
      <c r="J1111" s="247">
        <v>1</v>
      </c>
      <c r="K1111" s="247">
        <v>1</v>
      </c>
      <c r="L1111" s="249" t="s">
        <v>936</v>
      </c>
      <c r="M1111" s="249" t="s">
        <v>929</v>
      </c>
      <c r="N1111" s="248">
        <v>-27185.75</v>
      </c>
      <c r="O1111" s="248">
        <v>-79998.06</v>
      </c>
      <c r="P1111" s="247" t="s">
        <v>1256</v>
      </c>
      <c r="Q1111" s="247" t="s">
        <v>90</v>
      </c>
    </row>
    <row r="1112" spans="1:17" x14ac:dyDescent="0.25">
      <c r="A1112" s="247" t="s">
        <v>646</v>
      </c>
      <c r="B1112" s="247" t="s">
        <v>25</v>
      </c>
      <c r="C1112" s="247" t="s">
        <v>993</v>
      </c>
      <c r="D1112" s="247" t="s">
        <v>926</v>
      </c>
      <c r="E1112" s="247" t="s">
        <v>723</v>
      </c>
      <c r="F1112" s="247" t="s">
        <v>1946</v>
      </c>
      <c r="G1112" s="247" t="s">
        <v>1255</v>
      </c>
      <c r="H1112" s="247"/>
      <c r="I1112" s="247" t="s">
        <v>1947</v>
      </c>
      <c r="J1112" s="247">
        <v>1</v>
      </c>
      <c r="K1112" s="247">
        <v>1</v>
      </c>
      <c r="L1112" s="249" t="s">
        <v>937</v>
      </c>
      <c r="M1112" s="249" t="s">
        <v>929</v>
      </c>
      <c r="N1112" s="248">
        <v>-26383.200000000001</v>
      </c>
      <c r="O1112" s="248">
        <v>-106381.26</v>
      </c>
      <c r="P1112" s="247" t="s">
        <v>1256</v>
      </c>
      <c r="Q1112" s="247" t="s">
        <v>91</v>
      </c>
    </row>
    <row r="1113" spans="1:17" x14ac:dyDescent="0.25">
      <c r="A1113" s="247" t="s">
        <v>646</v>
      </c>
      <c r="B1113" s="247" t="s">
        <v>25</v>
      </c>
      <c r="C1113" s="247" t="s">
        <v>993</v>
      </c>
      <c r="D1113" s="247" t="s">
        <v>926</v>
      </c>
      <c r="E1113" s="247" t="s">
        <v>723</v>
      </c>
      <c r="F1113" s="247" t="s">
        <v>1946</v>
      </c>
      <c r="G1113" s="247" t="s">
        <v>1255</v>
      </c>
      <c r="H1113" s="247"/>
      <c r="I1113" s="247" t="s">
        <v>1947</v>
      </c>
      <c r="J1113" s="247">
        <v>1</v>
      </c>
      <c r="K1113" s="247">
        <v>1</v>
      </c>
      <c r="L1113" s="249" t="s">
        <v>938</v>
      </c>
      <c r="M1113" s="249" t="s">
        <v>929</v>
      </c>
      <c r="N1113" s="248">
        <v>-27700.58</v>
      </c>
      <c r="O1113" s="248">
        <v>-134081.84</v>
      </c>
      <c r="P1113" s="247" t="s">
        <v>1256</v>
      </c>
      <c r="Q1113" s="247" t="s">
        <v>92</v>
      </c>
    </row>
    <row r="1114" spans="1:17" x14ac:dyDescent="0.25">
      <c r="A1114" s="247" t="s">
        <v>646</v>
      </c>
      <c r="B1114" s="247" t="s">
        <v>25</v>
      </c>
      <c r="C1114" s="247" t="s">
        <v>993</v>
      </c>
      <c r="D1114" s="247" t="s">
        <v>926</v>
      </c>
      <c r="E1114" s="247" t="s">
        <v>723</v>
      </c>
      <c r="F1114" s="247" t="s">
        <v>1946</v>
      </c>
      <c r="G1114" s="247" t="s">
        <v>1255</v>
      </c>
      <c r="H1114" s="247"/>
      <c r="I1114" s="247" t="s">
        <v>1947</v>
      </c>
      <c r="J1114" s="247">
        <v>1</v>
      </c>
      <c r="K1114" s="247">
        <v>1</v>
      </c>
      <c r="L1114" s="249" t="s">
        <v>939</v>
      </c>
      <c r="M1114" s="249" t="s">
        <v>929</v>
      </c>
      <c r="N1114" s="248">
        <v>-26791.59</v>
      </c>
      <c r="O1114" s="248">
        <v>-160873.43</v>
      </c>
      <c r="P1114" s="247" t="s">
        <v>1256</v>
      </c>
      <c r="Q1114" s="247" t="s">
        <v>93</v>
      </c>
    </row>
    <row r="1115" spans="1:17" x14ac:dyDescent="0.25">
      <c r="A1115" s="247" t="s">
        <v>646</v>
      </c>
      <c r="B1115" s="247" t="s">
        <v>25</v>
      </c>
      <c r="C1115" s="247" t="s">
        <v>993</v>
      </c>
      <c r="D1115" s="247" t="s">
        <v>926</v>
      </c>
      <c r="E1115" s="247" t="s">
        <v>723</v>
      </c>
      <c r="F1115" s="247" t="s">
        <v>1946</v>
      </c>
      <c r="G1115" s="247" t="s">
        <v>1255</v>
      </c>
      <c r="H1115" s="247"/>
      <c r="I1115" s="247" t="s">
        <v>1947</v>
      </c>
      <c r="J1115" s="247">
        <v>1</v>
      </c>
      <c r="K1115" s="247">
        <v>1</v>
      </c>
      <c r="L1115" s="249" t="s">
        <v>940</v>
      </c>
      <c r="M1115" s="249" t="s">
        <v>929</v>
      </c>
      <c r="N1115" s="248">
        <v>-27138.34</v>
      </c>
      <c r="O1115" s="248">
        <v>-188011.77</v>
      </c>
      <c r="P1115" s="247" t="s">
        <v>1256</v>
      </c>
      <c r="Q1115" s="247" t="s">
        <v>94</v>
      </c>
    </row>
    <row r="1116" spans="1:17" x14ac:dyDescent="0.25">
      <c r="A1116" s="247" t="s">
        <v>646</v>
      </c>
      <c r="B1116" s="247" t="s">
        <v>25</v>
      </c>
      <c r="C1116" s="247" t="s">
        <v>993</v>
      </c>
      <c r="D1116" s="247" t="s">
        <v>926</v>
      </c>
      <c r="E1116" s="247" t="s">
        <v>723</v>
      </c>
      <c r="F1116" s="247" t="s">
        <v>1946</v>
      </c>
      <c r="G1116" s="247" t="s">
        <v>1255</v>
      </c>
      <c r="H1116" s="247"/>
      <c r="I1116" s="247" t="s">
        <v>1947</v>
      </c>
      <c r="J1116" s="247">
        <v>1</v>
      </c>
      <c r="K1116" s="247">
        <v>1</v>
      </c>
      <c r="L1116" s="249" t="s">
        <v>642</v>
      </c>
      <c r="M1116" s="249" t="s">
        <v>929</v>
      </c>
      <c r="N1116" s="248">
        <v>-26806.18</v>
      </c>
      <c r="O1116" s="248">
        <v>-214817.95</v>
      </c>
      <c r="P1116" s="247" t="s">
        <v>1256</v>
      </c>
      <c r="Q1116" s="247" t="s">
        <v>95</v>
      </c>
    </row>
    <row r="1117" spans="1:17" x14ac:dyDescent="0.25">
      <c r="A1117" s="247" t="s">
        <v>646</v>
      </c>
      <c r="B1117" s="247" t="s">
        <v>25</v>
      </c>
      <c r="C1117" s="247" t="s">
        <v>993</v>
      </c>
      <c r="D1117" s="247" t="s">
        <v>990</v>
      </c>
      <c r="E1117" s="247" t="s">
        <v>721</v>
      </c>
      <c r="F1117" s="247" t="s">
        <v>1948</v>
      </c>
      <c r="G1117" s="247" t="s">
        <v>1257</v>
      </c>
      <c r="H1117" s="247"/>
      <c r="I1117" s="247" t="s">
        <v>1949</v>
      </c>
      <c r="J1117" s="247">
        <v>1</v>
      </c>
      <c r="K1117" s="247">
        <v>1</v>
      </c>
      <c r="L1117" s="249" t="s">
        <v>646</v>
      </c>
      <c r="M1117" s="249" t="s">
        <v>933</v>
      </c>
      <c r="N1117" s="248">
        <v>-20717.689999999999</v>
      </c>
      <c r="O1117" s="248">
        <v>-42952.74</v>
      </c>
      <c r="P1117" s="247" t="s">
        <v>1258</v>
      </c>
      <c r="Q1117" s="247" t="s">
        <v>84</v>
      </c>
    </row>
    <row r="1118" spans="1:17" x14ac:dyDescent="0.25">
      <c r="A1118" s="247" t="s">
        <v>646</v>
      </c>
      <c r="B1118" s="247" t="s">
        <v>25</v>
      </c>
      <c r="C1118" s="247" t="s">
        <v>993</v>
      </c>
      <c r="D1118" s="247" t="s">
        <v>990</v>
      </c>
      <c r="E1118" s="247" t="s">
        <v>721</v>
      </c>
      <c r="F1118" s="247" t="s">
        <v>1948</v>
      </c>
      <c r="G1118" s="247" t="s">
        <v>1257</v>
      </c>
      <c r="H1118" s="247"/>
      <c r="I1118" s="247" t="s">
        <v>1949</v>
      </c>
      <c r="J1118" s="247">
        <v>1</v>
      </c>
      <c r="K1118" s="247">
        <v>1</v>
      </c>
      <c r="L1118" s="249" t="s">
        <v>650</v>
      </c>
      <c r="M1118" s="249" t="s">
        <v>933</v>
      </c>
      <c r="N1118" s="248">
        <v>-21796.83</v>
      </c>
      <c r="O1118" s="248">
        <v>-64749.57</v>
      </c>
      <c r="P1118" s="247" t="s">
        <v>1258</v>
      </c>
      <c r="Q1118" s="247" t="s">
        <v>85</v>
      </c>
    </row>
    <row r="1119" spans="1:17" x14ac:dyDescent="0.25">
      <c r="A1119" s="247" t="s">
        <v>646</v>
      </c>
      <c r="B1119" s="247" t="s">
        <v>25</v>
      </c>
      <c r="C1119" s="247" t="s">
        <v>993</v>
      </c>
      <c r="D1119" s="247" t="s">
        <v>990</v>
      </c>
      <c r="E1119" s="247" t="s">
        <v>721</v>
      </c>
      <c r="F1119" s="247" t="s">
        <v>1948</v>
      </c>
      <c r="G1119" s="247" t="s">
        <v>1257</v>
      </c>
      <c r="H1119" s="247"/>
      <c r="I1119" s="247" t="s">
        <v>1949</v>
      </c>
      <c r="J1119" s="247">
        <v>1</v>
      </c>
      <c r="K1119" s="247">
        <v>1</v>
      </c>
      <c r="L1119" s="249" t="s">
        <v>652</v>
      </c>
      <c r="M1119" s="249" t="s">
        <v>933</v>
      </c>
      <c r="N1119" s="248">
        <v>-20709.740000000002</v>
      </c>
      <c r="O1119" s="248">
        <v>-85459.31</v>
      </c>
      <c r="P1119" s="247" t="s">
        <v>1258</v>
      </c>
      <c r="Q1119" s="247" t="s">
        <v>86</v>
      </c>
    </row>
    <row r="1120" spans="1:17" x14ac:dyDescent="0.25">
      <c r="A1120" s="247" t="s">
        <v>646</v>
      </c>
      <c r="B1120" s="247" t="s">
        <v>25</v>
      </c>
      <c r="C1120" s="247" t="s">
        <v>993</v>
      </c>
      <c r="D1120" s="247" t="s">
        <v>990</v>
      </c>
      <c r="E1120" s="247" t="s">
        <v>721</v>
      </c>
      <c r="F1120" s="247" t="s">
        <v>1948</v>
      </c>
      <c r="G1120" s="247" t="s">
        <v>1257</v>
      </c>
      <c r="H1120" s="247"/>
      <c r="I1120" s="247" t="s">
        <v>1949</v>
      </c>
      <c r="J1120" s="247">
        <v>1</v>
      </c>
      <c r="K1120" s="247">
        <v>1</v>
      </c>
      <c r="L1120" s="249" t="s">
        <v>789</v>
      </c>
      <c r="M1120" s="249" t="s">
        <v>929</v>
      </c>
      <c r="N1120" s="248">
        <v>-21907.85</v>
      </c>
      <c r="O1120" s="248">
        <v>-21907.85</v>
      </c>
      <c r="P1120" s="247" t="s">
        <v>1258</v>
      </c>
      <c r="Q1120" s="247" t="s">
        <v>87</v>
      </c>
    </row>
    <row r="1121" spans="1:17" x14ac:dyDescent="0.25">
      <c r="A1121" s="247" t="s">
        <v>646</v>
      </c>
      <c r="B1121" s="247" t="s">
        <v>25</v>
      </c>
      <c r="C1121" s="247" t="s">
        <v>993</v>
      </c>
      <c r="D1121" s="247" t="s">
        <v>990</v>
      </c>
      <c r="E1121" s="247" t="s">
        <v>721</v>
      </c>
      <c r="F1121" s="247" t="s">
        <v>1948</v>
      </c>
      <c r="G1121" s="247" t="s">
        <v>1257</v>
      </c>
      <c r="H1121" s="247"/>
      <c r="I1121" s="247" t="s">
        <v>1949</v>
      </c>
      <c r="J1121" s="247">
        <v>1</v>
      </c>
      <c r="K1121" s="247">
        <v>1</v>
      </c>
      <c r="L1121" s="249" t="s">
        <v>791</v>
      </c>
      <c r="M1121" s="249" t="s">
        <v>929</v>
      </c>
      <c r="N1121" s="248">
        <v>453.09</v>
      </c>
      <c r="O1121" s="248">
        <v>-21454.76</v>
      </c>
      <c r="P1121" s="247" t="s">
        <v>1258</v>
      </c>
      <c r="Q1121" s="247" t="s">
        <v>88</v>
      </c>
    </row>
    <row r="1122" spans="1:17" x14ac:dyDescent="0.25">
      <c r="A1122" s="247" t="s">
        <v>646</v>
      </c>
      <c r="B1122" s="247" t="s">
        <v>25</v>
      </c>
      <c r="C1122" s="247" t="s">
        <v>993</v>
      </c>
      <c r="D1122" s="247" t="s">
        <v>990</v>
      </c>
      <c r="E1122" s="247" t="s">
        <v>721</v>
      </c>
      <c r="F1122" s="247" t="s">
        <v>1948</v>
      </c>
      <c r="G1122" s="247" t="s">
        <v>1257</v>
      </c>
      <c r="H1122" s="247"/>
      <c r="I1122" s="247" t="s">
        <v>1949</v>
      </c>
      <c r="J1122" s="247">
        <v>1</v>
      </c>
      <c r="K1122" s="247">
        <v>1</v>
      </c>
      <c r="L1122" s="249" t="s">
        <v>935</v>
      </c>
      <c r="M1122" s="249" t="s">
        <v>929</v>
      </c>
      <c r="N1122" s="248">
        <v>-20876.57</v>
      </c>
      <c r="O1122" s="248">
        <v>-42331.33</v>
      </c>
      <c r="P1122" s="247" t="s">
        <v>1258</v>
      </c>
      <c r="Q1122" s="247" t="s">
        <v>89</v>
      </c>
    </row>
    <row r="1123" spans="1:17" x14ac:dyDescent="0.25">
      <c r="A1123" s="247" t="s">
        <v>646</v>
      </c>
      <c r="B1123" s="247" t="s">
        <v>25</v>
      </c>
      <c r="C1123" s="247" t="s">
        <v>993</v>
      </c>
      <c r="D1123" s="247" t="s">
        <v>990</v>
      </c>
      <c r="E1123" s="247" t="s">
        <v>721</v>
      </c>
      <c r="F1123" s="247" t="s">
        <v>1948</v>
      </c>
      <c r="G1123" s="247" t="s">
        <v>1257</v>
      </c>
      <c r="H1123" s="247"/>
      <c r="I1123" s="247" t="s">
        <v>1949</v>
      </c>
      <c r="J1123" s="247">
        <v>1</v>
      </c>
      <c r="K1123" s="247">
        <v>1</v>
      </c>
      <c r="L1123" s="249" t="s">
        <v>936</v>
      </c>
      <c r="M1123" s="249" t="s">
        <v>929</v>
      </c>
      <c r="N1123" s="248">
        <v>-22406.86</v>
      </c>
      <c r="O1123" s="248">
        <v>-64738.19</v>
      </c>
      <c r="P1123" s="247" t="s">
        <v>1258</v>
      </c>
      <c r="Q1123" s="247" t="s">
        <v>90</v>
      </c>
    </row>
    <row r="1124" spans="1:17" x14ac:dyDescent="0.25">
      <c r="A1124" s="247" t="s">
        <v>646</v>
      </c>
      <c r="B1124" s="247" t="s">
        <v>25</v>
      </c>
      <c r="C1124" s="247" t="s">
        <v>993</v>
      </c>
      <c r="D1124" s="247" t="s">
        <v>990</v>
      </c>
      <c r="E1124" s="247" t="s">
        <v>721</v>
      </c>
      <c r="F1124" s="247" t="s">
        <v>1948</v>
      </c>
      <c r="G1124" s="247" t="s">
        <v>1257</v>
      </c>
      <c r="H1124" s="247"/>
      <c r="I1124" s="247" t="s">
        <v>1949</v>
      </c>
      <c r="J1124" s="247">
        <v>1</v>
      </c>
      <c r="K1124" s="247">
        <v>1</v>
      </c>
      <c r="L1124" s="249" t="s">
        <v>937</v>
      </c>
      <c r="M1124" s="249" t="s">
        <v>929</v>
      </c>
      <c r="N1124" s="248">
        <v>-21212.31</v>
      </c>
      <c r="O1124" s="248">
        <v>-85950.5</v>
      </c>
      <c r="P1124" s="247" t="s">
        <v>1258</v>
      </c>
      <c r="Q1124" s="247" t="s">
        <v>91</v>
      </c>
    </row>
    <row r="1125" spans="1:17" x14ac:dyDescent="0.25">
      <c r="A1125" s="247" t="s">
        <v>646</v>
      </c>
      <c r="B1125" s="247" t="s">
        <v>25</v>
      </c>
      <c r="C1125" s="247" t="s">
        <v>993</v>
      </c>
      <c r="D1125" s="247" t="s">
        <v>990</v>
      </c>
      <c r="E1125" s="247" t="s">
        <v>721</v>
      </c>
      <c r="F1125" s="247" t="s">
        <v>1948</v>
      </c>
      <c r="G1125" s="247" t="s">
        <v>1257</v>
      </c>
      <c r="H1125" s="247"/>
      <c r="I1125" s="247" t="s">
        <v>1949</v>
      </c>
      <c r="J1125" s="247">
        <v>1</v>
      </c>
      <c r="K1125" s="247">
        <v>1</v>
      </c>
      <c r="L1125" s="249" t="s">
        <v>938</v>
      </c>
      <c r="M1125" s="249" t="s">
        <v>929</v>
      </c>
      <c r="N1125" s="248">
        <v>-21518.05</v>
      </c>
      <c r="O1125" s="248">
        <v>-107468.55</v>
      </c>
      <c r="P1125" s="247" t="s">
        <v>1258</v>
      </c>
      <c r="Q1125" s="247" t="s">
        <v>92</v>
      </c>
    </row>
    <row r="1126" spans="1:17" x14ac:dyDescent="0.25">
      <c r="A1126" s="247" t="s">
        <v>646</v>
      </c>
      <c r="B1126" s="247" t="s">
        <v>25</v>
      </c>
      <c r="C1126" s="247" t="s">
        <v>993</v>
      </c>
      <c r="D1126" s="247" t="s">
        <v>990</v>
      </c>
      <c r="E1126" s="247" t="s">
        <v>721</v>
      </c>
      <c r="F1126" s="247" t="s">
        <v>1948</v>
      </c>
      <c r="G1126" s="247" t="s">
        <v>1257</v>
      </c>
      <c r="H1126" s="247"/>
      <c r="I1126" s="247" t="s">
        <v>1949</v>
      </c>
      <c r="J1126" s="247">
        <v>1</v>
      </c>
      <c r="K1126" s="247">
        <v>1</v>
      </c>
      <c r="L1126" s="249" t="s">
        <v>939</v>
      </c>
      <c r="M1126" s="249" t="s">
        <v>929</v>
      </c>
      <c r="N1126" s="248">
        <v>-21545.81</v>
      </c>
      <c r="O1126" s="248">
        <v>-129014.36</v>
      </c>
      <c r="P1126" s="247" t="s">
        <v>1258</v>
      </c>
      <c r="Q1126" s="247" t="s">
        <v>93</v>
      </c>
    </row>
    <row r="1127" spans="1:17" x14ac:dyDescent="0.25">
      <c r="A1127" s="247" t="s">
        <v>646</v>
      </c>
      <c r="B1127" s="247" t="s">
        <v>25</v>
      </c>
      <c r="C1127" s="247" t="s">
        <v>993</v>
      </c>
      <c r="D1127" s="247" t="s">
        <v>990</v>
      </c>
      <c r="E1127" s="247" t="s">
        <v>721</v>
      </c>
      <c r="F1127" s="247" t="s">
        <v>1948</v>
      </c>
      <c r="G1127" s="247" t="s">
        <v>1257</v>
      </c>
      <c r="H1127" s="247"/>
      <c r="I1127" s="247" t="s">
        <v>1949</v>
      </c>
      <c r="J1127" s="247">
        <v>1</v>
      </c>
      <c r="K1127" s="247">
        <v>1</v>
      </c>
      <c r="L1127" s="249" t="s">
        <v>940</v>
      </c>
      <c r="M1127" s="249" t="s">
        <v>929</v>
      </c>
      <c r="N1127" s="248">
        <v>-21817.34</v>
      </c>
      <c r="O1127" s="248">
        <v>-150831.70000000001</v>
      </c>
      <c r="P1127" s="247" t="s">
        <v>1258</v>
      </c>
      <c r="Q1127" s="247" t="s">
        <v>94</v>
      </c>
    </row>
    <row r="1128" spans="1:17" x14ac:dyDescent="0.25">
      <c r="A1128" s="247" t="s">
        <v>646</v>
      </c>
      <c r="B1128" s="247" t="s">
        <v>25</v>
      </c>
      <c r="C1128" s="247" t="s">
        <v>993</v>
      </c>
      <c r="D1128" s="247" t="s">
        <v>990</v>
      </c>
      <c r="E1128" s="247" t="s">
        <v>721</v>
      </c>
      <c r="F1128" s="247" t="s">
        <v>1948</v>
      </c>
      <c r="G1128" s="247" t="s">
        <v>1257</v>
      </c>
      <c r="H1128" s="247"/>
      <c r="I1128" s="247" t="s">
        <v>1949</v>
      </c>
      <c r="J1128" s="247">
        <v>1</v>
      </c>
      <c r="K1128" s="247">
        <v>1</v>
      </c>
      <c r="L1128" s="249" t="s">
        <v>642</v>
      </c>
      <c r="M1128" s="249" t="s">
        <v>929</v>
      </c>
      <c r="N1128" s="248">
        <v>-21487.68</v>
      </c>
      <c r="O1128" s="248">
        <v>-172319.38</v>
      </c>
      <c r="P1128" s="247" t="s">
        <v>1258</v>
      </c>
      <c r="Q1128" s="247" t="s">
        <v>95</v>
      </c>
    </row>
    <row r="1129" spans="1:17" x14ac:dyDescent="0.25">
      <c r="A1129" s="247" t="s">
        <v>646</v>
      </c>
      <c r="B1129" s="247" t="s">
        <v>25</v>
      </c>
      <c r="C1129" s="247" t="s">
        <v>987</v>
      </c>
      <c r="D1129" s="247" t="s">
        <v>926</v>
      </c>
      <c r="E1129" s="247" t="s">
        <v>946</v>
      </c>
      <c r="F1129" s="247" t="s">
        <v>1950</v>
      </c>
      <c r="G1129" s="247" t="s">
        <v>1259</v>
      </c>
      <c r="H1129" s="247"/>
      <c r="I1129" s="247" t="s">
        <v>1951</v>
      </c>
      <c r="J1129" s="247">
        <v>6</v>
      </c>
      <c r="K1129" s="247">
        <v>3</v>
      </c>
      <c r="L1129" s="249" t="s">
        <v>646</v>
      </c>
      <c r="M1129" s="249" t="s">
        <v>933</v>
      </c>
      <c r="N1129" s="248">
        <v>0</v>
      </c>
      <c r="O1129" s="248">
        <v>-616609.31999999995</v>
      </c>
      <c r="P1129" s="247" t="s">
        <v>1260</v>
      </c>
      <c r="Q1129" s="247" t="s">
        <v>84</v>
      </c>
    </row>
    <row r="1130" spans="1:17" x14ac:dyDescent="0.25">
      <c r="A1130" s="247" t="s">
        <v>646</v>
      </c>
      <c r="B1130" s="247" t="s">
        <v>25</v>
      </c>
      <c r="C1130" s="247" t="s">
        <v>987</v>
      </c>
      <c r="D1130" s="247" t="s">
        <v>926</v>
      </c>
      <c r="E1130" s="247" t="s">
        <v>946</v>
      </c>
      <c r="F1130" s="247" t="s">
        <v>1950</v>
      </c>
      <c r="G1130" s="247" t="s">
        <v>1259</v>
      </c>
      <c r="H1130" s="247"/>
      <c r="I1130" s="247" t="s">
        <v>1951</v>
      </c>
      <c r="J1130" s="247">
        <v>6</v>
      </c>
      <c r="K1130" s="247">
        <v>3</v>
      </c>
      <c r="L1130" s="249" t="s">
        <v>650</v>
      </c>
      <c r="M1130" s="249" t="s">
        <v>933</v>
      </c>
      <c r="N1130" s="248">
        <v>0</v>
      </c>
      <c r="O1130" s="248">
        <v>-616609.31999999995</v>
      </c>
      <c r="P1130" s="247" t="s">
        <v>1260</v>
      </c>
      <c r="Q1130" s="247" t="s">
        <v>85</v>
      </c>
    </row>
    <row r="1131" spans="1:17" x14ac:dyDescent="0.25">
      <c r="A1131" s="247" t="s">
        <v>646</v>
      </c>
      <c r="B1131" s="247" t="s">
        <v>25</v>
      </c>
      <c r="C1131" s="247" t="s">
        <v>987</v>
      </c>
      <c r="D1131" s="247" t="s">
        <v>926</v>
      </c>
      <c r="E1131" s="247" t="s">
        <v>946</v>
      </c>
      <c r="F1131" s="247" t="s">
        <v>1950</v>
      </c>
      <c r="G1131" s="247" t="s">
        <v>1259</v>
      </c>
      <c r="H1131" s="247"/>
      <c r="I1131" s="247" t="s">
        <v>1951</v>
      </c>
      <c r="J1131" s="247">
        <v>6</v>
      </c>
      <c r="K1131" s="247">
        <v>3</v>
      </c>
      <c r="L1131" s="249" t="s">
        <v>652</v>
      </c>
      <c r="M1131" s="249" t="s">
        <v>933</v>
      </c>
      <c r="N1131" s="248">
        <v>0</v>
      </c>
      <c r="O1131" s="248">
        <v>-616609.31999999995</v>
      </c>
      <c r="P1131" s="247" t="s">
        <v>1260</v>
      </c>
      <c r="Q1131" s="247" t="s">
        <v>86</v>
      </c>
    </row>
    <row r="1132" spans="1:17" x14ac:dyDescent="0.25">
      <c r="A1132" s="247" t="s">
        <v>646</v>
      </c>
      <c r="B1132" s="247" t="s">
        <v>25</v>
      </c>
      <c r="C1132" s="247" t="s">
        <v>987</v>
      </c>
      <c r="D1132" s="247" t="s">
        <v>926</v>
      </c>
      <c r="E1132" s="247" t="s">
        <v>1261</v>
      </c>
      <c r="F1132" s="247" t="s">
        <v>1952</v>
      </c>
      <c r="G1132" s="247" t="s">
        <v>1262</v>
      </c>
      <c r="H1132" s="247"/>
      <c r="I1132" s="247" t="s">
        <v>1953</v>
      </c>
      <c r="J1132" s="247">
        <v>6</v>
      </c>
      <c r="K1132" s="247">
        <v>3</v>
      </c>
      <c r="L1132" s="249" t="s">
        <v>646</v>
      </c>
      <c r="M1132" s="249" t="s">
        <v>933</v>
      </c>
      <c r="N1132" s="248">
        <v>-1756.63</v>
      </c>
      <c r="O1132" s="248">
        <v>-2445.79</v>
      </c>
      <c r="P1132" s="247" t="s">
        <v>1263</v>
      </c>
      <c r="Q1132" s="247" t="s">
        <v>84</v>
      </c>
    </row>
    <row r="1133" spans="1:17" x14ac:dyDescent="0.25">
      <c r="A1133" s="247" t="s">
        <v>646</v>
      </c>
      <c r="B1133" s="247" t="s">
        <v>25</v>
      </c>
      <c r="C1133" s="247" t="s">
        <v>987</v>
      </c>
      <c r="D1133" s="247" t="s">
        <v>926</v>
      </c>
      <c r="E1133" s="247" t="s">
        <v>1261</v>
      </c>
      <c r="F1133" s="247" t="s">
        <v>1952</v>
      </c>
      <c r="G1133" s="247" t="s">
        <v>1262</v>
      </c>
      <c r="H1133" s="247"/>
      <c r="I1133" s="247" t="s">
        <v>1953</v>
      </c>
      <c r="J1133" s="247">
        <v>6</v>
      </c>
      <c r="K1133" s="247">
        <v>3</v>
      </c>
      <c r="L1133" s="249" t="s">
        <v>650</v>
      </c>
      <c r="M1133" s="249" t="s">
        <v>933</v>
      </c>
      <c r="N1133" s="248">
        <v>-742.09</v>
      </c>
      <c r="O1133" s="248">
        <v>-3187.88</v>
      </c>
      <c r="P1133" s="247" t="s">
        <v>1263</v>
      </c>
      <c r="Q1133" s="247" t="s">
        <v>85</v>
      </c>
    </row>
    <row r="1134" spans="1:17" x14ac:dyDescent="0.25">
      <c r="A1134" s="247" t="s">
        <v>646</v>
      </c>
      <c r="B1134" s="247" t="s">
        <v>25</v>
      </c>
      <c r="C1134" s="247" t="s">
        <v>987</v>
      </c>
      <c r="D1134" s="247" t="s">
        <v>926</v>
      </c>
      <c r="E1134" s="247" t="s">
        <v>1261</v>
      </c>
      <c r="F1134" s="247" t="s">
        <v>1952</v>
      </c>
      <c r="G1134" s="247" t="s">
        <v>1262</v>
      </c>
      <c r="H1134" s="247"/>
      <c r="I1134" s="247" t="s">
        <v>1953</v>
      </c>
      <c r="J1134" s="247">
        <v>6</v>
      </c>
      <c r="K1134" s="247">
        <v>3</v>
      </c>
      <c r="L1134" s="249" t="s">
        <v>652</v>
      </c>
      <c r="M1134" s="249" t="s">
        <v>933</v>
      </c>
      <c r="N1134" s="248">
        <v>-65491.77</v>
      </c>
      <c r="O1134" s="248">
        <v>-68679.649999999994</v>
      </c>
      <c r="P1134" s="247" t="s">
        <v>1263</v>
      </c>
      <c r="Q1134" s="247" t="s">
        <v>86</v>
      </c>
    </row>
    <row r="1135" spans="1:17" x14ac:dyDescent="0.25">
      <c r="A1135" s="247" t="s">
        <v>646</v>
      </c>
      <c r="B1135" s="247" t="s">
        <v>25</v>
      </c>
      <c r="C1135" s="247" t="s">
        <v>987</v>
      </c>
      <c r="D1135" s="247" t="s">
        <v>926</v>
      </c>
      <c r="E1135" s="247" t="s">
        <v>1261</v>
      </c>
      <c r="F1135" s="247" t="s">
        <v>1952</v>
      </c>
      <c r="G1135" s="247" t="s">
        <v>1262</v>
      </c>
      <c r="H1135" s="247"/>
      <c r="I1135" s="247" t="s">
        <v>1953</v>
      </c>
      <c r="J1135" s="247">
        <v>6</v>
      </c>
      <c r="K1135" s="247">
        <v>3</v>
      </c>
      <c r="L1135" s="249" t="s">
        <v>789</v>
      </c>
      <c r="M1135" s="249" t="s">
        <v>929</v>
      </c>
      <c r="N1135" s="248">
        <v>-70120.639999999999</v>
      </c>
      <c r="O1135" s="248">
        <v>-70120.639999999999</v>
      </c>
      <c r="P1135" s="247" t="s">
        <v>1263</v>
      </c>
      <c r="Q1135" s="247" t="s">
        <v>87</v>
      </c>
    </row>
    <row r="1136" spans="1:17" x14ac:dyDescent="0.25">
      <c r="A1136" s="247" t="s">
        <v>646</v>
      </c>
      <c r="B1136" s="247" t="s">
        <v>25</v>
      </c>
      <c r="C1136" s="247" t="s">
        <v>987</v>
      </c>
      <c r="D1136" s="247" t="s">
        <v>926</v>
      </c>
      <c r="E1136" s="247" t="s">
        <v>1261</v>
      </c>
      <c r="F1136" s="247" t="s">
        <v>1952</v>
      </c>
      <c r="G1136" s="247" t="s">
        <v>1262</v>
      </c>
      <c r="H1136" s="247"/>
      <c r="I1136" s="247" t="s">
        <v>1953</v>
      </c>
      <c r="J1136" s="247">
        <v>6</v>
      </c>
      <c r="K1136" s="247">
        <v>3</v>
      </c>
      <c r="L1136" s="249" t="s">
        <v>791</v>
      </c>
      <c r="M1136" s="249" t="s">
        <v>929</v>
      </c>
      <c r="N1136" s="248">
        <v>-76359.960000000006</v>
      </c>
      <c r="O1136" s="248">
        <v>-146480.6</v>
      </c>
      <c r="P1136" s="247" t="s">
        <v>1263</v>
      </c>
      <c r="Q1136" s="247" t="s">
        <v>88</v>
      </c>
    </row>
    <row r="1137" spans="1:17" x14ac:dyDescent="0.25">
      <c r="A1137" s="247" t="s">
        <v>646</v>
      </c>
      <c r="B1137" s="247" t="s">
        <v>25</v>
      </c>
      <c r="C1137" s="247" t="s">
        <v>987</v>
      </c>
      <c r="D1137" s="247" t="s">
        <v>926</v>
      </c>
      <c r="E1137" s="247" t="s">
        <v>1261</v>
      </c>
      <c r="F1137" s="247" t="s">
        <v>1952</v>
      </c>
      <c r="G1137" s="247" t="s">
        <v>1262</v>
      </c>
      <c r="H1137" s="247"/>
      <c r="I1137" s="247" t="s">
        <v>1953</v>
      </c>
      <c r="J1137" s="247">
        <v>6</v>
      </c>
      <c r="K1137" s="247">
        <v>3</v>
      </c>
      <c r="L1137" s="249" t="s">
        <v>935</v>
      </c>
      <c r="M1137" s="249" t="s">
        <v>929</v>
      </c>
      <c r="N1137" s="248">
        <v>-83402.960000000006</v>
      </c>
      <c r="O1137" s="248">
        <v>-229883.56</v>
      </c>
      <c r="P1137" s="247" t="s">
        <v>1263</v>
      </c>
      <c r="Q1137" s="247" t="s">
        <v>89</v>
      </c>
    </row>
    <row r="1138" spans="1:17" x14ac:dyDescent="0.25">
      <c r="A1138" s="247" t="s">
        <v>646</v>
      </c>
      <c r="B1138" s="247" t="s">
        <v>25</v>
      </c>
      <c r="C1138" s="247" t="s">
        <v>987</v>
      </c>
      <c r="D1138" s="247" t="s">
        <v>926</v>
      </c>
      <c r="E1138" s="247" t="s">
        <v>1261</v>
      </c>
      <c r="F1138" s="247" t="s">
        <v>1952</v>
      </c>
      <c r="G1138" s="247" t="s">
        <v>1262</v>
      </c>
      <c r="H1138" s="247"/>
      <c r="I1138" s="247" t="s">
        <v>1953</v>
      </c>
      <c r="J1138" s="247">
        <v>6</v>
      </c>
      <c r="K1138" s="247">
        <v>3</v>
      </c>
      <c r="L1138" s="249" t="s">
        <v>936</v>
      </c>
      <c r="M1138" s="249" t="s">
        <v>929</v>
      </c>
      <c r="N1138" s="248">
        <v>-77603.91</v>
      </c>
      <c r="O1138" s="248">
        <v>-307487.46999999997</v>
      </c>
      <c r="P1138" s="247" t="s">
        <v>1263</v>
      </c>
      <c r="Q1138" s="247" t="s">
        <v>90</v>
      </c>
    </row>
    <row r="1139" spans="1:17" x14ac:dyDescent="0.25">
      <c r="A1139" s="247" t="s">
        <v>646</v>
      </c>
      <c r="B1139" s="247" t="s">
        <v>25</v>
      </c>
      <c r="C1139" s="247" t="s">
        <v>987</v>
      </c>
      <c r="D1139" s="247" t="s">
        <v>926</v>
      </c>
      <c r="E1139" s="247" t="s">
        <v>1261</v>
      </c>
      <c r="F1139" s="247" t="s">
        <v>1952</v>
      </c>
      <c r="G1139" s="247" t="s">
        <v>1262</v>
      </c>
      <c r="H1139" s="247"/>
      <c r="I1139" s="247" t="s">
        <v>1953</v>
      </c>
      <c r="J1139" s="247">
        <v>6</v>
      </c>
      <c r="K1139" s="247">
        <v>3</v>
      </c>
      <c r="L1139" s="249" t="s">
        <v>937</v>
      </c>
      <c r="M1139" s="249" t="s">
        <v>929</v>
      </c>
      <c r="N1139" s="248">
        <v>-77497.22</v>
      </c>
      <c r="O1139" s="248">
        <v>-384984.69</v>
      </c>
      <c r="P1139" s="247" t="s">
        <v>1263</v>
      </c>
      <c r="Q1139" s="247" t="s">
        <v>91</v>
      </c>
    </row>
    <row r="1140" spans="1:17" x14ac:dyDescent="0.25">
      <c r="A1140" s="247" t="s">
        <v>646</v>
      </c>
      <c r="B1140" s="247" t="s">
        <v>25</v>
      </c>
      <c r="C1140" s="247" t="s">
        <v>987</v>
      </c>
      <c r="D1140" s="247" t="s">
        <v>926</v>
      </c>
      <c r="E1140" s="247" t="s">
        <v>1261</v>
      </c>
      <c r="F1140" s="247" t="s">
        <v>1952</v>
      </c>
      <c r="G1140" s="247" t="s">
        <v>1262</v>
      </c>
      <c r="H1140" s="247"/>
      <c r="I1140" s="247" t="s">
        <v>1953</v>
      </c>
      <c r="J1140" s="247">
        <v>6</v>
      </c>
      <c r="K1140" s="247">
        <v>3</v>
      </c>
      <c r="L1140" s="249" t="s">
        <v>938</v>
      </c>
      <c r="M1140" s="249" t="s">
        <v>929</v>
      </c>
      <c r="N1140" s="248">
        <v>-66826.61</v>
      </c>
      <c r="O1140" s="248">
        <v>-451811.3</v>
      </c>
      <c r="P1140" s="247" t="s">
        <v>1263</v>
      </c>
      <c r="Q1140" s="247" t="s">
        <v>92</v>
      </c>
    </row>
    <row r="1141" spans="1:17" x14ac:dyDescent="0.25">
      <c r="A1141" s="247" t="s">
        <v>646</v>
      </c>
      <c r="B1141" s="247" t="s">
        <v>25</v>
      </c>
      <c r="C1141" s="247" t="s">
        <v>987</v>
      </c>
      <c r="D1141" s="247" t="s">
        <v>926</v>
      </c>
      <c r="E1141" s="247" t="s">
        <v>1261</v>
      </c>
      <c r="F1141" s="247" t="s">
        <v>1952</v>
      </c>
      <c r="G1141" s="247" t="s">
        <v>1262</v>
      </c>
      <c r="H1141" s="247"/>
      <c r="I1141" s="247" t="s">
        <v>1953</v>
      </c>
      <c r="J1141" s="247">
        <v>6</v>
      </c>
      <c r="K1141" s="247">
        <v>3</v>
      </c>
      <c r="L1141" s="249" t="s">
        <v>939</v>
      </c>
      <c r="M1141" s="249" t="s">
        <v>929</v>
      </c>
      <c r="N1141" s="248">
        <v>-59871.05</v>
      </c>
      <c r="O1141" s="248">
        <v>-511682.35</v>
      </c>
      <c r="P1141" s="247" t="s">
        <v>1263</v>
      </c>
      <c r="Q1141" s="247" t="s">
        <v>93</v>
      </c>
    </row>
    <row r="1142" spans="1:17" x14ac:dyDescent="0.25">
      <c r="A1142" s="247" t="s">
        <v>646</v>
      </c>
      <c r="B1142" s="247" t="s">
        <v>25</v>
      </c>
      <c r="C1142" s="247" t="s">
        <v>987</v>
      </c>
      <c r="D1142" s="247" t="s">
        <v>926</v>
      </c>
      <c r="E1142" s="247" t="s">
        <v>1261</v>
      </c>
      <c r="F1142" s="247" t="s">
        <v>1952</v>
      </c>
      <c r="G1142" s="247" t="s">
        <v>1262</v>
      </c>
      <c r="H1142" s="247"/>
      <c r="I1142" s="247" t="s">
        <v>1953</v>
      </c>
      <c r="J1142" s="247">
        <v>6</v>
      </c>
      <c r="K1142" s="247">
        <v>3</v>
      </c>
      <c r="L1142" s="249" t="s">
        <v>940</v>
      </c>
      <c r="M1142" s="249" t="s">
        <v>929</v>
      </c>
      <c r="N1142" s="248">
        <v>-100812.3</v>
      </c>
      <c r="O1142" s="248">
        <v>-612494.65</v>
      </c>
      <c r="P1142" s="247" t="s">
        <v>1263</v>
      </c>
      <c r="Q1142" s="247" t="s">
        <v>94</v>
      </c>
    </row>
    <row r="1143" spans="1:17" x14ac:dyDescent="0.25">
      <c r="A1143" s="247" t="s">
        <v>646</v>
      </c>
      <c r="B1143" s="247" t="s">
        <v>25</v>
      </c>
      <c r="C1143" s="247" t="s">
        <v>987</v>
      </c>
      <c r="D1143" s="247" t="s">
        <v>926</v>
      </c>
      <c r="E1143" s="247" t="s">
        <v>1261</v>
      </c>
      <c r="F1143" s="247" t="s">
        <v>1952</v>
      </c>
      <c r="G1143" s="247" t="s">
        <v>1262</v>
      </c>
      <c r="H1143" s="247"/>
      <c r="I1143" s="247" t="s">
        <v>1953</v>
      </c>
      <c r="J1143" s="247">
        <v>6</v>
      </c>
      <c r="K1143" s="247">
        <v>3</v>
      </c>
      <c r="L1143" s="249" t="s">
        <v>642</v>
      </c>
      <c r="M1143" s="249" t="s">
        <v>929</v>
      </c>
      <c r="N1143" s="248">
        <v>-78795.820000000007</v>
      </c>
      <c r="O1143" s="248">
        <v>-691290.47</v>
      </c>
      <c r="P1143" s="247" t="s">
        <v>1263</v>
      </c>
      <c r="Q1143" s="247" t="s">
        <v>95</v>
      </c>
    </row>
    <row r="1144" spans="1:17" x14ac:dyDescent="0.25">
      <c r="A1144" s="247" t="s">
        <v>646</v>
      </c>
      <c r="B1144" s="247" t="s">
        <v>25</v>
      </c>
      <c r="C1144" s="247" t="s">
        <v>987</v>
      </c>
      <c r="D1144" s="247" t="s">
        <v>926</v>
      </c>
      <c r="E1144" s="247" t="s">
        <v>1049</v>
      </c>
      <c r="F1144" s="247" t="s">
        <v>1954</v>
      </c>
      <c r="G1144" s="247" t="s">
        <v>1264</v>
      </c>
      <c r="H1144" s="247"/>
      <c r="I1144" s="247" t="s">
        <v>1955</v>
      </c>
      <c r="J1144" s="247">
        <v>6</v>
      </c>
      <c r="K1144" s="247">
        <v>3.1</v>
      </c>
      <c r="L1144" s="249" t="s">
        <v>646</v>
      </c>
      <c r="M1144" s="249" t="s">
        <v>933</v>
      </c>
      <c r="N1144" s="248">
        <v>0</v>
      </c>
      <c r="O1144" s="248">
        <v>-508822.35</v>
      </c>
      <c r="P1144" s="247" t="s">
        <v>1265</v>
      </c>
      <c r="Q1144" s="247" t="s">
        <v>84</v>
      </c>
    </row>
    <row r="1145" spans="1:17" x14ac:dyDescent="0.25">
      <c r="A1145" s="247" t="s">
        <v>646</v>
      </c>
      <c r="B1145" s="247" t="s">
        <v>25</v>
      </c>
      <c r="C1145" s="247" t="s">
        <v>987</v>
      </c>
      <c r="D1145" s="247" t="s">
        <v>926</v>
      </c>
      <c r="E1145" s="247" t="s">
        <v>1049</v>
      </c>
      <c r="F1145" s="247" t="s">
        <v>1954</v>
      </c>
      <c r="G1145" s="247" t="s">
        <v>1264</v>
      </c>
      <c r="H1145" s="247"/>
      <c r="I1145" s="247" t="s">
        <v>1955</v>
      </c>
      <c r="J1145" s="247">
        <v>6</v>
      </c>
      <c r="K1145" s="247">
        <v>3.1</v>
      </c>
      <c r="L1145" s="249" t="s">
        <v>650</v>
      </c>
      <c r="M1145" s="249" t="s">
        <v>933</v>
      </c>
      <c r="N1145" s="248">
        <v>0</v>
      </c>
      <c r="O1145" s="248">
        <v>-508822.35</v>
      </c>
      <c r="P1145" s="247" t="s">
        <v>1265</v>
      </c>
      <c r="Q1145" s="247" t="s">
        <v>85</v>
      </c>
    </row>
    <row r="1146" spans="1:17" x14ac:dyDescent="0.25">
      <c r="A1146" s="247" t="s">
        <v>646</v>
      </c>
      <c r="B1146" s="247" t="s">
        <v>25</v>
      </c>
      <c r="C1146" s="247" t="s">
        <v>987</v>
      </c>
      <c r="D1146" s="247" t="s">
        <v>926</v>
      </c>
      <c r="E1146" s="247" t="s">
        <v>1049</v>
      </c>
      <c r="F1146" s="247" t="s">
        <v>1954</v>
      </c>
      <c r="G1146" s="247" t="s">
        <v>1264</v>
      </c>
      <c r="H1146" s="247"/>
      <c r="I1146" s="247" t="s">
        <v>1955</v>
      </c>
      <c r="J1146" s="247">
        <v>6</v>
      </c>
      <c r="K1146" s="247">
        <v>3.1</v>
      </c>
      <c r="L1146" s="249" t="s">
        <v>652</v>
      </c>
      <c r="M1146" s="249" t="s">
        <v>933</v>
      </c>
      <c r="N1146" s="248">
        <v>0</v>
      </c>
      <c r="O1146" s="248">
        <v>-508822.35</v>
      </c>
      <c r="P1146" s="247" t="s">
        <v>1265</v>
      </c>
      <c r="Q1146" s="247" t="s">
        <v>86</v>
      </c>
    </row>
    <row r="1147" spans="1:17" x14ac:dyDescent="0.25">
      <c r="A1147" s="247" t="s">
        <v>646</v>
      </c>
      <c r="B1147" s="247" t="s">
        <v>25</v>
      </c>
      <c r="C1147" s="247" t="s">
        <v>987</v>
      </c>
      <c r="D1147" s="247" t="s">
        <v>926</v>
      </c>
      <c r="E1147" s="247" t="s">
        <v>1266</v>
      </c>
      <c r="F1147" s="247" t="s">
        <v>1956</v>
      </c>
      <c r="G1147" s="247" t="s">
        <v>1267</v>
      </c>
      <c r="H1147" s="247"/>
      <c r="I1147" s="247" t="s">
        <v>1957</v>
      </c>
      <c r="J1147" s="247">
        <v>6</v>
      </c>
      <c r="K1147" s="247">
        <v>3.1</v>
      </c>
      <c r="L1147" s="249" t="s">
        <v>652</v>
      </c>
      <c r="M1147" s="249" t="s">
        <v>933</v>
      </c>
      <c r="N1147" s="248">
        <v>-59252.9</v>
      </c>
      <c r="O1147" s="248">
        <v>-59252.9</v>
      </c>
      <c r="P1147" s="247" t="s">
        <v>1268</v>
      </c>
      <c r="Q1147" s="247" t="s">
        <v>86</v>
      </c>
    </row>
    <row r="1148" spans="1:17" x14ac:dyDescent="0.25">
      <c r="A1148" s="247" t="s">
        <v>646</v>
      </c>
      <c r="B1148" s="247" t="s">
        <v>25</v>
      </c>
      <c r="C1148" s="247" t="s">
        <v>987</v>
      </c>
      <c r="D1148" s="247" t="s">
        <v>926</v>
      </c>
      <c r="E1148" s="247" t="s">
        <v>1266</v>
      </c>
      <c r="F1148" s="247" t="s">
        <v>1956</v>
      </c>
      <c r="G1148" s="247" t="s">
        <v>1267</v>
      </c>
      <c r="H1148" s="247"/>
      <c r="I1148" s="247" t="s">
        <v>1957</v>
      </c>
      <c r="J1148" s="247">
        <v>6</v>
      </c>
      <c r="K1148" s="247">
        <v>3.1</v>
      </c>
      <c r="L1148" s="249" t="s">
        <v>789</v>
      </c>
      <c r="M1148" s="249" t="s">
        <v>929</v>
      </c>
      <c r="N1148" s="248">
        <v>-46241.93</v>
      </c>
      <c r="O1148" s="248">
        <v>-46241.93</v>
      </c>
      <c r="P1148" s="247" t="s">
        <v>1268</v>
      </c>
      <c r="Q1148" s="247" t="s">
        <v>87</v>
      </c>
    </row>
    <row r="1149" spans="1:17" x14ac:dyDescent="0.25">
      <c r="A1149" s="247" t="s">
        <v>646</v>
      </c>
      <c r="B1149" s="247" t="s">
        <v>25</v>
      </c>
      <c r="C1149" s="247" t="s">
        <v>987</v>
      </c>
      <c r="D1149" s="247" t="s">
        <v>926</v>
      </c>
      <c r="E1149" s="247" t="s">
        <v>1266</v>
      </c>
      <c r="F1149" s="247" t="s">
        <v>1956</v>
      </c>
      <c r="G1149" s="247" t="s">
        <v>1267</v>
      </c>
      <c r="H1149" s="247"/>
      <c r="I1149" s="247" t="s">
        <v>1957</v>
      </c>
      <c r="J1149" s="247">
        <v>6</v>
      </c>
      <c r="K1149" s="247">
        <v>3.1</v>
      </c>
      <c r="L1149" s="249" t="s">
        <v>791</v>
      </c>
      <c r="M1149" s="249" t="s">
        <v>929</v>
      </c>
      <c r="N1149" s="248">
        <v>-58873.23</v>
      </c>
      <c r="O1149" s="248">
        <v>-105115.16</v>
      </c>
      <c r="P1149" s="247" t="s">
        <v>1268</v>
      </c>
      <c r="Q1149" s="247" t="s">
        <v>88</v>
      </c>
    </row>
    <row r="1150" spans="1:17" x14ac:dyDescent="0.25">
      <c r="A1150" s="247" t="s">
        <v>646</v>
      </c>
      <c r="B1150" s="247" t="s">
        <v>25</v>
      </c>
      <c r="C1150" s="247" t="s">
        <v>987</v>
      </c>
      <c r="D1150" s="247" t="s">
        <v>926</v>
      </c>
      <c r="E1150" s="247" t="s">
        <v>1266</v>
      </c>
      <c r="F1150" s="247" t="s">
        <v>1956</v>
      </c>
      <c r="G1150" s="247" t="s">
        <v>1267</v>
      </c>
      <c r="H1150" s="247"/>
      <c r="I1150" s="247" t="s">
        <v>1957</v>
      </c>
      <c r="J1150" s="247">
        <v>6</v>
      </c>
      <c r="K1150" s="247">
        <v>3.1</v>
      </c>
      <c r="L1150" s="249" t="s">
        <v>935</v>
      </c>
      <c r="M1150" s="249" t="s">
        <v>929</v>
      </c>
      <c r="N1150" s="248">
        <v>-73533.95</v>
      </c>
      <c r="O1150" s="248">
        <v>-178649.11</v>
      </c>
      <c r="P1150" s="247" t="s">
        <v>1268</v>
      </c>
      <c r="Q1150" s="247" t="s">
        <v>89</v>
      </c>
    </row>
    <row r="1151" spans="1:17" x14ac:dyDescent="0.25">
      <c r="A1151" s="247" t="s">
        <v>646</v>
      </c>
      <c r="B1151" s="247" t="s">
        <v>25</v>
      </c>
      <c r="C1151" s="247" t="s">
        <v>987</v>
      </c>
      <c r="D1151" s="247" t="s">
        <v>926</v>
      </c>
      <c r="E1151" s="247" t="s">
        <v>1266</v>
      </c>
      <c r="F1151" s="247" t="s">
        <v>1956</v>
      </c>
      <c r="G1151" s="247" t="s">
        <v>1267</v>
      </c>
      <c r="H1151" s="247"/>
      <c r="I1151" s="247" t="s">
        <v>1957</v>
      </c>
      <c r="J1151" s="247">
        <v>6</v>
      </c>
      <c r="K1151" s="247">
        <v>3.1</v>
      </c>
      <c r="L1151" s="249" t="s">
        <v>936</v>
      </c>
      <c r="M1151" s="249" t="s">
        <v>929</v>
      </c>
      <c r="N1151" s="248">
        <v>-51636.76</v>
      </c>
      <c r="O1151" s="248">
        <v>-230285.87</v>
      </c>
      <c r="P1151" s="247" t="s">
        <v>1268</v>
      </c>
      <c r="Q1151" s="247" t="s">
        <v>90</v>
      </c>
    </row>
    <row r="1152" spans="1:17" x14ac:dyDescent="0.25">
      <c r="A1152" s="247" t="s">
        <v>646</v>
      </c>
      <c r="B1152" s="247" t="s">
        <v>25</v>
      </c>
      <c r="C1152" s="247" t="s">
        <v>987</v>
      </c>
      <c r="D1152" s="247" t="s">
        <v>926</v>
      </c>
      <c r="E1152" s="247" t="s">
        <v>1266</v>
      </c>
      <c r="F1152" s="247" t="s">
        <v>1956</v>
      </c>
      <c r="G1152" s="247" t="s">
        <v>1267</v>
      </c>
      <c r="H1152" s="247"/>
      <c r="I1152" s="247" t="s">
        <v>1957</v>
      </c>
      <c r="J1152" s="247">
        <v>6</v>
      </c>
      <c r="K1152" s="247">
        <v>3.1</v>
      </c>
      <c r="L1152" s="249" t="s">
        <v>937</v>
      </c>
      <c r="M1152" s="249" t="s">
        <v>929</v>
      </c>
      <c r="N1152" s="248">
        <v>-50465.46</v>
      </c>
      <c r="O1152" s="248">
        <v>-280751.33</v>
      </c>
      <c r="P1152" s="247" t="s">
        <v>1268</v>
      </c>
      <c r="Q1152" s="247" t="s">
        <v>91</v>
      </c>
    </row>
    <row r="1153" spans="1:17" x14ac:dyDescent="0.25">
      <c r="A1153" s="247" t="s">
        <v>646</v>
      </c>
      <c r="B1153" s="247" t="s">
        <v>25</v>
      </c>
      <c r="C1153" s="247" t="s">
        <v>987</v>
      </c>
      <c r="D1153" s="247" t="s">
        <v>926</v>
      </c>
      <c r="E1153" s="247" t="s">
        <v>1266</v>
      </c>
      <c r="F1153" s="247" t="s">
        <v>1956</v>
      </c>
      <c r="G1153" s="247" t="s">
        <v>1267</v>
      </c>
      <c r="H1153" s="247"/>
      <c r="I1153" s="247" t="s">
        <v>1957</v>
      </c>
      <c r="J1153" s="247">
        <v>6</v>
      </c>
      <c r="K1153" s="247">
        <v>3.1</v>
      </c>
      <c r="L1153" s="249" t="s">
        <v>938</v>
      </c>
      <c r="M1153" s="249" t="s">
        <v>929</v>
      </c>
      <c r="N1153" s="248">
        <v>-68353.8</v>
      </c>
      <c r="O1153" s="248">
        <v>-349105.13</v>
      </c>
      <c r="P1153" s="247" t="s">
        <v>1268</v>
      </c>
      <c r="Q1153" s="247" t="s">
        <v>92</v>
      </c>
    </row>
    <row r="1154" spans="1:17" x14ac:dyDescent="0.25">
      <c r="A1154" s="247" t="s">
        <v>646</v>
      </c>
      <c r="B1154" s="247" t="s">
        <v>25</v>
      </c>
      <c r="C1154" s="247" t="s">
        <v>987</v>
      </c>
      <c r="D1154" s="247" t="s">
        <v>926</v>
      </c>
      <c r="E1154" s="247" t="s">
        <v>1266</v>
      </c>
      <c r="F1154" s="247" t="s">
        <v>1956</v>
      </c>
      <c r="G1154" s="247" t="s">
        <v>1267</v>
      </c>
      <c r="H1154" s="247"/>
      <c r="I1154" s="247" t="s">
        <v>1957</v>
      </c>
      <c r="J1154" s="247">
        <v>6</v>
      </c>
      <c r="K1154" s="247">
        <v>3.1</v>
      </c>
      <c r="L1154" s="249" t="s">
        <v>939</v>
      </c>
      <c r="M1154" s="249" t="s">
        <v>929</v>
      </c>
      <c r="N1154" s="248">
        <v>-63202.02</v>
      </c>
      <c r="O1154" s="248">
        <v>-412307.15</v>
      </c>
      <c r="P1154" s="247" t="s">
        <v>1268</v>
      </c>
      <c r="Q1154" s="247" t="s">
        <v>93</v>
      </c>
    </row>
    <row r="1155" spans="1:17" x14ac:dyDescent="0.25">
      <c r="A1155" s="247" t="s">
        <v>646</v>
      </c>
      <c r="B1155" s="247" t="s">
        <v>25</v>
      </c>
      <c r="C1155" s="247" t="s">
        <v>987</v>
      </c>
      <c r="D1155" s="247" t="s">
        <v>926</v>
      </c>
      <c r="E1155" s="247" t="s">
        <v>1266</v>
      </c>
      <c r="F1155" s="247" t="s">
        <v>1956</v>
      </c>
      <c r="G1155" s="247" t="s">
        <v>1267</v>
      </c>
      <c r="H1155" s="247"/>
      <c r="I1155" s="247" t="s">
        <v>1957</v>
      </c>
      <c r="J1155" s="247">
        <v>6</v>
      </c>
      <c r="K1155" s="247">
        <v>3.1</v>
      </c>
      <c r="L1155" s="249" t="s">
        <v>940</v>
      </c>
      <c r="M1155" s="249" t="s">
        <v>929</v>
      </c>
      <c r="N1155" s="248">
        <v>-79015.429999999993</v>
      </c>
      <c r="O1155" s="248">
        <v>-491322.58</v>
      </c>
      <c r="P1155" s="247" t="s">
        <v>1268</v>
      </c>
      <c r="Q1155" s="247" t="s">
        <v>94</v>
      </c>
    </row>
    <row r="1156" spans="1:17" x14ac:dyDescent="0.25">
      <c r="A1156" s="247" t="s">
        <v>646</v>
      </c>
      <c r="B1156" s="247" t="s">
        <v>25</v>
      </c>
      <c r="C1156" s="247" t="s">
        <v>987</v>
      </c>
      <c r="D1156" s="247" t="s">
        <v>926</v>
      </c>
      <c r="E1156" s="247" t="s">
        <v>1266</v>
      </c>
      <c r="F1156" s="247" t="s">
        <v>1956</v>
      </c>
      <c r="G1156" s="247" t="s">
        <v>1267</v>
      </c>
      <c r="H1156" s="247"/>
      <c r="I1156" s="247" t="s">
        <v>1957</v>
      </c>
      <c r="J1156" s="247">
        <v>6</v>
      </c>
      <c r="K1156" s="247">
        <v>3.1</v>
      </c>
      <c r="L1156" s="249" t="s">
        <v>642</v>
      </c>
      <c r="M1156" s="249" t="s">
        <v>929</v>
      </c>
      <c r="N1156" s="248">
        <v>-55303.8</v>
      </c>
      <c r="O1156" s="248">
        <v>-546626.38</v>
      </c>
      <c r="P1156" s="247" t="s">
        <v>1268</v>
      </c>
      <c r="Q1156" s="247" t="s">
        <v>95</v>
      </c>
    </row>
    <row r="1157" spans="1:17" x14ac:dyDescent="0.25">
      <c r="A1157" s="247" t="s">
        <v>646</v>
      </c>
      <c r="B1157" s="247" t="s">
        <v>25</v>
      </c>
      <c r="C1157" s="247" t="s">
        <v>987</v>
      </c>
      <c r="D1157" s="247" t="s">
        <v>990</v>
      </c>
      <c r="E1157" s="247" t="s">
        <v>571</v>
      </c>
      <c r="F1157" s="247" t="s">
        <v>1958</v>
      </c>
      <c r="G1157" s="247" t="s">
        <v>1269</v>
      </c>
      <c r="H1157" s="247"/>
      <c r="I1157" s="247" t="s">
        <v>1959</v>
      </c>
      <c r="J1157" s="247">
        <v>6</v>
      </c>
      <c r="K1157" s="247">
        <v>6</v>
      </c>
      <c r="L1157" s="249" t="s">
        <v>646</v>
      </c>
      <c r="M1157" s="249" t="s">
        <v>933</v>
      </c>
      <c r="N1157" s="248">
        <v>314.42</v>
      </c>
      <c r="O1157" s="248">
        <v>-9.99</v>
      </c>
      <c r="P1157" s="247" t="s">
        <v>1270</v>
      </c>
      <c r="Q1157" s="247" t="s">
        <v>84</v>
      </c>
    </row>
    <row r="1158" spans="1:17" x14ac:dyDescent="0.25">
      <c r="A1158" s="247" t="s">
        <v>646</v>
      </c>
      <c r="B1158" s="247" t="s">
        <v>25</v>
      </c>
      <c r="C1158" s="247" t="s">
        <v>987</v>
      </c>
      <c r="D1158" s="247" t="s">
        <v>990</v>
      </c>
      <c r="E1158" s="247" t="s">
        <v>571</v>
      </c>
      <c r="F1158" s="247" t="s">
        <v>1958</v>
      </c>
      <c r="G1158" s="247" t="s">
        <v>1269</v>
      </c>
      <c r="H1158" s="247"/>
      <c r="I1158" s="247" t="s">
        <v>1959</v>
      </c>
      <c r="J1158" s="247">
        <v>6</v>
      </c>
      <c r="K1158" s="247">
        <v>6</v>
      </c>
      <c r="L1158" s="249" t="s">
        <v>650</v>
      </c>
      <c r="M1158" s="249" t="s">
        <v>933</v>
      </c>
      <c r="N1158" s="248">
        <v>635.28</v>
      </c>
      <c r="O1158" s="248">
        <v>625.29</v>
      </c>
      <c r="P1158" s="247" t="s">
        <v>1270</v>
      </c>
      <c r="Q1158" s="247" t="s">
        <v>85</v>
      </c>
    </row>
    <row r="1159" spans="1:17" x14ac:dyDescent="0.25">
      <c r="A1159" s="247" t="s">
        <v>646</v>
      </c>
      <c r="B1159" s="247" t="s">
        <v>25</v>
      </c>
      <c r="C1159" s="247" t="s">
        <v>987</v>
      </c>
      <c r="D1159" s="247" t="s">
        <v>990</v>
      </c>
      <c r="E1159" s="247" t="s">
        <v>571</v>
      </c>
      <c r="F1159" s="247" t="s">
        <v>1958</v>
      </c>
      <c r="G1159" s="247" t="s">
        <v>1269</v>
      </c>
      <c r="H1159" s="247"/>
      <c r="I1159" s="247" t="s">
        <v>1959</v>
      </c>
      <c r="J1159" s="247">
        <v>6</v>
      </c>
      <c r="K1159" s="247">
        <v>6</v>
      </c>
      <c r="L1159" s="249" t="s">
        <v>652</v>
      </c>
      <c r="M1159" s="249" t="s">
        <v>933</v>
      </c>
      <c r="N1159" s="248">
        <v>-50</v>
      </c>
      <c r="O1159" s="248">
        <v>575.29</v>
      </c>
      <c r="P1159" s="247" t="s">
        <v>1270</v>
      </c>
      <c r="Q1159" s="247" t="s">
        <v>86</v>
      </c>
    </row>
    <row r="1160" spans="1:17" x14ac:dyDescent="0.25">
      <c r="A1160" s="247" t="s">
        <v>646</v>
      </c>
      <c r="B1160" s="247" t="s">
        <v>25</v>
      </c>
      <c r="C1160" s="247" t="s">
        <v>987</v>
      </c>
      <c r="D1160" s="247" t="s">
        <v>990</v>
      </c>
      <c r="E1160" s="247" t="s">
        <v>571</v>
      </c>
      <c r="F1160" s="247" t="s">
        <v>1958</v>
      </c>
      <c r="G1160" s="247" t="s">
        <v>1269</v>
      </c>
      <c r="H1160" s="247"/>
      <c r="I1160" s="247" t="s">
        <v>1959</v>
      </c>
      <c r="J1160" s="247">
        <v>6</v>
      </c>
      <c r="K1160" s="247">
        <v>6</v>
      </c>
      <c r="L1160" s="249" t="s">
        <v>791</v>
      </c>
      <c r="M1160" s="249" t="s">
        <v>929</v>
      </c>
      <c r="N1160" s="248">
        <v>0</v>
      </c>
      <c r="O1160" s="248">
        <v>-66.09</v>
      </c>
      <c r="P1160" s="247" t="s">
        <v>1270</v>
      </c>
      <c r="Q1160" s="247" t="s">
        <v>88</v>
      </c>
    </row>
    <row r="1161" spans="1:17" x14ac:dyDescent="0.25">
      <c r="A1161" s="247" t="s">
        <v>646</v>
      </c>
      <c r="B1161" s="247" t="s">
        <v>25</v>
      </c>
      <c r="C1161" s="247" t="s">
        <v>987</v>
      </c>
      <c r="D1161" s="247" t="s">
        <v>990</v>
      </c>
      <c r="E1161" s="247" t="s">
        <v>571</v>
      </c>
      <c r="F1161" s="247" t="s">
        <v>1958</v>
      </c>
      <c r="G1161" s="247" t="s">
        <v>1269</v>
      </c>
      <c r="H1161" s="247"/>
      <c r="I1161" s="247" t="s">
        <v>1959</v>
      </c>
      <c r="J1161" s="247">
        <v>6</v>
      </c>
      <c r="K1161" s="247">
        <v>6</v>
      </c>
      <c r="L1161" s="249" t="s">
        <v>935</v>
      </c>
      <c r="M1161" s="249" t="s">
        <v>929</v>
      </c>
      <c r="N1161" s="248">
        <v>0</v>
      </c>
      <c r="O1161" s="248">
        <v>-66.09</v>
      </c>
      <c r="P1161" s="247" t="s">
        <v>1270</v>
      </c>
      <c r="Q1161" s="247" t="s">
        <v>89</v>
      </c>
    </row>
    <row r="1162" spans="1:17" x14ac:dyDescent="0.25">
      <c r="A1162" s="247" t="s">
        <v>646</v>
      </c>
      <c r="B1162" s="247" t="s">
        <v>25</v>
      </c>
      <c r="C1162" s="247" t="s">
        <v>987</v>
      </c>
      <c r="D1162" s="247" t="s">
        <v>990</v>
      </c>
      <c r="E1162" s="247" t="s">
        <v>571</v>
      </c>
      <c r="F1162" s="247" t="s">
        <v>1958</v>
      </c>
      <c r="G1162" s="247" t="s">
        <v>1269</v>
      </c>
      <c r="H1162" s="247"/>
      <c r="I1162" s="247" t="s">
        <v>1959</v>
      </c>
      <c r="J1162" s="247">
        <v>6</v>
      </c>
      <c r="K1162" s="247">
        <v>6</v>
      </c>
      <c r="L1162" s="249" t="s">
        <v>936</v>
      </c>
      <c r="M1162" s="249" t="s">
        <v>929</v>
      </c>
      <c r="N1162" s="248">
        <v>-350</v>
      </c>
      <c r="O1162" s="248">
        <v>-416.09</v>
      </c>
      <c r="P1162" s="247" t="s">
        <v>1270</v>
      </c>
      <c r="Q1162" s="247" t="s">
        <v>90</v>
      </c>
    </row>
    <row r="1163" spans="1:17" x14ac:dyDescent="0.25">
      <c r="A1163" s="247" t="s">
        <v>646</v>
      </c>
      <c r="B1163" s="247" t="s">
        <v>25</v>
      </c>
      <c r="C1163" s="247" t="s">
        <v>987</v>
      </c>
      <c r="D1163" s="247" t="s">
        <v>990</v>
      </c>
      <c r="E1163" s="247" t="s">
        <v>571</v>
      </c>
      <c r="F1163" s="247" t="s">
        <v>1958</v>
      </c>
      <c r="G1163" s="247" t="s">
        <v>1269</v>
      </c>
      <c r="H1163" s="247"/>
      <c r="I1163" s="247" t="s">
        <v>1959</v>
      </c>
      <c r="J1163" s="247">
        <v>6</v>
      </c>
      <c r="K1163" s="247">
        <v>6</v>
      </c>
      <c r="L1163" s="249" t="s">
        <v>937</v>
      </c>
      <c r="M1163" s="249" t="s">
        <v>929</v>
      </c>
      <c r="N1163" s="248">
        <v>0</v>
      </c>
      <c r="O1163" s="248">
        <v>-416.09</v>
      </c>
      <c r="P1163" s="247" t="s">
        <v>1270</v>
      </c>
      <c r="Q1163" s="247" t="s">
        <v>91</v>
      </c>
    </row>
    <row r="1164" spans="1:17" x14ac:dyDescent="0.25">
      <c r="A1164" s="247" t="s">
        <v>646</v>
      </c>
      <c r="B1164" s="247" t="s">
        <v>25</v>
      </c>
      <c r="C1164" s="247" t="s">
        <v>987</v>
      </c>
      <c r="D1164" s="247" t="s">
        <v>990</v>
      </c>
      <c r="E1164" s="247" t="s">
        <v>571</v>
      </c>
      <c r="F1164" s="247" t="s">
        <v>1958</v>
      </c>
      <c r="G1164" s="247" t="s">
        <v>1269</v>
      </c>
      <c r="H1164" s="247"/>
      <c r="I1164" s="247" t="s">
        <v>1959</v>
      </c>
      <c r="J1164" s="247">
        <v>6</v>
      </c>
      <c r="K1164" s="247">
        <v>6</v>
      </c>
      <c r="L1164" s="249" t="s">
        <v>938</v>
      </c>
      <c r="M1164" s="249" t="s">
        <v>929</v>
      </c>
      <c r="N1164" s="248">
        <v>0</v>
      </c>
      <c r="O1164" s="248">
        <v>-416.09</v>
      </c>
      <c r="P1164" s="247" t="s">
        <v>1270</v>
      </c>
      <c r="Q1164" s="247" t="s">
        <v>92</v>
      </c>
    </row>
    <row r="1165" spans="1:17" x14ac:dyDescent="0.25">
      <c r="A1165" s="247" t="s">
        <v>646</v>
      </c>
      <c r="B1165" s="247" t="s">
        <v>25</v>
      </c>
      <c r="C1165" s="247" t="s">
        <v>987</v>
      </c>
      <c r="D1165" s="247" t="s">
        <v>990</v>
      </c>
      <c r="E1165" s="247" t="s">
        <v>571</v>
      </c>
      <c r="F1165" s="247" t="s">
        <v>1958</v>
      </c>
      <c r="G1165" s="247" t="s">
        <v>1269</v>
      </c>
      <c r="H1165" s="247"/>
      <c r="I1165" s="247" t="s">
        <v>1959</v>
      </c>
      <c r="J1165" s="247">
        <v>6</v>
      </c>
      <c r="K1165" s="247">
        <v>6</v>
      </c>
      <c r="L1165" s="249" t="s">
        <v>939</v>
      </c>
      <c r="M1165" s="249" t="s">
        <v>929</v>
      </c>
      <c r="N1165" s="248">
        <v>0</v>
      </c>
      <c r="O1165" s="248">
        <v>-416.09</v>
      </c>
      <c r="P1165" s="247" t="s">
        <v>1270</v>
      </c>
      <c r="Q1165" s="247" t="s">
        <v>93</v>
      </c>
    </row>
    <row r="1166" spans="1:17" x14ac:dyDescent="0.25">
      <c r="A1166" s="247" t="s">
        <v>646</v>
      </c>
      <c r="B1166" s="247" t="s">
        <v>25</v>
      </c>
      <c r="C1166" s="247" t="s">
        <v>987</v>
      </c>
      <c r="D1166" s="247" t="s">
        <v>990</v>
      </c>
      <c r="E1166" s="247" t="s">
        <v>571</v>
      </c>
      <c r="F1166" s="247" t="s">
        <v>1958</v>
      </c>
      <c r="G1166" s="247" t="s">
        <v>1269</v>
      </c>
      <c r="H1166" s="247"/>
      <c r="I1166" s="247" t="s">
        <v>1959</v>
      </c>
      <c r="J1166" s="247">
        <v>6</v>
      </c>
      <c r="K1166" s="247">
        <v>6</v>
      </c>
      <c r="L1166" s="249" t="s">
        <v>940</v>
      </c>
      <c r="M1166" s="249" t="s">
        <v>929</v>
      </c>
      <c r="N1166" s="248">
        <v>0</v>
      </c>
      <c r="O1166" s="248">
        <v>-416.09</v>
      </c>
      <c r="P1166" s="247" t="s">
        <v>1270</v>
      </c>
      <c r="Q1166" s="247" t="s">
        <v>94</v>
      </c>
    </row>
    <row r="1167" spans="1:17" x14ac:dyDescent="0.25">
      <c r="A1167" s="247" t="s">
        <v>646</v>
      </c>
      <c r="B1167" s="247" t="s">
        <v>25</v>
      </c>
      <c r="C1167" s="247" t="s">
        <v>987</v>
      </c>
      <c r="D1167" s="247" t="s">
        <v>990</v>
      </c>
      <c r="E1167" s="247" t="s">
        <v>571</v>
      </c>
      <c r="F1167" s="247" t="s">
        <v>1958</v>
      </c>
      <c r="G1167" s="247" t="s">
        <v>1269</v>
      </c>
      <c r="H1167" s="247"/>
      <c r="I1167" s="247" t="s">
        <v>1959</v>
      </c>
      <c r="J1167" s="247">
        <v>6</v>
      </c>
      <c r="K1167" s="247">
        <v>6</v>
      </c>
      <c r="L1167" s="249" t="s">
        <v>642</v>
      </c>
      <c r="M1167" s="249" t="s">
        <v>929</v>
      </c>
      <c r="N1167" s="248">
        <v>0</v>
      </c>
      <c r="O1167" s="248">
        <v>-416.09</v>
      </c>
      <c r="P1167" s="247" t="s">
        <v>1270</v>
      </c>
      <c r="Q1167" s="247" t="s">
        <v>95</v>
      </c>
    </row>
    <row r="1168" spans="1:17" x14ac:dyDescent="0.25">
      <c r="A1168" s="247" t="s">
        <v>646</v>
      </c>
      <c r="B1168" s="247" t="s">
        <v>25</v>
      </c>
      <c r="C1168" s="247" t="s">
        <v>987</v>
      </c>
      <c r="D1168" s="247" t="s">
        <v>990</v>
      </c>
      <c r="E1168" s="247" t="s">
        <v>1261</v>
      </c>
      <c r="F1168" s="247" t="s">
        <v>1960</v>
      </c>
      <c r="G1168" s="247" t="s">
        <v>1271</v>
      </c>
      <c r="H1168" s="247"/>
      <c r="I1168" s="247" t="s">
        <v>1961</v>
      </c>
      <c r="J1168" s="247">
        <v>6</v>
      </c>
      <c r="K1168" s="247">
        <v>6</v>
      </c>
      <c r="L1168" s="249" t="s">
        <v>646</v>
      </c>
      <c r="M1168" s="249" t="s">
        <v>933</v>
      </c>
      <c r="N1168" s="248">
        <v>-71183.460000000006</v>
      </c>
      <c r="O1168" s="248">
        <v>-137825.43</v>
      </c>
      <c r="P1168" s="247" t="s">
        <v>1272</v>
      </c>
      <c r="Q1168" s="247" t="s">
        <v>84</v>
      </c>
    </row>
    <row r="1169" spans="1:17" x14ac:dyDescent="0.25">
      <c r="A1169" s="247" t="s">
        <v>646</v>
      </c>
      <c r="B1169" s="247" t="s">
        <v>25</v>
      </c>
      <c r="C1169" s="247" t="s">
        <v>987</v>
      </c>
      <c r="D1169" s="247" t="s">
        <v>990</v>
      </c>
      <c r="E1169" s="247" t="s">
        <v>1261</v>
      </c>
      <c r="F1169" s="247" t="s">
        <v>1960</v>
      </c>
      <c r="G1169" s="247" t="s">
        <v>1271</v>
      </c>
      <c r="H1169" s="247"/>
      <c r="I1169" s="247" t="s">
        <v>1961</v>
      </c>
      <c r="J1169" s="247">
        <v>6</v>
      </c>
      <c r="K1169" s="247">
        <v>6</v>
      </c>
      <c r="L1169" s="249" t="s">
        <v>650</v>
      </c>
      <c r="M1169" s="249" t="s">
        <v>933</v>
      </c>
      <c r="N1169" s="248">
        <v>-67171.56</v>
      </c>
      <c r="O1169" s="248">
        <v>-204996.99</v>
      </c>
      <c r="P1169" s="247" t="s">
        <v>1272</v>
      </c>
      <c r="Q1169" s="247" t="s">
        <v>85</v>
      </c>
    </row>
    <row r="1170" spans="1:17" x14ac:dyDescent="0.25">
      <c r="A1170" s="247" t="s">
        <v>646</v>
      </c>
      <c r="B1170" s="247" t="s">
        <v>25</v>
      </c>
      <c r="C1170" s="247" t="s">
        <v>987</v>
      </c>
      <c r="D1170" s="247" t="s">
        <v>990</v>
      </c>
      <c r="E1170" s="247" t="s">
        <v>1261</v>
      </c>
      <c r="F1170" s="247" t="s">
        <v>1960</v>
      </c>
      <c r="G1170" s="247" t="s">
        <v>1271</v>
      </c>
      <c r="H1170" s="247"/>
      <c r="I1170" s="247" t="s">
        <v>1961</v>
      </c>
      <c r="J1170" s="247">
        <v>6</v>
      </c>
      <c r="K1170" s="247">
        <v>6</v>
      </c>
      <c r="L1170" s="249" t="s">
        <v>652</v>
      </c>
      <c r="M1170" s="249" t="s">
        <v>933</v>
      </c>
      <c r="N1170" s="248">
        <v>0</v>
      </c>
      <c r="O1170" s="248">
        <v>-204996.99</v>
      </c>
      <c r="P1170" s="247" t="s">
        <v>1272</v>
      </c>
      <c r="Q1170" s="247" t="s">
        <v>86</v>
      </c>
    </row>
    <row r="1171" spans="1:17" x14ac:dyDescent="0.25">
      <c r="A1171" s="247" t="s">
        <v>646</v>
      </c>
      <c r="B1171" s="247" t="s">
        <v>25</v>
      </c>
      <c r="C1171" s="247" t="s">
        <v>987</v>
      </c>
      <c r="D1171" s="247" t="s">
        <v>990</v>
      </c>
      <c r="E1171" s="247" t="s">
        <v>1266</v>
      </c>
      <c r="F1171" s="247" t="s">
        <v>1962</v>
      </c>
      <c r="G1171" s="247" t="s">
        <v>1273</v>
      </c>
      <c r="H1171" s="247"/>
      <c r="I1171" s="247" t="s">
        <v>1963</v>
      </c>
      <c r="J1171" s="247">
        <v>6</v>
      </c>
      <c r="K1171" s="247">
        <v>3.1</v>
      </c>
      <c r="L1171" s="249" t="s">
        <v>646</v>
      </c>
      <c r="M1171" s="249" t="s">
        <v>933</v>
      </c>
      <c r="N1171" s="248">
        <v>-69321.53</v>
      </c>
      <c r="O1171" s="248">
        <v>-125373.73</v>
      </c>
      <c r="P1171" s="247" t="s">
        <v>1274</v>
      </c>
      <c r="Q1171" s="247" t="s">
        <v>84</v>
      </c>
    </row>
    <row r="1172" spans="1:17" x14ac:dyDescent="0.25">
      <c r="A1172" s="247" t="s">
        <v>646</v>
      </c>
      <c r="B1172" s="247" t="s">
        <v>25</v>
      </c>
      <c r="C1172" s="247" t="s">
        <v>987</v>
      </c>
      <c r="D1172" s="247" t="s">
        <v>990</v>
      </c>
      <c r="E1172" s="247" t="s">
        <v>1266</v>
      </c>
      <c r="F1172" s="247" t="s">
        <v>1962</v>
      </c>
      <c r="G1172" s="247" t="s">
        <v>1273</v>
      </c>
      <c r="H1172" s="247"/>
      <c r="I1172" s="247" t="s">
        <v>1963</v>
      </c>
      <c r="J1172" s="247">
        <v>6</v>
      </c>
      <c r="K1172" s="247">
        <v>3.1</v>
      </c>
      <c r="L1172" s="249" t="s">
        <v>650</v>
      </c>
      <c r="M1172" s="249" t="s">
        <v>933</v>
      </c>
      <c r="N1172" s="248">
        <v>-57074.46</v>
      </c>
      <c r="O1172" s="248">
        <v>-182448.19</v>
      </c>
      <c r="P1172" s="247" t="s">
        <v>1274</v>
      </c>
      <c r="Q1172" s="247" t="s">
        <v>85</v>
      </c>
    </row>
    <row r="1173" spans="1:17" x14ac:dyDescent="0.25">
      <c r="A1173" s="247" t="s">
        <v>646</v>
      </c>
      <c r="B1173" s="247" t="s">
        <v>25</v>
      </c>
      <c r="C1173" s="247" t="s">
        <v>987</v>
      </c>
      <c r="D1173" s="247" t="s">
        <v>990</v>
      </c>
      <c r="E1173" s="247" t="s">
        <v>1266</v>
      </c>
      <c r="F1173" s="247" t="s">
        <v>1962</v>
      </c>
      <c r="G1173" s="247" t="s">
        <v>1273</v>
      </c>
      <c r="H1173" s="247"/>
      <c r="I1173" s="247" t="s">
        <v>1963</v>
      </c>
      <c r="J1173" s="247">
        <v>6</v>
      </c>
      <c r="K1173" s="247">
        <v>3.1</v>
      </c>
      <c r="L1173" s="249" t="s">
        <v>652</v>
      </c>
      <c r="M1173" s="249" t="s">
        <v>933</v>
      </c>
      <c r="N1173" s="248">
        <v>0</v>
      </c>
      <c r="O1173" s="248">
        <v>-182448.19</v>
      </c>
      <c r="P1173" s="247" t="s">
        <v>1274</v>
      </c>
      <c r="Q1173" s="247" t="s">
        <v>86</v>
      </c>
    </row>
    <row r="1174" spans="1:17" x14ac:dyDescent="0.25">
      <c r="A1174" s="247" t="s">
        <v>646</v>
      </c>
      <c r="B1174" s="247" t="s">
        <v>25</v>
      </c>
      <c r="C1174" s="247" t="s">
        <v>987</v>
      </c>
      <c r="D1174" s="247" t="s">
        <v>926</v>
      </c>
      <c r="E1174" s="247" t="s">
        <v>569</v>
      </c>
      <c r="F1174" s="247" t="s">
        <v>1964</v>
      </c>
      <c r="G1174" s="247" t="s">
        <v>1275</v>
      </c>
      <c r="H1174" s="247"/>
      <c r="I1174" s="247" t="s">
        <v>1965</v>
      </c>
      <c r="J1174" s="247">
        <v>6</v>
      </c>
      <c r="K1174" s="247">
        <v>2</v>
      </c>
      <c r="L1174" s="249" t="s">
        <v>646</v>
      </c>
      <c r="M1174" s="249" t="s">
        <v>933</v>
      </c>
      <c r="N1174" s="248">
        <v>0</v>
      </c>
      <c r="O1174" s="248">
        <v>-1911595.52</v>
      </c>
      <c r="P1174" s="247" t="s">
        <v>1276</v>
      </c>
      <c r="Q1174" s="247" t="s">
        <v>84</v>
      </c>
    </row>
    <row r="1175" spans="1:17" x14ac:dyDescent="0.25">
      <c r="A1175" s="247" t="s">
        <v>646</v>
      </c>
      <c r="B1175" s="247" t="s">
        <v>25</v>
      </c>
      <c r="C1175" s="247" t="s">
        <v>987</v>
      </c>
      <c r="D1175" s="247" t="s">
        <v>926</v>
      </c>
      <c r="E1175" s="247" t="s">
        <v>569</v>
      </c>
      <c r="F1175" s="247" t="s">
        <v>1964</v>
      </c>
      <c r="G1175" s="247" t="s">
        <v>1275</v>
      </c>
      <c r="H1175" s="247"/>
      <c r="I1175" s="247" t="s">
        <v>1965</v>
      </c>
      <c r="J1175" s="247">
        <v>6</v>
      </c>
      <c r="K1175" s="247">
        <v>2</v>
      </c>
      <c r="L1175" s="249" t="s">
        <v>650</v>
      </c>
      <c r="M1175" s="249" t="s">
        <v>933</v>
      </c>
      <c r="N1175" s="248">
        <v>0</v>
      </c>
      <c r="O1175" s="248">
        <v>-1911595.52</v>
      </c>
      <c r="P1175" s="247" t="s">
        <v>1276</v>
      </c>
      <c r="Q1175" s="247" t="s">
        <v>85</v>
      </c>
    </row>
    <row r="1176" spans="1:17" x14ac:dyDescent="0.25">
      <c r="A1176" s="247" t="s">
        <v>646</v>
      </c>
      <c r="B1176" s="247" t="s">
        <v>25</v>
      </c>
      <c r="C1176" s="247" t="s">
        <v>987</v>
      </c>
      <c r="D1176" s="247" t="s">
        <v>926</v>
      </c>
      <c r="E1176" s="247" t="s">
        <v>569</v>
      </c>
      <c r="F1176" s="247" t="s">
        <v>1964</v>
      </c>
      <c r="G1176" s="247" t="s">
        <v>1275</v>
      </c>
      <c r="H1176" s="247"/>
      <c r="I1176" s="247" t="s">
        <v>1965</v>
      </c>
      <c r="J1176" s="247">
        <v>6</v>
      </c>
      <c r="K1176" s="247">
        <v>2</v>
      </c>
      <c r="L1176" s="249" t="s">
        <v>652</v>
      </c>
      <c r="M1176" s="249" t="s">
        <v>933</v>
      </c>
      <c r="N1176" s="248">
        <v>0</v>
      </c>
      <c r="O1176" s="248">
        <v>-1911595.52</v>
      </c>
      <c r="P1176" s="247" t="s">
        <v>1276</v>
      </c>
      <c r="Q1176" s="247" t="s">
        <v>86</v>
      </c>
    </row>
    <row r="1177" spans="1:17" x14ac:dyDescent="0.25">
      <c r="A1177" s="247" t="s">
        <v>646</v>
      </c>
      <c r="B1177" s="247" t="s">
        <v>25</v>
      </c>
      <c r="C1177" s="247" t="s">
        <v>987</v>
      </c>
      <c r="D1177" s="247" t="s">
        <v>926</v>
      </c>
      <c r="E1177" s="247" t="s">
        <v>571</v>
      </c>
      <c r="F1177" s="247" t="s">
        <v>1966</v>
      </c>
      <c r="G1177" s="247" t="s">
        <v>1277</v>
      </c>
      <c r="H1177" s="247"/>
      <c r="I1177" s="247" t="s">
        <v>1967</v>
      </c>
      <c r="J1177" s="247">
        <v>6</v>
      </c>
      <c r="K1177" s="247">
        <v>2</v>
      </c>
      <c r="L1177" s="249" t="s">
        <v>646</v>
      </c>
      <c r="M1177" s="249" t="s">
        <v>933</v>
      </c>
      <c r="N1177" s="248">
        <v>-222130.34</v>
      </c>
      <c r="O1177" s="248">
        <v>-443796.08</v>
      </c>
      <c r="P1177" s="247" t="s">
        <v>1278</v>
      </c>
      <c r="Q1177" s="247" t="s">
        <v>84</v>
      </c>
    </row>
    <row r="1178" spans="1:17" x14ac:dyDescent="0.25">
      <c r="A1178" s="247" t="s">
        <v>646</v>
      </c>
      <c r="B1178" s="247" t="s">
        <v>25</v>
      </c>
      <c r="C1178" s="247" t="s">
        <v>987</v>
      </c>
      <c r="D1178" s="247" t="s">
        <v>926</v>
      </c>
      <c r="E1178" s="247" t="s">
        <v>571</v>
      </c>
      <c r="F1178" s="247" t="s">
        <v>1966</v>
      </c>
      <c r="G1178" s="247" t="s">
        <v>1277</v>
      </c>
      <c r="H1178" s="247"/>
      <c r="I1178" s="247" t="s">
        <v>1967</v>
      </c>
      <c r="J1178" s="247">
        <v>6</v>
      </c>
      <c r="K1178" s="247">
        <v>2</v>
      </c>
      <c r="L1178" s="249" t="s">
        <v>650</v>
      </c>
      <c r="M1178" s="249" t="s">
        <v>933</v>
      </c>
      <c r="N1178" s="248">
        <v>-219782.88</v>
      </c>
      <c r="O1178" s="248">
        <v>-663578.96</v>
      </c>
      <c r="P1178" s="247" t="s">
        <v>1278</v>
      </c>
      <c r="Q1178" s="247" t="s">
        <v>85</v>
      </c>
    </row>
    <row r="1179" spans="1:17" x14ac:dyDescent="0.25">
      <c r="A1179" s="247" t="s">
        <v>646</v>
      </c>
      <c r="B1179" s="247" t="s">
        <v>25</v>
      </c>
      <c r="C1179" s="247" t="s">
        <v>987</v>
      </c>
      <c r="D1179" s="247" t="s">
        <v>926</v>
      </c>
      <c r="E1179" s="247" t="s">
        <v>571</v>
      </c>
      <c r="F1179" s="247" t="s">
        <v>1966</v>
      </c>
      <c r="G1179" s="247" t="s">
        <v>1277</v>
      </c>
      <c r="H1179" s="247"/>
      <c r="I1179" s="247" t="s">
        <v>1967</v>
      </c>
      <c r="J1179" s="247">
        <v>6</v>
      </c>
      <c r="K1179" s="247">
        <v>2</v>
      </c>
      <c r="L1179" s="249" t="s">
        <v>652</v>
      </c>
      <c r="M1179" s="249" t="s">
        <v>933</v>
      </c>
      <c r="N1179" s="248">
        <v>-217090.19</v>
      </c>
      <c r="O1179" s="248">
        <v>-880669.15</v>
      </c>
      <c r="P1179" s="247" t="s">
        <v>1278</v>
      </c>
      <c r="Q1179" s="247" t="s">
        <v>86</v>
      </c>
    </row>
    <row r="1180" spans="1:17" x14ac:dyDescent="0.25">
      <c r="A1180" s="247" t="s">
        <v>646</v>
      </c>
      <c r="B1180" s="247" t="s">
        <v>25</v>
      </c>
      <c r="C1180" s="247" t="s">
        <v>987</v>
      </c>
      <c r="D1180" s="247" t="s">
        <v>926</v>
      </c>
      <c r="E1180" s="247" t="s">
        <v>571</v>
      </c>
      <c r="F1180" s="247" t="s">
        <v>1966</v>
      </c>
      <c r="G1180" s="247" t="s">
        <v>1277</v>
      </c>
      <c r="H1180" s="247"/>
      <c r="I1180" s="247" t="s">
        <v>1967</v>
      </c>
      <c r="J1180" s="247">
        <v>6</v>
      </c>
      <c r="K1180" s="247">
        <v>2</v>
      </c>
      <c r="L1180" s="249" t="s">
        <v>789</v>
      </c>
      <c r="M1180" s="249" t="s">
        <v>929</v>
      </c>
      <c r="N1180" s="248">
        <v>-259667.15</v>
      </c>
      <c r="O1180" s="248">
        <v>-259667.15</v>
      </c>
      <c r="P1180" s="247" t="s">
        <v>1278</v>
      </c>
      <c r="Q1180" s="247" t="s">
        <v>87</v>
      </c>
    </row>
    <row r="1181" spans="1:17" x14ac:dyDescent="0.25">
      <c r="A1181" s="247" t="s">
        <v>646</v>
      </c>
      <c r="B1181" s="247" t="s">
        <v>25</v>
      </c>
      <c r="C1181" s="247" t="s">
        <v>987</v>
      </c>
      <c r="D1181" s="247" t="s">
        <v>926</v>
      </c>
      <c r="E1181" s="247" t="s">
        <v>571</v>
      </c>
      <c r="F1181" s="247" t="s">
        <v>1966</v>
      </c>
      <c r="G1181" s="247" t="s">
        <v>1277</v>
      </c>
      <c r="H1181" s="247"/>
      <c r="I1181" s="247" t="s">
        <v>1967</v>
      </c>
      <c r="J1181" s="247">
        <v>6</v>
      </c>
      <c r="K1181" s="247">
        <v>2</v>
      </c>
      <c r="L1181" s="249" t="s">
        <v>791</v>
      </c>
      <c r="M1181" s="249" t="s">
        <v>929</v>
      </c>
      <c r="N1181" s="248">
        <v>-261848.38</v>
      </c>
      <c r="O1181" s="248">
        <v>-521515.53</v>
      </c>
      <c r="P1181" s="247" t="s">
        <v>1278</v>
      </c>
      <c r="Q1181" s="247" t="s">
        <v>88</v>
      </c>
    </row>
    <row r="1182" spans="1:17" x14ac:dyDescent="0.25">
      <c r="A1182" s="247" t="s">
        <v>646</v>
      </c>
      <c r="B1182" s="247" t="s">
        <v>25</v>
      </c>
      <c r="C1182" s="247" t="s">
        <v>987</v>
      </c>
      <c r="D1182" s="247" t="s">
        <v>926</v>
      </c>
      <c r="E1182" s="247" t="s">
        <v>571</v>
      </c>
      <c r="F1182" s="247" t="s">
        <v>1966</v>
      </c>
      <c r="G1182" s="247" t="s">
        <v>1277</v>
      </c>
      <c r="H1182" s="247"/>
      <c r="I1182" s="247" t="s">
        <v>1967</v>
      </c>
      <c r="J1182" s="247">
        <v>6</v>
      </c>
      <c r="K1182" s="247">
        <v>2</v>
      </c>
      <c r="L1182" s="249" t="s">
        <v>935</v>
      </c>
      <c r="M1182" s="249" t="s">
        <v>929</v>
      </c>
      <c r="N1182" s="248">
        <v>-261665.79</v>
      </c>
      <c r="O1182" s="248">
        <v>-783181.32</v>
      </c>
      <c r="P1182" s="247" t="s">
        <v>1278</v>
      </c>
      <c r="Q1182" s="247" t="s">
        <v>89</v>
      </c>
    </row>
    <row r="1183" spans="1:17" x14ac:dyDescent="0.25">
      <c r="A1183" s="247" t="s">
        <v>646</v>
      </c>
      <c r="B1183" s="247" t="s">
        <v>25</v>
      </c>
      <c r="C1183" s="247" t="s">
        <v>987</v>
      </c>
      <c r="D1183" s="247" t="s">
        <v>926</v>
      </c>
      <c r="E1183" s="247" t="s">
        <v>571</v>
      </c>
      <c r="F1183" s="247" t="s">
        <v>1966</v>
      </c>
      <c r="G1183" s="247" t="s">
        <v>1277</v>
      </c>
      <c r="H1183" s="247"/>
      <c r="I1183" s="247" t="s">
        <v>1967</v>
      </c>
      <c r="J1183" s="247">
        <v>6</v>
      </c>
      <c r="K1183" s="247">
        <v>2</v>
      </c>
      <c r="L1183" s="249" t="s">
        <v>936</v>
      </c>
      <c r="M1183" s="249" t="s">
        <v>929</v>
      </c>
      <c r="N1183" s="248">
        <v>-263769.51</v>
      </c>
      <c r="O1183" s="248">
        <v>-1046950.83</v>
      </c>
      <c r="P1183" s="247" t="s">
        <v>1278</v>
      </c>
      <c r="Q1183" s="247" t="s">
        <v>90</v>
      </c>
    </row>
    <row r="1184" spans="1:17" x14ac:dyDescent="0.25">
      <c r="A1184" s="247" t="s">
        <v>646</v>
      </c>
      <c r="B1184" s="247" t="s">
        <v>25</v>
      </c>
      <c r="C1184" s="247" t="s">
        <v>987</v>
      </c>
      <c r="D1184" s="247" t="s">
        <v>926</v>
      </c>
      <c r="E1184" s="247" t="s">
        <v>571</v>
      </c>
      <c r="F1184" s="247" t="s">
        <v>1966</v>
      </c>
      <c r="G1184" s="247" t="s">
        <v>1277</v>
      </c>
      <c r="H1184" s="247"/>
      <c r="I1184" s="247" t="s">
        <v>1967</v>
      </c>
      <c r="J1184" s="247">
        <v>6</v>
      </c>
      <c r="K1184" s="247">
        <v>2</v>
      </c>
      <c r="L1184" s="249" t="s">
        <v>937</v>
      </c>
      <c r="M1184" s="249" t="s">
        <v>929</v>
      </c>
      <c r="N1184" s="248">
        <v>-267455.21999999997</v>
      </c>
      <c r="O1184" s="248">
        <v>-1314406.05</v>
      </c>
      <c r="P1184" s="247" t="s">
        <v>1278</v>
      </c>
      <c r="Q1184" s="247" t="s">
        <v>91</v>
      </c>
    </row>
    <row r="1185" spans="1:17" x14ac:dyDescent="0.25">
      <c r="A1185" s="247" t="s">
        <v>646</v>
      </c>
      <c r="B1185" s="247" t="s">
        <v>25</v>
      </c>
      <c r="C1185" s="247" t="s">
        <v>987</v>
      </c>
      <c r="D1185" s="247" t="s">
        <v>926</v>
      </c>
      <c r="E1185" s="247" t="s">
        <v>571</v>
      </c>
      <c r="F1185" s="247" t="s">
        <v>1966</v>
      </c>
      <c r="G1185" s="247" t="s">
        <v>1277</v>
      </c>
      <c r="H1185" s="247"/>
      <c r="I1185" s="247" t="s">
        <v>1967</v>
      </c>
      <c r="J1185" s="247">
        <v>6</v>
      </c>
      <c r="K1185" s="247">
        <v>2</v>
      </c>
      <c r="L1185" s="249" t="s">
        <v>938</v>
      </c>
      <c r="M1185" s="249" t="s">
        <v>929</v>
      </c>
      <c r="N1185" s="248">
        <v>-268786.95</v>
      </c>
      <c r="O1185" s="248">
        <v>-1583193</v>
      </c>
      <c r="P1185" s="247" t="s">
        <v>1278</v>
      </c>
      <c r="Q1185" s="247" t="s">
        <v>92</v>
      </c>
    </row>
    <row r="1186" spans="1:17" x14ac:dyDescent="0.25">
      <c r="A1186" s="247" t="s">
        <v>646</v>
      </c>
      <c r="B1186" s="247" t="s">
        <v>25</v>
      </c>
      <c r="C1186" s="247" t="s">
        <v>987</v>
      </c>
      <c r="D1186" s="247" t="s">
        <v>926</v>
      </c>
      <c r="E1186" s="247" t="s">
        <v>571</v>
      </c>
      <c r="F1186" s="247" t="s">
        <v>1966</v>
      </c>
      <c r="G1186" s="247" t="s">
        <v>1277</v>
      </c>
      <c r="H1186" s="247"/>
      <c r="I1186" s="247" t="s">
        <v>1967</v>
      </c>
      <c r="J1186" s="247">
        <v>6</v>
      </c>
      <c r="K1186" s="247">
        <v>2</v>
      </c>
      <c r="L1186" s="249" t="s">
        <v>939</v>
      </c>
      <c r="M1186" s="249" t="s">
        <v>929</v>
      </c>
      <c r="N1186" s="248">
        <v>-292627.15999999997</v>
      </c>
      <c r="O1186" s="248">
        <v>-1875820.16</v>
      </c>
      <c r="P1186" s="247" t="s">
        <v>1278</v>
      </c>
      <c r="Q1186" s="247" t="s">
        <v>93</v>
      </c>
    </row>
    <row r="1187" spans="1:17" x14ac:dyDescent="0.25">
      <c r="A1187" s="247" t="s">
        <v>646</v>
      </c>
      <c r="B1187" s="247" t="s">
        <v>25</v>
      </c>
      <c r="C1187" s="247" t="s">
        <v>987</v>
      </c>
      <c r="D1187" s="247" t="s">
        <v>926</v>
      </c>
      <c r="E1187" s="247" t="s">
        <v>571</v>
      </c>
      <c r="F1187" s="247" t="s">
        <v>1966</v>
      </c>
      <c r="G1187" s="247" t="s">
        <v>1277</v>
      </c>
      <c r="H1187" s="247"/>
      <c r="I1187" s="247" t="s">
        <v>1967</v>
      </c>
      <c r="J1187" s="247">
        <v>6</v>
      </c>
      <c r="K1187" s="247">
        <v>2</v>
      </c>
      <c r="L1187" s="249" t="s">
        <v>940</v>
      </c>
      <c r="M1187" s="249" t="s">
        <v>929</v>
      </c>
      <c r="N1187" s="248">
        <v>-268707.89</v>
      </c>
      <c r="O1187" s="248">
        <v>-2144528.0499999998</v>
      </c>
      <c r="P1187" s="247" t="s">
        <v>1278</v>
      </c>
      <c r="Q1187" s="247" t="s">
        <v>94</v>
      </c>
    </row>
    <row r="1188" spans="1:17" x14ac:dyDescent="0.25">
      <c r="A1188" s="247" t="s">
        <v>646</v>
      </c>
      <c r="B1188" s="247" t="s">
        <v>25</v>
      </c>
      <c r="C1188" s="247" t="s">
        <v>987</v>
      </c>
      <c r="D1188" s="247" t="s">
        <v>926</v>
      </c>
      <c r="E1188" s="247" t="s">
        <v>571</v>
      </c>
      <c r="F1188" s="247" t="s">
        <v>1966</v>
      </c>
      <c r="G1188" s="247" t="s">
        <v>1277</v>
      </c>
      <c r="H1188" s="247"/>
      <c r="I1188" s="247" t="s">
        <v>1967</v>
      </c>
      <c r="J1188" s="247">
        <v>6</v>
      </c>
      <c r="K1188" s="247">
        <v>2</v>
      </c>
      <c r="L1188" s="249" t="s">
        <v>642</v>
      </c>
      <c r="M1188" s="249" t="s">
        <v>929</v>
      </c>
      <c r="N1188" s="248">
        <v>-265698.63</v>
      </c>
      <c r="O1188" s="248">
        <v>-2410226.6800000002</v>
      </c>
      <c r="P1188" s="247" t="s">
        <v>1278</v>
      </c>
      <c r="Q1188" s="247" t="s">
        <v>95</v>
      </c>
    </row>
    <row r="1189" spans="1:17" x14ac:dyDescent="0.25">
      <c r="A1189" s="247" t="s">
        <v>646</v>
      </c>
      <c r="B1189" s="247" t="s">
        <v>25</v>
      </c>
      <c r="C1189" s="247" t="s">
        <v>987</v>
      </c>
      <c r="D1189" s="247" t="s">
        <v>926</v>
      </c>
      <c r="E1189" s="247" t="s">
        <v>711</v>
      </c>
      <c r="F1189" s="247" t="s">
        <v>1968</v>
      </c>
      <c r="G1189" s="247" t="s">
        <v>1279</v>
      </c>
      <c r="H1189" s="247"/>
      <c r="I1189" s="247" t="s">
        <v>1969</v>
      </c>
      <c r="J1189" s="247">
        <v>6</v>
      </c>
      <c r="K1189" s="247">
        <v>1</v>
      </c>
      <c r="L1189" s="249" t="s">
        <v>650</v>
      </c>
      <c r="M1189" s="249" t="s">
        <v>933</v>
      </c>
      <c r="N1189" s="248">
        <v>0</v>
      </c>
      <c r="O1189" s="248">
        <v>-1983285.15</v>
      </c>
      <c r="P1189" s="247" t="s">
        <v>1280</v>
      </c>
      <c r="Q1189" s="247" t="s">
        <v>85</v>
      </c>
    </row>
    <row r="1190" spans="1:17" x14ac:dyDescent="0.25">
      <c r="A1190" s="247" t="s">
        <v>646</v>
      </c>
      <c r="B1190" s="247" t="s">
        <v>25</v>
      </c>
      <c r="C1190" s="247" t="s">
        <v>987</v>
      </c>
      <c r="D1190" s="247" t="s">
        <v>926</v>
      </c>
      <c r="E1190" s="247" t="s">
        <v>711</v>
      </c>
      <c r="F1190" s="247" t="s">
        <v>1968</v>
      </c>
      <c r="G1190" s="247" t="s">
        <v>1279</v>
      </c>
      <c r="H1190" s="247"/>
      <c r="I1190" s="247" t="s">
        <v>1969</v>
      </c>
      <c r="J1190" s="247">
        <v>6</v>
      </c>
      <c r="K1190" s="247">
        <v>1</v>
      </c>
      <c r="L1190" s="249" t="s">
        <v>652</v>
      </c>
      <c r="M1190" s="249" t="s">
        <v>933</v>
      </c>
      <c r="N1190" s="248">
        <v>0</v>
      </c>
      <c r="O1190" s="248">
        <v>-1983285.15</v>
      </c>
      <c r="P1190" s="247" t="s">
        <v>1280</v>
      </c>
      <c r="Q1190" s="247" t="s">
        <v>86</v>
      </c>
    </row>
    <row r="1191" spans="1:17" x14ac:dyDescent="0.25">
      <c r="A1191" s="247" t="s">
        <v>646</v>
      </c>
      <c r="B1191" s="247" t="s">
        <v>25</v>
      </c>
      <c r="C1191" s="247" t="s">
        <v>987</v>
      </c>
      <c r="D1191" s="247" t="s">
        <v>926</v>
      </c>
      <c r="E1191" s="247" t="s">
        <v>717</v>
      </c>
      <c r="F1191" s="247" t="s">
        <v>1970</v>
      </c>
      <c r="G1191" s="247" t="s">
        <v>1281</v>
      </c>
      <c r="H1191" s="247"/>
      <c r="I1191" s="247" t="s">
        <v>1971</v>
      </c>
      <c r="J1191" s="247">
        <v>6</v>
      </c>
      <c r="K1191" s="247">
        <v>1</v>
      </c>
      <c r="L1191" s="249" t="s">
        <v>646</v>
      </c>
      <c r="M1191" s="249" t="s">
        <v>933</v>
      </c>
      <c r="N1191" s="248">
        <v>-268577.55</v>
      </c>
      <c r="O1191" s="248">
        <v>-556124.9</v>
      </c>
      <c r="P1191" s="247" t="s">
        <v>1282</v>
      </c>
      <c r="Q1191" s="247" t="s">
        <v>84</v>
      </c>
    </row>
    <row r="1192" spans="1:17" x14ac:dyDescent="0.25">
      <c r="A1192" s="247" t="s">
        <v>646</v>
      </c>
      <c r="B1192" s="247" t="s">
        <v>25</v>
      </c>
      <c r="C1192" s="247" t="s">
        <v>987</v>
      </c>
      <c r="D1192" s="247" t="s">
        <v>926</v>
      </c>
      <c r="E1192" s="247" t="s">
        <v>717</v>
      </c>
      <c r="F1192" s="247" t="s">
        <v>1970</v>
      </c>
      <c r="G1192" s="247" t="s">
        <v>1281</v>
      </c>
      <c r="H1192" s="247"/>
      <c r="I1192" s="247" t="s">
        <v>1971</v>
      </c>
      <c r="J1192" s="247">
        <v>6</v>
      </c>
      <c r="K1192" s="247">
        <v>1</v>
      </c>
      <c r="L1192" s="249" t="s">
        <v>650</v>
      </c>
      <c r="M1192" s="249" t="s">
        <v>933</v>
      </c>
      <c r="N1192" s="248">
        <v>-264041.43</v>
      </c>
      <c r="O1192" s="248">
        <v>-820166.33</v>
      </c>
      <c r="P1192" s="247" t="s">
        <v>1282</v>
      </c>
      <c r="Q1192" s="247" t="s">
        <v>85</v>
      </c>
    </row>
    <row r="1193" spans="1:17" x14ac:dyDescent="0.25">
      <c r="A1193" s="247" t="s">
        <v>646</v>
      </c>
      <c r="B1193" s="247" t="s">
        <v>25</v>
      </c>
      <c r="C1193" s="247" t="s">
        <v>987</v>
      </c>
      <c r="D1193" s="247" t="s">
        <v>926</v>
      </c>
      <c r="E1193" s="247" t="s">
        <v>717</v>
      </c>
      <c r="F1193" s="247" t="s">
        <v>1970</v>
      </c>
      <c r="G1193" s="247" t="s">
        <v>1281</v>
      </c>
      <c r="H1193" s="247"/>
      <c r="I1193" s="247" t="s">
        <v>1971</v>
      </c>
      <c r="J1193" s="247">
        <v>6</v>
      </c>
      <c r="K1193" s="247">
        <v>1</v>
      </c>
      <c r="L1193" s="249" t="s">
        <v>652</v>
      </c>
      <c r="M1193" s="249" t="s">
        <v>933</v>
      </c>
      <c r="N1193" s="248">
        <v>-353218.85</v>
      </c>
      <c r="O1193" s="248">
        <v>-1173385.18</v>
      </c>
      <c r="P1193" s="247" t="s">
        <v>1282</v>
      </c>
      <c r="Q1193" s="247" t="s">
        <v>86</v>
      </c>
    </row>
    <row r="1194" spans="1:17" x14ac:dyDescent="0.25">
      <c r="A1194" s="247" t="s">
        <v>646</v>
      </c>
      <c r="B1194" s="247" t="s">
        <v>25</v>
      </c>
      <c r="C1194" s="247" t="s">
        <v>987</v>
      </c>
      <c r="D1194" s="247" t="s">
        <v>926</v>
      </c>
      <c r="E1194" s="247" t="s">
        <v>717</v>
      </c>
      <c r="F1194" s="247" t="s">
        <v>1970</v>
      </c>
      <c r="G1194" s="247" t="s">
        <v>1281</v>
      </c>
      <c r="H1194" s="247"/>
      <c r="I1194" s="247" t="s">
        <v>1971</v>
      </c>
      <c r="J1194" s="247">
        <v>6</v>
      </c>
      <c r="K1194" s="247">
        <v>1</v>
      </c>
      <c r="L1194" s="249" t="s">
        <v>789</v>
      </c>
      <c r="M1194" s="249" t="s">
        <v>929</v>
      </c>
      <c r="N1194" s="248">
        <v>-340617.84</v>
      </c>
      <c r="O1194" s="248">
        <v>-340617.84</v>
      </c>
      <c r="P1194" s="247" t="s">
        <v>1282</v>
      </c>
      <c r="Q1194" s="247" t="s">
        <v>87</v>
      </c>
    </row>
    <row r="1195" spans="1:17" x14ac:dyDescent="0.25">
      <c r="A1195" s="247" t="s">
        <v>646</v>
      </c>
      <c r="B1195" s="247" t="s">
        <v>25</v>
      </c>
      <c r="C1195" s="247" t="s">
        <v>987</v>
      </c>
      <c r="D1195" s="247" t="s">
        <v>926</v>
      </c>
      <c r="E1195" s="247" t="s">
        <v>717</v>
      </c>
      <c r="F1195" s="247" t="s">
        <v>1970</v>
      </c>
      <c r="G1195" s="247" t="s">
        <v>1281</v>
      </c>
      <c r="H1195" s="247"/>
      <c r="I1195" s="247" t="s">
        <v>1971</v>
      </c>
      <c r="J1195" s="247">
        <v>6</v>
      </c>
      <c r="K1195" s="247">
        <v>1</v>
      </c>
      <c r="L1195" s="249" t="s">
        <v>791</v>
      </c>
      <c r="M1195" s="249" t="s">
        <v>929</v>
      </c>
      <c r="N1195" s="248">
        <v>-320719.96000000002</v>
      </c>
      <c r="O1195" s="248">
        <v>-661337.80000000005</v>
      </c>
      <c r="P1195" s="247" t="s">
        <v>1282</v>
      </c>
      <c r="Q1195" s="247" t="s">
        <v>88</v>
      </c>
    </row>
    <row r="1196" spans="1:17" x14ac:dyDescent="0.25">
      <c r="A1196" s="247" t="s">
        <v>646</v>
      </c>
      <c r="B1196" s="247" t="s">
        <v>25</v>
      </c>
      <c r="C1196" s="247" t="s">
        <v>987</v>
      </c>
      <c r="D1196" s="247" t="s">
        <v>926</v>
      </c>
      <c r="E1196" s="247" t="s">
        <v>717</v>
      </c>
      <c r="F1196" s="247" t="s">
        <v>1970</v>
      </c>
      <c r="G1196" s="247" t="s">
        <v>1281</v>
      </c>
      <c r="H1196" s="247"/>
      <c r="I1196" s="247" t="s">
        <v>1971</v>
      </c>
      <c r="J1196" s="247">
        <v>6</v>
      </c>
      <c r="K1196" s="247">
        <v>1</v>
      </c>
      <c r="L1196" s="249" t="s">
        <v>935</v>
      </c>
      <c r="M1196" s="249" t="s">
        <v>929</v>
      </c>
      <c r="N1196" s="248">
        <v>-365847.35</v>
      </c>
      <c r="O1196" s="248">
        <v>-1027185.15</v>
      </c>
      <c r="P1196" s="247" t="s">
        <v>1282</v>
      </c>
      <c r="Q1196" s="247" t="s">
        <v>89</v>
      </c>
    </row>
    <row r="1197" spans="1:17" x14ac:dyDescent="0.25">
      <c r="A1197" s="247" t="s">
        <v>646</v>
      </c>
      <c r="B1197" s="247" t="s">
        <v>25</v>
      </c>
      <c r="C1197" s="247" t="s">
        <v>987</v>
      </c>
      <c r="D1197" s="247" t="s">
        <v>926</v>
      </c>
      <c r="E1197" s="247" t="s">
        <v>717</v>
      </c>
      <c r="F1197" s="247" t="s">
        <v>1970</v>
      </c>
      <c r="G1197" s="247" t="s">
        <v>1281</v>
      </c>
      <c r="H1197" s="247"/>
      <c r="I1197" s="247" t="s">
        <v>1971</v>
      </c>
      <c r="J1197" s="247">
        <v>6</v>
      </c>
      <c r="K1197" s="247">
        <v>1</v>
      </c>
      <c r="L1197" s="249" t="s">
        <v>936</v>
      </c>
      <c r="M1197" s="249" t="s">
        <v>929</v>
      </c>
      <c r="N1197" s="248">
        <v>-337633.47</v>
      </c>
      <c r="O1197" s="248">
        <v>-1364818.62</v>
      </c>
      <c r="P1197" s="247" t="s">
        <v>1282</v>
      </c>
      <c r="Q1197" s="247" t="s">
        <v>90</v>
      </c>
    </row>
    <row r="1198" spans="1:17" x14ac:dyDescent="0.25">
      <c r="A1198" s="247" t="s">
        <v>646</v>
      </c>
      <c r="B1198" s="247" t="s">
        <v>25</v>
      </c>
      <c r="C1198" s="247" t="s">
        <v>987</v>
      </c>
      <c r="D1198" s="247" t="s">
        <v>926</v>
      </c>
      <c r="E1198" s="247" t="s">
        <v>717</v>
      </c>
      <c r="F1198" s="247" t="s">
        <v>1970</v>
      </c>
      <c r="G1198" s="247" t="s">
        <v>1281</v>
      </c>
      <c r="H1198" s="247"/>
      <c r="I1198" s="247" t="s">
        <v>1971</v>
      </c>
      <c r="J1198" s="247">
        <v>6</v>
      </c>
      <c r="K1198" s="247">
        <v>1</v>
      </c>
      <c r="L1198" s="249" t="s">
        <v>937</v>
      </c>
      <c r="M1198" s="249" t="s">
        <v>929</v>
      </c>
      <c r="N1198" s="248">
        <v>-356793.29</v>
      </c>
      <c r="O1198" s="248">
        <v>-1721611.91</v>
      </c>
      <c r="P1198" s="247" t="s">
        <v>1282</v>
      </c>
      <c r="Q1198" s="247" t="s">
        <v>91</v>
      </c>
    </row>
    <row r="1199" spans="1:17" x14ac:dyDescent="0.25">
      <c r="A1199" s="247" t="s">
        <v>646</v>
      </c>
      <c r="B1199" s="247" t="s">
        <v>25</v>
      </c>
      <c r="C1199" s="247" t="s">
        <v>987</v>
      </c>
      <c r="D1199" s="247" t="s">
        <v>926</v>
      </c>
      <c r="E1199" s="247" t="s">
        <v>717</v>
      </c>
      <c r="F1199" s="247" t="s">
        <v>1970</v>
      </c>
      <c r="G1199" s="247" t="s">
        <v>1281</v>
      </c>
      <c r="H1199" s="247"/>
      <c r="I1199" s="247" t="s">
        <v>1971</v>
      </c>
      <c r="J1199" s="247">
        <v>6</v>
      </c>
      <c r="K1199" s="247">
        <v>1</v>
      </c>
      <c r="L1199" s="249" t="s">
        <v>938</v>
      </c>
      <c r="M1199" s="249" t="s">
        <v>929</v>
      </c>
      <c r="N1199" s="248">
        <v>-338707.48</v>
      </c>
      <c r="O1199" s="248">
        <v>-2060319.39</v>
      </c>
      <c r="P1199" s="247" t="s">
        <v>1282</v>
      </c>
      <c r="Q1199" s="247" t="s">
        <v>92</v>
      </c>
    </row>
    <row r="1200" spans="1:17" x14ac:dyDescent="0.25">
      <c r="A1200" s="247" t="s">
        <v>646</v>
      </c>
      <c r="B1200" s="247" t="s">
        <v>25</v>
      </c>
      <c r="C1200" s="247" t="s">
        <v>987</v>
      </c>
      <c r="D1200" s="247" t="s">
        <v>926</v>
      </c>
      <c r="E1200" s="247" t="s">
        <v>717</v>
      </c>
      <c r="F1200" s="247" t="s">
        <v>1970</v>
      </c>
      <c r="G1200" s="247" t="s">
        <v>1281</v>
      </c>
      <c r="H1200" s="247"/>
      <c r="I1200" s="247" t="s">
        <v>1971</v>
      </c>
      <c r="J1200" s="247">
        <v>6</v>
      </c>
      <c r="K1200" s="247">
        <v>1</v>
      </c>
      <c r="L1200" s="249" t="s">
        <v>939</v>
      </c>
      <c r="M1200" s="249" t="s">
        <v>929</v>
      </c>
      <c r="N1200" s="248">
        <v>-350082.26</v>
      </c>
      <c r="O1200" s="248">
        <v>-2410401.65</v>
      </c>
      <c r="P1200" s="247" t="s">
        <v>1282</v>
      </c>
      <c r="Q1200" s="247" t="s">
        <v>93</v>
      </c>
    </row>
    <row r="1201" spans="1:17" x14ac:dyDescent="0.25">
      <c r="A1201" s="247" t="s">
        <v>646</v>
      </c>
      <c r="B1201" s="247" t="s">
        <v>25</v>
      </c>
      <c r="C1201" s="247" t="s">
        <v>987</v>
      </c>
      <c r="D1201" s="247" t="s">
        <v>926</v>
      </c>
      <c r="E1201" s="247" t="s">
        <v>717</v>
      </c>
      <c r="F1201" s="247" t="s">
        <v>1970</v>
      </c>
      <c r="G1201" s="247" t="s">
        <v>1281</v>
      </c>
      <c r="H1201" s="247"/>
      <c r="I1201" s="247" t="s">
        <v>1971</v>
      </c>
      <c r="J1201" s="247">
        <v>6</v>
      </c>
      <c r="K1201" s="247">
        <v>1</v>
      </c>
      <c r="L1201" s="249" t="s">
        <v>940</v>
      </c>
      <c r="M1201" s="249" t="s">
        <v>929</v>
      </c>
      <c r="N1201" s="248">
        <v>-339452.72</v>
      </c>
      <c r="O1201" s="248">
        <v>-2749854.37</v>
      </c>
      <c r="P1201" s="247" t="s">
        <v>1282</v>
      </c>
      <c r="Q1201" s="247" t="s">
        <v>94</v>
      </c>
    </row>
    <row r="1202" spans="1:17" x14ac:dyDescent="0.25">
      <c r="A1202" s="247" t="s">
        <v>646</v>
      </c>
      <c r="B1202" s="247" t="s">
        <v>25</v>
      </c>
      <c r="C1202" s="247" t="s">
        <v>987</v>
      </c>
      <c r="D1202" s="247" t="s">
        <v>926</v>
      </c>
      <c r="E1202" s="247" t="s">
        <v>717</v>
      </c>
      <c r="F1202" s="247" t="s">
        <v>1970</v>
      </c>
      <c r="G1202" s="247" t="s">
        <v>1281</v>
      </c>
      <c r="H1202" s="247"/>
      <c r="I1202" s="247" t="s">
        <v>1971</v>
      </c>
      <c r="J1202" s="247">
        <v>6</v>
      </c>
      <c r="K1202" s="247">
        <v>1</v>
      </c>
      <c r="L1202" s="249" t="s">
        <v>642</v>
      </c>
      <c r="M1202" s="249" t="s">
        <v>929</v>
      </c>
      <c r="N1202" s="248">
        <v>-368067.39</v>
      </c>
      <c r="O1202" s="248">
        <v>-3117921.76</v>
      </c>
      <c r="P1202" s="247" t="s">
        <v>1282</v>
      </c>
      <c r="Q1202" s="247" t="s">
        <v>95</v>
      </c>
    </row>
    <row r="1203" spans="1:17" x14ac:dyDescent="0.25">
      <c r="A1203" s="247" t="s">
        <v>646</v>
      </c>
      <c r="B1203" s="247" t="s">
        <v>25</v>
      </c>
      <c r="C1203" s="247" t="s">
        <v>987</v>
      </c>
      <c r="D1203" s="247" t="s">
        <v>926</v>
      </c>
      <c r="E1203" s="247">
        <v>101</v>
      </c>
      <c r="F1203" s="247" t="s">
        <v>1970</v>
      </c>
      <c r="G1203" s="247" t="s">
        <v>1279</v>
      </c>
      <c r="H1203" s="247"/>
      <c r="I1203" s="247" t="s">
        <v>1972</v>
      </c>
      <c r="J1203" s="247">
        <v>6</v>
      </c>
      <c r="K1203" s="247">
        <v>1</v>
      </c>
      <c r="L1203" s="249" t="s">
        <v>646</v>
      </c>
      <c r="M1203" s="249" t="s">
        <v>933</v>
      </c>
      <c r="N1203" s="248">
        <v>1575.39</v>
      </c>
      <c r="O1203" s="248">
        <v>-1983285.15</v>
      </c>
      <c r="P1203" s="247" t="s">
        <v>1280</v>
      </c>
      <c r="Q1203" s="247" t="s">
        <v>84</v>
      </c>
    </row>
    <row r="1204" spans="1:17" x14ac:dyDescent="0.25">
      <c r="A1204" s="247" t="s">
        <v>646</v>
      </c>
      <c r="B1204" s="247" t="s">
        <v>25</v>
      </c>
      <c r="C1204" s="247" t="s">
        <v>987</v>
      </c>
      <c r="D1204" s="247" t="s">
        <v>926</v>
      </c>
      <c r="E1204" s="247" t="s">
        <v>571</v>
      </c>
      <c r="F1204" s="247" t="s">
        <v>1966</v>
      </c>
      <c r="G1204" s="247" t="s">
        <v>1269</v>
      </c>
      <c r="H1204" s="247"/>
      <c r="I1204" s="247" t="s">
        <v>1973</v>
      </c>
      <c r="J1204" s="247">
        <v>6</v>
      </c>
      <c r="K1204" s="247">
        <v>2</v>
      </c>
      <c r="L1204" s="249" t="s">
        <v>789</v>
      </c>
      <c r="M1204" s="249" t="s">
        <v>929</v>
      </c>
      <c r="N1204" s="248">
        <v>-66.09</v>
      </c>
      <c r="O1204" s="248">
        <v>-66.09</v>
      </c>
      <c r="P1204" s="247" t="s">
        <v>1270</v>
      </c>
      <c r="Q1204" s="247" t="s">
        <v>87</v>
      </c>
    </row>
    <row r="1205" spans="1:17" x14ac:dyDescent="0.25">
      <c r="A1205" s="247" t="s">
        <v>646</v>
      </c>
      <c r="B1205" s="247" t="s">
        <v>265</v>
      </c>
      <c r="C1205" s="247" t="s">
        <v>1283</v>
      </c>
      <c r="D1205" s="247" t="s">
        <v>711</v>
      </c>
      <c r="E1205" s="247" t="s">
        <v>1284</v>
      </c>
      <c r="F1205" s="247" t="s">
        <v>1974</v>
      </c>
      <c r="G1205" s="247" t="s">
        <v>1285</v>
      </c>
      <c r="H1205" s="247" t="s">
        <v>1975</v>
      </c>
      <c r="I1205" s="247" t="s">
        <v>1976</v>
      </c>
      <c r="J1205" s="247">
        <v>49</v>
      </c>
      <c r="K1205" s="247">
        <v>49</v>
      </c>
      <c r="L1205" s="249" t="s">
        <v>646</v>
      </c>
      <c r="M1205" s="249" t="s">
        <v>933</v>
      </c>
      <c r="N1205" s="248">
        <v>4832.45</v>
      </c>
      <c r="O1205" s="248">
        <v>78642.11</v>
      </c>
      <c r="P1205" s="247" t="s">
        <v>1286</v>
      </c>
      <c r="Q1205" s="247" t="s">
        <v>84</v>
      </c>
    </row>
    <row r="1206" spans="1:17" x14ac:dyDescent="0.25">
      <c r="A1206" s="247" t="s">
        <v>646</v>
      </c>
      <c r="B1206" s="247" t="s">
        <v>265</v>
      </c>
      <c r="C1206" s="247" t="s">
        <v>1283</v>
      </c>
      <c r="D1206" s="247" t="s">
        <v>711</v>
      </c>
      <c r="E1206" s="247" t="s">
        <v>1284</v>
      </c>
      <c r="F1206" s="247" t="s">
        <v>1974</v>
      </c>
      <c r="G1206" s="247" t="s">
        <v>1285</v>
      </c>
      <c r="H1206" s="247" t="s">
        <v>1975</v>
      </c>
      <c r="I1206" s="247" t="s">
        <v>1976</v>
      </c>
      <c r="J1206" s="247">
        <v>49</v>
      </c>
      <c r="K1206" s="247">
        <v>49</v>
      </c>
      <c r="L1206" s="249" t="s">
        <v>650</v>
      </c>
      <c r="M1206" s="249" t="s">
        <v>933</v>
      </c>
      <c r="N1206" s="248">
        <v>4704.92</v>
      </c>
      <c r="O1206" s="248">
        <v>83347.03</v>
      </c>
      <c r="P1206" s="247" t="s">
        <v>1286</v>
      </c>
      <c r="Q1206" s="247" t="s">
        <v>85</v>
      </c>
    </row>
    <row r="1207" spans="1:17" x14ac:dyDescent="0.25">
      <c r="A1207" s="247" t="s">
        <v>646</v>
      </c>
      <c r="B1207" s="247" t="s">
        <v>265</v>
      </c>
      <c r="C1207" s="247" t="s">
        <v>1283</v>
      </c>
      <c r="D1207" s="247" t="s">
        <v>711</v>
      </c>
      <c r="E1207" s="247" t="s">
        <v>1284</v>
      </c>
      <c r="F1207" s="247" t="s">
        <v>1974</v>
      </c>
      <c r="G1207" s="247" t="s">
        <v>1285</v>
      </c>
      <c r="H1207" s="247" t="s">
        <v>1975</v>
      </c>
      <c r="I1207" s="247" t="s">
        <v>1976</v>
      </c>
      <c r="J1207" s="247">
        <v>49</v>
      </c>
      <c r="K1207" s="247">
        <v>49</v>
      </c>
      <c r="L1207" s="249" t="s">
        <v>652</v>
      </c>
      <c r="M1207" s="249" t="s">
        <v>933</v>
      </c>
      <c r="N1207" s="248">
        <v>4481.3999999999996</v>
      </c>
      <c r="O1207" s="248">
        <v>87828.43</v>
      </c>
      <c r="P1207" s="247" t="s">
        <v>1286</v>
      </c>
      <c r="Q1207" s="247" t="s">
        <v>86</v>
      </c>
    </row>
    <row r="1208" spans="1:17" x14ac:dyDescent="0.25">
      <c r="A1208" s="247" t="s">
        <v>646</v>
      </c>
      <c r="B1208" s="247" t="s">
        <v>265</v>
      </c>
      <c r="C1208" s="247" t="s">
        <v>1283</v>
      </c>
      <c r="D1208" s="247" t="s">
        <v>711</v>
      </c>
      <c r="E1208" s="247" t="s">
        <v>1284</v>
      </c>
      <c r="F1208" s="247" t="s">
        <v>1974</v>
      </c>
      <c r="G1208" s="247" t="s">
        <v>1285</v>
      </c>
      <c r="H1208" s="247" t="s">
        <v>1975</v>
      </c>
      <c r="I1208" s="247" t="s">
        <v>1976</v>
      </c>
      <c r="J1208" s="247">
        <v>49</v>
      </c>
      <c r="K1208" s="247">
        <v>49</v>
      </c>
      <c r="L1208" s="249" t="s">
        <v>789</v>
      </c>
      <c r="M1208" s="249" t="s">
        <v>929</v>
      </c>
      <c r="N1208" s="248">
        <v>7581.95</v>
      </c>
      <c r="O1208" s="248">
        <v>7581.95</v>
      </c>
      <c r="P1208" s="247" t="s">
        <v>1286</v>
      </c>
      <c r="Q1208" s="247" t="s">
        <v>87</v>
      </c>
    </row>
    <row r="1209" spans="1:17" x14ac:dyDescent="0.25">
      <c r="A1209" s="247" t="s">
        <v>646</v>
      </c>
      <c r="B1209" s="247" t="s">
        <v>265</v>
      </c>
      <c r="C1209" s="247" t="s">
        <v>1283</v>
      </c>
      <c r="D1209" s="247" t="s">
        <v>711</v>
      </c>
      <c r="E1209" s="247" t="s">
        <v>1284</v>
      </c>
      <c r="F1209" s="247" t="s">
        <v>1974</v>
      </c>
      <c r="G1209" s="247" t="s">
        <v>1285</v>
      </c>
      <c r="H1209" s="247" t="s">
        <v>1975</v>
      </c>
      <c r="I1209" s="247" t="s">
        <v>1976</v>
      </c>
      <c r="J1209" s="247">
        <v>49</v>
      </c>
      <c r="K1209" s="247">
        <v>49</v>
      </c>
      <c r="L1209" s="249" t="s">
        <v>791</v>
      </c>
      <c r="M1209" s="249" t="s">
        <v>929</v>
      </c>
      <c r="N1209" s="248">
        <v>9722.52</v>
      </c>
      <c r="O1209" s="248">
        <v>17304.47</v>
      </c>
      <c r="P1209" s="247" t="s">
        <v>1286</v>
      </c>
      <c r="Q1209" s="247" t="s">
        <v>88</v>
      </c>
    </row>
    <row r="1210" spans="1:17" x14ac:dyDescent="0.25">
      <c r="A1210" s="247" t="s">
        <v>646</v>
      </c>
      <c r="B1210" s="247" t="s">
        <v>265</v>
      </c>
      <c r="C1210" s="247" t="s">
        <v>1283</v>
      </c>
      <c r="D1210" s="247" t="s">
        <v>711</v>
      </c>
      <c r="E1210" s="247" t="s">
        <v>1284</v>
      </c>
      <c r="F1210" s="247" t="s">
        <v>1974</v>
      </c>
      <c r="G1210" s="247" t="s">
        <v>1285</v>
      </c>
      <c r="H1210" s="247" t="s">
        <v>1975</v>
      </c>
      <c r="I1210" s="247" t="s">
        <v>1976</v>
      </c>
      <c r="J1210" s="247">
        <v>49</v>
      </c>
      <c r="K1210" s="247">
        <v>49</v>
      </c>
      <c r="L1210" s="249" t="s">
        <v>935</v>
      </c>
      <c r="M1210" s="249" t="s">
        <v>929</v>
      </c>
      <c r="N1210" s="248">
        <v>9968.98</v>
      </c>
      <c r="O1210" s="248">
        <v>27273.45</v>
      </c>
      <c r="P1210" s="247" t="s">
        <v>1286</v>
      </c>
      <c r="Q1210" s="247" t="s">
        <v>89</v>
      </c>
    </row>
    <row r="1211" spans="1:17" x14ac:dyDescent="0.25">
      <c r="A1211" s="247" t="s">
        <v>646</v>
      </c>
      <c r="B1211" s="247" t="s">
        <v>265</v>
      </c>
      <c r="C1211" s="247" t="s">
        <v>1283</v>
      </c>
      <c r="D1211" s="247" t="s">
        <v>711</v>
      </c>
      <c r="E1211" s="247" t="s">
        <v>1284</v>
      </c>
      <c r="F1211" s="247" t="s">
        <v>1974</v>
      </c>
      <c r="G1211" s="247" t="s">
        <v>1285</v>
      </c>
      <c r="H1211" s="247" t="s">
        <v>1975</v>
      </c>
      <c r="I1211" s="247" t="s">
        <v>1976</v>
      </c>
      <c r="J1211" s="247">
        <v>49</v>
      </c>
      <c r="K1211" s="247">
        <v>49</v>
      </c>
      <c r="L1211" s="249" t="s">
        <v>936</v>
      </c>
      <c r="M1211" s="249" t="s">
        <v>929</v>
      </c>
      <c r="N1211" s="248">
        <v>7910.52</v>
      </c>
      <c r="O1211" s="248">
        <v>35183.97</v>
      </c>
      <c r="P1211" s="247" t="s">
        <v>1286</v>
      </c>
      <c r="Q1211" s="247" t="s">
        <v>90</v>
      </c>
    </row>
    <row r="1212" spans="1:17" x14ac:dyDescent="0.25">
      <c r="A1212" s="247" t="s">
        <v>646</v>
      </c>
      <c r="B1212" s="247" t="s">
        <v>265</v>
      </c>
      <c r="C1212" s="247" t="s">
        <v>1283</v>
      </c>
      <c r="D1212" s="247" t="s">
        <v>711</v>
      </c>
      <c r="E1212" s="247" t="s">
        <v>1284</v>
      </c>
      <c r="F1212" s="247" t="s">
        <v>1974</v>
      </c>
      <c r="G1212" s="247" t="s">
        <v>1285</v>
      </c>
      <c r="H1212" s="247" t="s">
        <v>1975</v>
      </c>
      <c r="I1212" s="247" t="s">
        <v>1976</v>
      </c>
      <c r="J1212" s="247">
        <v>49</v>
      </c>
      <c r="K1212" s="247">
        <v>49</v>
      </c>
      <c r="L1212" s="249" t="s">
        <v>937</v>
      </c>
      <c r="M1212" s="249" t="s">
        <v>929</v>
      </c>
      <c r="N1212" s="248">
        <v>7078.68</v>
      </c>
      <c r="O1212" s="248">
        <v>42262.65</v>
      </c>
      <c r="P1212" s="247" t="s">
        <v>1286</v>
      </c>
      <c r="Q1212" s="247" t="s">
        <v>91</v>
      </c>
    </row>
    <row r="1213" spans="1:17" x14ac:dyDescent="0.25">
      <c r="A1213" s="247" t="s">
        <v>646</v>
      </c>
      <c r="B1213" s="247" t="s">
        <v>265</v>
      </c>
      <c r="C1213" s="247" t="s">
        <v>1283</v>
      </c>
      <c r="D1213" s="247" t="s">
        <v>711</v>
      </c>
      <c r="E1213" s="247" t="s">
        <v>1284</v>
      </c>
      <c r="F1213" s="247" t="s">
        <v>1974</v>
      </c>
      <c r="G1213" s="247" t="s">
        <v>1285</v>
      </c>
      <c r="H1213" s="247" t="s">
        <v>1975</v>
      </c>
      <c r="I1213" s="247" t="s">
        <v>1976</v>
      </c>
      <c r="J1213" s="247">
        <v>49</v>
      </c>
      <c r="K1213" s="247">
        <v>49</v>
      </c>
      <c r="L1213" s="249" t="s">
        <v>938</v>
      </c>
      <c r="M1213" s="249" t="s">
        <v>929</v>
      </c>
      <c r="N1213" s="248">
        <v>4909.3100000000004</v>
      </c>
      <c r="O1213" s="248">
        <v>47171.96</v>
      </c>
      <c r="P1213" s="247" t="s">
        <v>1286</v>
      </c>
      <c r="Q1213" s="247" t="s">
        <v>92</v>
      </c>
    </row>
    <row r="1214" spans="1:17" x14ac:dyDescent="0.25">
      <c r="A1214" s="247" t="s">
        <v>646</v>
      </c>
      <c r="B1214" s="247" t="s">
        <v>265</v>
      </c>
      <c r="C1214" s="247" t="s">
        <v>1283</v>
      </c>
      <c r="D1214" s="247" t="s">
        <v>711</v>
      </c>
      <c r="E1214" s="247" t="s">
        <v>1284</v>
      </c>
      <c r="F1214" s="247" t="s">
        <v>1974</v>
      </c>
      <c r="G1214" s="247" t="s">
        <v>1285</v>
      </c>
      <c r="H1214" s="247" t="s">
        <v>1975</v>
      </c>
      <c r="I1214" s="247" t="s">
        <v>1976</v>
      </c>
      <c r="J1214" s="247">
        <v>49</v>
      </c>
      <c r="K1214" s="247">
        <v>49</v>
      </c>
      <c r="L1214" s="249" t="s">
        <v>939</v>
      </c>
      <c r="M1214" s="249" t="s">
        <v>929</v>
      </c>
      <c r="N1214" s="248">
        <v>4587.9799999999996</v>
      </c>
      <c r="O1214" s="248">
        <v>51759.94</v>
      </c>
      <c r="P1214" s="247" t="s">
        <v>1286</v>
      </c>
      <c r="Q1214" s="247" t="s">
        <v>93</v>
      </c>
    </row>
    <row r="1215" spans="1:17" x14ac:dyDescent="0.25">
      <c r="A1215" s="247" t="s">
        <v>646</v>
      </c>
      <c r="B1215" s="247" t="s">
        <v>265</v>
      </c>
      <c r="C1215" s="247" t="s">
        <v>1283</v>
      </c>
      <c r="D1215" s="247" t="s">
        <v>711</v>
      </c>
      <c r="E1215" s="247" t="s">
        <v>1284</v>
      </c>
      <c r="F1215" s="247" t="s">
        <v>1974</v>
      </c>
      <c r="G1215" s="247" t="s">
        <v>1285</v>
      </c>
      <c r="H1215" s="247" t="s">
        <v>1975</v>
      </c>
      <c r="I1215" s="247" t="s">
        <v>1976</v>
      </c>
      <c r="J1215" s="247">
        <v>49</v>
      </c>
      <c r="K1215" s="247">
        <v>49</v>
      </c>
      <c r="L1215" s="249" t="s">
        <v>940</v>
      </c>
      <c r="M1215" s="249" t="s">
        <v>929</v>
      </c>
      <c r="N1215" s="248">
        <v>5089.59</v>
      </c>
      <c r="O1215" s="248">
        <v>56849.53</v>
      </c>
      <c r="P1215" s="247" t="s">
        <v>1286</v>
      </c>
      <c r="Q1215" s="247" t="s">
        <v>94</v>
      </c>
    </row>
    <row r="1216" spans="1:17" x14ac:dyDescent="0.25">
      <c r="A1216" s="247" t="s">
        <v>646</v>
      </c>
      <c r="B1216" s="247" t="s">
        <v>265</v>
      </c>
      <c r="C1216" s="247" t="s">
        <v>1283</v>
      </c>
      <c r="D1216" s="247" t="s">
        <v>711</v>
      </c>
      <c r="E1216" s="247" t="s">
        <v>1284</v>
      </c>
      <c r="F1216" s="247" t="s">
        <v>1974</v>
      </c>
      <c r="G1216" s="247" t="s">
        <v>1285</v>
      </c>
      <c r="H1216" s="247" t="s">
        <v>1975</v>
      </c>
      <c r="I1216" s="247" t="s">
        <v>1976</v>
      </c>
      <c r="J1216" s="247">
        <v>49</v>
      </c>
      <c r="K1216" s="247">
        <v>49</v>
      </c>
      <c r="L1216" s="249" t="s">
        <v>642</v>
      </c>
      <c r="M1216" s="249" t="s">
        <v>929</v>
      </c>
      <c r="N1216" s="248">
        <v>7972.31</v>
      </c>
      <c r="O1216" s="248">
        <v>64821.84</v>
      </c>
      <c r="P1216" s="247" t="s">
        <v>1286</v>
      </c>
      <c r="Q1216" s="247" t="s">
        <v>95</v>
      </c>
    </row>
    <row r="1217" spans="1:17" x14ac:dyDescent="0.25">
      <c r="A1217" s="247" t="s">
        <v>646</v>
      </c>
      <c r="B1217" s="247" t="s">
        <v>265</v>
      </c>
      <c r="C1217" s="247" t="s">
        <v>1283</v>
      </c>
      <c r="D1217" s="247" t="s">
        <v>569</v>
      </c>
      <c r="E1217" s="247" t="s">
        <v>1284</v>
      </c>
      <c r="F1217" s="247" t="s">
        <v>1977</v>
      </c>
      <c r="G1217" s="247" t="s">
        <v>1287</v>
      </c>
      <c r="H1217" s="247" t="s">
        <v>1975</v>
      </c>
      <c r="I1217" s="247" t="s">
        <v>1978</v>
      </c>
      <c r="J1217" s="247">
        <v>50</v>
      </c>
      <c r="K1217" s="247">
        <v>50</v>
      </c>
      <c r="L1217" s="249" t="s">
        <v>646</v>
      </c>
      <c r="M1217" s="249" t="s">
        <v>933</v>
      </c>
      <c r="N1217" s="248">
        <v>520.52</v>
      </c>
      <c r="O1217" s="248">
        <v>11428.37</v>
      </c>
      <c r="P1217" s="247" t="s">
        <v>1288</v>
      </c>
      <c r="Q1217" s="247" t="s">
        <v>84</v>
      </c>
    </row>
    <row r="1218" spans="1:17" x14ac:dyDescent="0.25">
      <c r="A1218" s="247" t="s">
        <v>646</v>
      </c>
      <c r="B1218" s="247" t="s">
        <v>265</v>
      </c>
      <c r="C1218" s="247" t="s">
        <v>1283</v>
      </c>
      <c r="D1218" s="247" t="s">
        <v>569</v>
      </c>
      <c r="E1218" s="247" t="s">
        <v>1284</v>
      </c>
      <c r="F1218" s="247" t="s">
        <v>1977</v>
      </c>
      <c r="G1218" s="247" t="s">
        <v>1287</v>
      </c>
      <c r="H1218" s="247" t="s">
        <v>1975</v>
      </c>
      <c r="I1218" s="247" t="s">
        <v>1978</v>
      </c>
      <c r="J1218" s="247">
        <v>50</v>
      </c>
      <c r="K1218" s="247">
        <v>50</v>
      </c>
      <c r="L1218" s="249" t="s">
        <v>650</v>
      </c>
      <c r="M1218" s="249" t="s">
        <v>933</v>
      </c>
      <c r="N1218" s="248">
        <v>560.20000000000005</v>
      </c>
      <c r="O1218" s="248">
        <v>11988.57</v>
      </c>
      <c r="P1218" s="247" t="s">
        <v>1288</v>
      </c>
      <c r="Q1218" s="247" t="s">
        <v>85</v>
      </c>
    </row>
    <row r="1219" spans="1:17" x14ac:dyDescent="0.25">
      <c r="A1219" s="247" t="s">
        <v>646</v>
      </c>
      <c r="B1219" s="247" t="s">
        <v>265</v>
      </c>
      <c r="C1219" s="247" t="s">
        <v>1283</v>
      </c>
      <c r="D1219" s="247" t="s">
        <v>569</v>
      </c>
      <c r="E1219" s="247" t="s">
        <v>1284</v>
      </c>
      <c r="F1219" s="247" t="s">
        <v>1977</v>
      </c>
      <c r="G1219" s="247" t="s">
        <v>1287</v>
      </c>
      <c r="H1219" s="247" t="s">
        <v>1975</v>
      </c>
      <c r="I1219" s="247" t="s">
        <v>1978</v>
      </c>
      <c r="J1219" s="247">
        <v>50</v>
      </c>
      <c r="K1219" s="247">
        <v>50</v>
      </c>
      <c r="L1219" s="249" t="s">
        <v>652</v>
      </c>
      <c r="M1219" s="249" t="s">
        <v>933</v>
      </c>
      <c r="N1219" s="248">
        <v>616.13</v>
      </c>
      <c r="O1219" s="248">
        <v>12604.7</v>
      </c>
      <c r="P1219" s="247" t="s">
        <v>1288</v>
      </c>
      <c r="Q1219" s="247" t="s">
        <v>86</v>
      </c>
    </row>
    <row r="1220" spans="1:17" x14ac:dyDescent="0.25">
      <c r="A1220" s="247" t="s">
        <v>646</v>
      </c>
      <c r="B1220" s="247" t="s">
        <v>265</v>
      </c>
      <c r="C1220" s="247" t="s">
        <v>1283</v>
      </c>
      <c r="D1220" s="247" t="s">
        <v>569</v>
      </c>
      <c r="E1220" s="247" t="s">
        <v>1284</v>
      </c>
      <c r="F1220" s="247" t="s">
        <v>1977</v>
      </c>
      <c r="G1220" s="247" t="s">
        <v>1287</v>
      </c>
      <c r="H1220" s="247" t="s">
        <v>1975</v>
      </c>
      <c r="I1220" s="247" t="s">
        <v>1978</v>
      </c>
      <c r="J1220" s="247">
        <v>50</v>
      </c>
      <c r="K1220" s="247">
        <v>50</v>
      </c>
      <c r="L1220" s="249" t="s">
        <v>789</v>
      </c>
      <c r="M1220" s="249" t="s">
        <v>929</v>
      </c>
      <c r="N1220" s="248">
        <v>747.52</v>
      </c>
      <c r="O1220" s="248">
        <v>747.52</v>
      </c>
      <c r="P1220" s="247" t="s">
        <v>1288</v>
      </c>
      <c r="Q1220" s="247" t="s">
        <v>87</v>
      </c>
    </row>
    <row r="1221" spans="1:17" x14ac:dyDescent="0.25">
      <c r="A1221" s="247" t="s">
        <v>646</v>
      </c>
      <c r="B1221" s="247" t="s">
        <v>265</v>
      </c>
      <c r="C1221" s="247" t="s">
        <v>1283</v>
      </c>
      <c r="D1221" s="247" t="s">
        <v>569</v>
      </c>
      <c r="E1221" s="247" t="s">
        <v>1284</v>
      </c>
      <c r="F1221" s="247" t="s">
        <v>1977</v>
      </c>
      <c r="G1221" s="247" t="s">
        <v>1287</v>
      </c>
      <c r="H1221" s="247" t="s">
        <v>1975</v>
      </c>
      <c r="I1221" s="247" t="s">
        <v>1978</v>
      </c>
      <c r="J1221" s="247">
        <v>50</v>
      </c>
      <c r="K1221" s="247">
        <v>50</v>
      </c>
      <c r="L1221" s="249" t="s">
        <v>791</v>
      </c>
      <c r="M1221" s="249" t="s">
        <v>929</v>
      </c>
      <c r="N1221" s="248">
        <v>577.48</v>
      </c>
      <c r="O1221" s="248">
        <v>1325</v>
      </c>
      <c r="P1221" s="247" t="s">
        <v>1288</v>
      </c>
      <c r="Q1221" s="247" t="s">
        <v>88</v>
      </c>
    </row>
    <row r="1222" spans="1:17" x14ac:dyDescent="0.25">
      <c r="A1222" s="247" t="s">
        <v>646</v>
      </c>
      <c r="B1222" s="247" t="s">
        <v>265</v>
      </c>
      <c r="C1222" s="247" t="s">
        <v>1283</v>
      </c>
      <c r="D1222" s="247" t="s">
        <v>569</v>
      </c>
      <c r="E1222" s="247" t="s">
        <v>1284</v>
      </c>
      <c r="F1222" s="247" t="s">
        <v>1977</v>
      </c>
      <c r="G1222" s="247" t="s">
        <v>1287</v>
      </c>
      <c r="H1222" s="247" t="s">
        <v>1975</v>
      </c>
      <c r="I1222" s="247" t="s">
        <v>1978</v>
      </c>
      <c r="J1222" s="247">
        <v>50</v>
      </c>
      <c r="K1222" s="247">
        <v>50</v>
      </c>
      <c r="L1222" s="249" t="s">
        <v>935</v>
      </c>
      <c r="M1222" s="249" t="s">
        <v>929</v>
      </c>
      <c r="N1222" s="248">
        <v>600.6</v>
      </c>
      <c r="O1222" s="248">
        <v>1925.6</v>
      </c>
      <c r="P1222" s="247" t="s">
        <v>1288</v>
      </c>
      <c r="Q1222" s="247" t="s">
        <v>89</v>
      </c>
    </row>
    <row r="1223" spans="1:17" x14ac:dyDescent="0.25">
      <c r="A1223" s="247" t="s">
        <v>646</v>
      </c>
      <c r="B1223" s="247" t="s">
        <v>265</v>
      </c>
      <c r="C1223" s="247" t="s">
        <v>1283</v>
      </c>
      <c r="D1223" s="247" t="s">
        <v>569</v>
      </c>
      <c r="E1223" s="247" t="s">
        <v>1284</v>
      </c>
      <c r="F1223" s="247" t="s">
        <v>1977</v>
      </c>
      <c r="G1223" s="247" t="s">
        <v>1287</v>
      </c>
      <c r="H1223" s="247" t="s">
        <v>1975</v>
      </c>
      <c r="I1223" s="247" t="s">
        <v>1978</v>
      </c>
      <c r="J1223" s="247">
        <v>50</v>
      </c>
      <c r="K1223" s="247">
        <v>50</v>
      </c>
      <c r="L1223" s="249" t="s">
        <v>936</v>
      </c>
      <c r="M1223" s="249" t="s">
        <v>929</v>
      </c>
      <c r="N1223" s="248">
        <v>2230.4899999999998</v>
      </c>
      <c r="O1223" s="248">
        <v>4156.09</v>
      </c>
      <c r="P1223" s="247" t="s">
        <v>1288</v>
      </c>
      <c r="Q1223" s="247" t="s">
        <v>90</v>
      </c>
    </row>
    <row r="1224" spans="1:17" x14ac:dyDescent="0.25">
      <c r="A1224" s="247" t="s">
        <v>646</v>
      </c>
      <c r="B1224" s="247" t="s">
        <v>265</v>
      </c>
      <c r="C1224" s="247" t="s">
        <v>1283</v>
      </c>
      <c r="D1224" s="247" t="s">
        <v>569</v>
      </c>
      <c r="E1224" s="247" t="s">
        <v>1284</v>
      </c>
      <c r="F1224" s="247" t="s">
        <v>1977</v>
      </c>
      <c r="G1224" s="247" t="s">
        <v>1287</v>
      </c>
      <c r="H1224" s="247" t="s">
        <v>1975</v>
      </c>
      <c r="I1224" s="247" t="s">
        <v>1978</v>
      </c>
      <c r="J1224" s="247">
        <v>50</v>
      </c>
      <c r="K1224" s="247">
        <v>50</v>
      </c>
      <c r="L1224" s="249" t="s">
        <v>937</v>
      </c>
      <c r="M1224" s="249" t="s">
        <v>929</v>
      </c>
      <c r="N1224" s="248">
        <v>1398.53</v>
      </c>
      <c r="O1224" s="248">
        <v>5554.62</v>
      </c>
      <c r="P1224" s="247" t="s">
        <v>1288</v>
      </c>
      <c r="Q1224" s="247" t="s">
        <v>91</v>
      </c>
    </row>
    <row r="1225" spans="1:17" x14ac:dyDescent="0.25">
      <c r="A1225" s="247" t="s">
        <v>646</v>
      </c>
      <c r="B1225" s="247" t="s">
        <v>265</v>
      </c>
      <c r="C1225" s="247" t="s">
        <v>1283</v>
      </c>
      <c r="D1225" s="247" t="s">
        <v>569</v>
      </c>
      <c r="E1225" s="247" t="s">
        <v>1284</v>
      </c>
      <c r="F1225" s="247" t="s">
        <v>1977</v>
      </c>
      <c r="G1225" s="247" t="s">
        <v>1287</v>
      </c>
      <c r="H1225" s="247" t="s">
        <v>1975</v>
      </c>
      <c r="I1225" s="247" t="s">
        <v>1978</v>
      </c>
      <c r="J1225" s="247">
        <v>50</v>
      </c>
      <c r="K1225" s="247">
        <v>50</v>
      </c>
      <c r="L1225" s="249" t="s">
        <v>938</v>
      </c>
      <c r="M1225" s="249" t="s">
        <v>929</v>
      </c>
      <c r="N1225" s="248">
        <v>688.33</v>
      </c>
      <c r="O1225" s="248">
        <v>6242.95</v>
      </c>
      <c r="P1225" s="247" t="s">
        <v>1288</v>
      </c>
      <c r="Q1225" s="247" t="s">
        <v>92</v>
      </c>
    </row>
    <row r="1226" spans="1:17" x14ac:dyDescent="0.25">
      <c r="A1226" s="247" t="s">
        <v>646</v>
      </c>
      <c r="B1226" s="247" t="s">
        <v>265</v>
      </c>
      <c r="C1226" s="247" t="s">
        <v>1283</v>
      </c>
      <c r="D1226" s="247" t="s">
        <v>569</v>
      </c>
      <c r="E1226" s="247" t="s">
        <v>1284</v>
      </c>
      <c r="F1226" s="247" t="s">
        <v>1977</v>
      </c>
      <c r="G1226" s="247" t="s">
        <v>1287</v>
      </c>
      <c r="H1226" s="247" t="s">
        <v>1975</v>
      </c>
      <c r="I1226" s="247" t="s">
        <v>1978</v>
      </c>
      <c r="J1226" s="247">
        <v>50</v>
      </c>
      <c r="K1226" s="247">
        <v>50</v>
      </c>
      <c r="L1226" s="249" t="s">
        <v>939</v>
      </c>
      <c r="M1226" s="249" t="s">
        <v>929</v>
      </c>
      <c r="N1226" s="248">
        <v>632.41</v>
      </c>
      <c r="O1226" s="248">
        <v>6875.36</v>
      </c>
      <c r="P1226" s="247" t="s">
        <v>1288</v>
      </c>
      <c r="Q1226" s="247" t="s">
        <v>93</v>
      </c>
    </row>
    <row r="1227" spans="1:17" x14ac:dyDescent="0.25">
      <c r="A1227" s="247" t="s">
        <v>646</v>
      </c>
      <c r="B1227" s="247" t="s">
        <v>265</v>
      </c>
      <c r="C1227" s="247" t="s">
        <v>1283</v>
      </c>
      <c r="D1227" s="247" t="s">
        <v>569</v>
      </c>
      <c r="E1227" s="247" t="s">
        <v>1284</v>
      </c>
      <c r="F1227" s="247" t="s">
        <v>1977</v>
      </c>
      <c r="G1227" s="247" t="s">
        <v>1287</v>
      </c>
      <c r="H1227" s="247" t="s">
        <v>1975</v>
      </c>
      <c r="I1227" s="247" t="s">
        <v>1978</v>
      </c>
      <c r="J1227" s="247">
        <v>50</v>
      </c>
      <c r="K1227" s="247">
        <v>50</v>
      </c>
      <c r="L1227" s="249" t="s">
        <v>940</v>
      </c>
      <c r="M1227" s="249" t="s">
        <v>929</v>
      </c>
      <c r="N1227" s="248">
        <v>754.99</v>
      </c>
      <c r="O1227" s="248">
        <v>7630.35</v>
      </c>
      <c r="P1227" s="247" t="s">
        <v>1288</v>
      </c>
      <c r="Q1227" s="247" t="s">
        <v>94</v>
      </c>
    </row>
    <row r="1228" spans="1:17" x14ac:dyDescent="0.25">
      <c r="A1228" s="247" t="s">
        <v>646</v>
      </c>
      <c r="B1228" s="247" t="s">
        <v>265</v>
      </c>
      <c r="C1228" s="247" t="s">
        <v>1283</v>
      </c>
      <c r="D1228" s="247" t="s">
        <v>569</v>
      </c>
      <c r="E1228" s="247" t="s">
        <v>1284</v>
      </c>
      <c r="F1228" s="247" t="s">
        <v>1977</v>
      </c>
      <c r="G1228" s="247" t="s">
        <v>1287</v>
      </c>
      <c r="H1228" s="247" t="s">
        <v>1975</v>
      </c>
      <c r="I1228" s="247" t="s">
        <v>1978</v>
      </c>
      <c r="J1228" s="247">
        <v>50</v>
      </c>
      <c r="K1228" s="247">
        <v>50</v>
      </c>
      <c r="L1228" s="249" t="s">
        <v>642</v>
      </c>
      <c r="M1228" s="249" t="s">
        <v>929</v>
      </c>
      <c r="N1228" s="248">
        <v>2489.39</v>
      </c>
      <c r="O1228" s="248">
        <v>10119.74</v>
      </c>
      <c r="P1228" s="247" t="s">
        <v>1288</v>
      </c>
      <c r="Q1228" s="247" t="s">
        <v>95</v>
      </c>
    </row>
    <row r="1229" spans="1:17" x14ac:dyDescent="0.25">
      <c r="A1229" s="247" t="s">
        <v>646</v>
      </c>
      <c r="B1229" s="247" t="s">
        <v>265</v>
      </c>
      <c r="C1229" s="247" t="s">
        <v>1283</v>
      </c>
      <c r="D1229" s="247" t="s">
        <v>1025</v>
      </c>
      <c r="E1229" s="247" t="s">
        <v>1284</v>
      </c>
      <c r="F1229" s="247" t="s">
        <v>1979</v>
      </c>
      <c r="G1229" s="247" t="s">
        <v>1289</v>
      </c>
      <c r="H1229" s="247" t="s">
        <v>1975</v>
      </c>
      <c r="I1229" s="247" t="s">
        <v>1980</v>
      </c>
      <c r="J1229" s="247">
        <v>57</v>
      </c>
      <c r="K1229" s="247">
        <v>57</v>
      </c>
      <c r="L1229" s="249" t="s">
        <v>789</v>
      </c>
      <c r="M1229" s="249" t="s">
        <v>929</v>
      </c>
      <c r="N1229" s="248">
        <v>4146.25</v>
      </c>
      <c r="O1229" s="248">
        <v>4146.25</v>
      </c>
      <c r="P1229" s="247" t="s">
        <v>1290</v>
      </c>
      <c r="Q1229" s="247" t="s">
        <v>87</v>
      </c>
    </row>
    <row r="1230" spans="1:17" x14ac:dyDescent="0.25">
      <c r="A1230" s="247" t="s">
        <v>646</v>
      </c>
      <c r="B1230" s="247" t="s">
        <v>265</v>
      </c>
      <c r="C1230" s="247" t="s">
        <v>1283</v>
      </c>
      <c r="D1230" s="247" t="s">
        <v>1025</v>
      </c>
      <c r="E1230" s="247" t="s">
        <v>1284</v>
      </c>
      <c r="F1230" s="247" t="s">
        <v>1979</v>
      </c>
      <c r="G1230" s="247" t="s">
        <v>1289</v>
      </c>
      <c r="H1230" s="247" t="s">
        <v>1975</v>
      </c>
      <c r="I1230" s="247" t="s">
        <v>1980</v>
      </c>
      <c r="J1230" s="247">
        <v>57</v>
      </c>
      <c r="K1230" s="247">
        <v>57</v>
      </c>
      <c r="L1230" s="249" t="s">
        <v>791</v>
      </c>
      <c r="M1230" s="249" t="s">
        <v>929</v>
      </c>
      <c r="N1230" s="248">
        <v>4528.55</v>
      </c>
      <c r="O1230" s="248">
        <v>8674.7999999999993</v>
      </c>
      <c r="P1230" s="247" t="s">
        <v>1290</v>
      </c>
      <c r="Q1230" s="247" t="s">
        <v>88</v>
      </c>
    </row>
    <row r="1231" spans="1:17" x14ac:dyDescent="0.25">
      <c r="A1231" s="247" t="s">
        <v>646</v>
      </c>
      <c r="B1231" s="247" t="s">
        <v>265</v>
      </c>
      <c r="C1231" s="247" t="s">
        <v>1283</v>
      </c>
      <c r="D1231" s="247" t="s">
        <v>1025</v>
      </c>
      <c r="E1231" s="247" t="s">
        <v>1284</v>
      </c>
      <c r="F1231" s="247" t="s">
        <v>1979</v>
      </c>
      <c r="G1231" s="247" t="s">
        <v>1289</v>
      </c>
      <c r="H1231" s="247" t="s">
        <v>1975</v>
      </c>
      <c r="I1231" s="247" t="s">
        <v>1980</v>
      </c>
      <c r="J1231" s="247">
        <v>57</v>
      </c>
      <c r="K1231" s="247">
        <v>57</v>
      </c>
      <c r="L1231" s="249" t="s">
        <v>935</v>
      </c>
      <c r="M1231" s="249" t="s">
        <v>929</v>
      </c>
      <c r="N1231" s="248">
        <v>3624.37</v>
      </c>
      <c r="O1231" s="248">
        <v>12299.17</v>
      </c>
      <c r="P1231" s="247" t="s">
        <v>1290</v>
      </c>
      <c r="Q1231" s="247" t="s">
        <v>89</v>
      </c>
    </row>
    <row r="1232" spans="1:17" x14ac:dyDescent="0.25">
      <c r="A1232" s="247" t="s">
        <v>646</v>
      </c>
      <c r="B1232" s="247" t="s">
        <v>265</v>
      </c>
      <c r="C1232" s="247" t="s">
        <v>1283</v>
      </c>
      <c r="D1232" s="247" t="s">
        <v>1025</v>
      </c>
      <c r="E1232" s="247" t="s">
        <v>1284</v>
      </c>
      <c r="F1232" s="247" t="s">
        <v>1979</v>
      </c>
      <c r="G1232" s="247" t="s">
        <v>1289</v>
      </c>
      <c r="H1232" s="247" t="s">
        <v>1975</v>
      </c>
      <c r="I1232" s="247" t="s">
        <v>1980</v>
      </c>
      <c r="J1232" s="247">
        <v>57</v>
      </c>
      <c r="K1232" s="247">
        <v>57</v>
      </c>
      <c r="L1232" s="249" t="s">
        <v>936</v>
      </c>
      <c r="M1232" s="249" t="s">
        <v>929</v>
      </c>
      <c r="N1232" s="248">
        <v>5707.09</v>
      </c>
      <c r="O1232" s="248">
        <v>18006.259999999998</v>
      </c>
      <c r="P1232" s="247" t="s">
        <v>1290</v>
      </c>
      <c r="Q1232" s="247" t="s">
        <v>90</v>
      </c>
    </row>
    <row r="1233" spans="1:17" x14ac:dyDescent="0.25">
      <c r="A1233" s="247" t="s">
        <v>646</v>
      </c>
      <c r="B1233" s="247" t="s">
        <v>265</v>
      </c>
      <c r="C1233" s="247" t="s">
        <v>1283</v>
      </c>
      <c r="D1233" s="247" t="s">
        <v>1025</v>
      </c>
      <c r="E1233" s="247" t="s">
        <v>1284</v>
      </c>
      <c r="F1233" s="247" t="s">
        <v>1979</v>
      </c>
      <c r="G1233" s="247" t="s">
        <v>1289</v>
      </c>
      <c r="H1233" s="247" t="s">
        <v>1975</v>
      </c>
      <c r="I1233" s="247" t="s">
        <v>1980</v>
      </c>
      <c r="J1233" s="247">
        <v>57</v>
      </c>
      <c r="K1233" s="247">
        <v>57</v>
      </c>
      <c r="L1233" s="249" t="s">
        <v>937</v>
      </c>
      <c r="M1233" s="249" t="s">
        <v>929</v>
      </c>
      <c r="N1233" s="248">
        <v>12014.77</v>
      </c>
      <c r="O1233" s="248">
        <v>30021.03</v>
      </c>
      <c r="P1233" s="247" t="s">
        <v>1290</v>
      </c>
      <c r="Q1233" s="247" t="s">
        <v>91</v>
      </c>
    </row>
    <row r="1234" spans="1:17" x14ac:dyDescent="0.25">
      <c r="A1234" s="247" t="s">
        <v>646</v>
      </c>
      <c r="B1234" s="247" t="s">
        <v>265</v>
      </c>
      <c r="C1234" s="247" t="s">
        <v>1283</v>
      </c>
      <c r="D1234" s="247" t="s">
        <v>1025</v>
      </c>
      <c r="E1234" s="247" t="s">
        <v>1284</v>
      </c>
      <c r="F1234" s="247" t="s">
        <v>1979</v>
      </c>
      <c r="G1234" s="247" t="s">
        <v>1289</v>
      </c>
      <c r="H1234" s="247" t="s">
        <v>1975</v>
      </c>
      <c r="I1234" s="247" t="s">
        <v>1980</v>
      </c>
      <c r="J1234" s="247">
        <v>57</v>
      </c>
      <c r="K1234" s="247">
        <v>57</v>
      </c>
      <c r="L1234" s="249" t="s">
        <v>938</v>
      </c>
      <c r="M1234" s="249" t="s">
        <v>929</v>
      </c>
      <c r="N1234" s="248">
        <v>13611.88</v>
      </c>
      <c r="O1234" s="248">
        <v>43632.91</v>
      </c>
      <c r="P1234" s="247" t="s">
        <v>1290</v>
      </c>
      <c r="Q1234" s="247" t="s">
        <v>92</v>
      </c>
    </row>
    <row r="1235" spans="1:17" x14ac:dyDescent="0.25">
      <c r="A1235" s="247" t="s">
        <v>646</v>
      </c>
      <c r="B1235" s="247" t="s">
        <v>265</v>
      </c>
      <c r="C1235" s="247" t="s">
        <v>1283</v>
      </c>
      <c r="D1235" s="247" t="s">
        <v>1025</v>
      </c>
      <c r="E1235" s="247" t="s">
        <v>1284</v>
      </c>
      <c r="F1235" s="247" t="s">
        <v>1979</v>
      </c>
      <c r="G1235" s="247" t="s">
        <v>1289</v>
      </c>
      <c r="H1235" s="247" t="s">
        <v>1975</v>
      </c>
      <c r="I1235" s="247" t="s">
        <v>1980</v>
      </c>
      <c r="J1235" s="247">
        <v>57</v>
      </c>
      <c r="K1235" s="247">
        <v>57</v>
      </c>
      <c r="L1235" s="249" t="s">
        <v>939</v>
      </c>
      <c r="M1235" s="249" t="s">
        <v>929</v>
      </c>
      <c r="N1235" s="248">
        <v>10332</v>
      </c>
      <c r="O1235" s="248">
        <v>53964.91</v>
      </c>
      <c r="P1235" s="247" t="s">
        <v>1290</v>
      </c>
      <c r="Q1235" s="247" t="s">
        <v>93</v>
      </c>
    </row>
    <row r="1236" spans="1:17" x14ac:dyDescent="0.25">
      <c r="A1236" s="247" t="s">
        <v>646</v>
      </c>
      <c r="B1236" s="247" t="s">
        <v>265</v>
      </c>
      <c r="C1236" s="247" t="s">
        <v>1283</v>
      </c>
      <c r="D1236" s="247" t="s">
        <v>1025</v>
      </c>
      <c r="E1236" s="247" t="s">
        <v>1284</v>
      </c>
      <c r="F1236" s="247" t="s">
        <v>1979</v>
      </c>
      <c r="G1236" s="247" t="s">
        <v>1289</v>
      </c>
      <c r="H1236" s="247" t="s">
        <v>1975</v>
      </c>
      <c r="I1236" s="247" t="s">
        <v>1980</v>
      </c>
      <c r="J1236" s="247">
        <v>57</v>
      </c>
      <c r="K1236" s="247">
        <v>57</v>
      </c>
      <c r="L1236" s="249" t="s">
        <v>940</v>
      </c>
      <c r="M1236" s="249" t="s">
        <v>929</v>
      </c>
      <c r="N1236" s="248">
        <v>10253.49</v>
      </c>
      <c r="O1236" s="248">
        <v>64218.400000000001</v>
      </c>
      <c r="P1236" s="247" t="s">
        <v>1290</v>
      </c>
      <c r="Q1236" s="247" t="s">
        <v>94</v>
      </c>
    </row>
    <row r="1237" spans="1:17" x14ac:dyDescent="0.25">
      <c r="A1237" s="247" t="s">
        <v>646</v>
      </c>
      <c r="B1237" s="247" t="s">
        <v>265</v>
      </c>
      <c r="C1237" s="247" t="s">
        <v>1283</v>
      </c>
      <c r="D1237" s="247" t="s">
        <v>1025</v>
      </c>
      <c r="E1237" s="247" t="s">
        <v>1284</v>
      </c>
      <c r="F1237" s="247" t="s">
        <v>1979</v>
      </c>
      <c r="G1237" s="247" t="s">
        <v>1289</v>
      </c>
      <c r="H1237" s="247" t="s">
        <v>1975</v>
      </c>
      <c r="I1237" s="247" t="s">
        <v>1980</v>
      </c>
      <c r="J1237" s="247">
        <v>57</v>
      </c>
      <c r="K1237" s="247">
        <v>57</v>
      </c>
      <c r="L1237" s="249" t="s">
        <v>642</v>
      </c>
      <c r="M1237" s="249" t="s">
        <v>929</v>
      </c>
      <c r="N1237" s="248">
        <v>9255.31</v>
      </c>
      <c r="O1237" s="248">
        <v>73473.710000000006</v>
      </c>
      <c r="P1237" s="247" t="s">
        <v>1290</v>
      </c>
      <c r="Q1237" s="247" t="s">
        <v>95</v>
      </c>
    </row>
    <row r="1238" spans="1:17" x14ac:dyDescent="0.25">
      <c r="A1238" s="247" t="s">
        <v>646</v>
      </c>
      <c r="B1238" s="247" t="s">
        <v>265</v>
      </c>
      <c r="C1238" s="247" t="s">
        <v>1283</v>
      </c>
      <c r="D1238" s="247" t="s">
        <v>926</v>
      </c>
      <c r="E1238" s="247" t="s">
        <v>1291</v>
      </c>
      <c r="F1238" s="247" t="s">
        <v>1981</v>
      </c>
      <c r="G1238" s="247" t="s">
        <v>1292</v>
      </c>
      <c r="H1238" s="247" t="s">
        <v>1982</v>
      </c>
      <c r="I1238" s="247" t="s">
        <v>1983</v>
      </c>
      <c r="J1238" s="247">
        <v>25</v>
      </c>
      <c r="K1238" s="247">
        <v>25</v>
      </c>
      <c r="L1238" s="249" t="s">
        <v>646</v>
      </c>
      <c r="M1238" s="249" t="s">
        <v>933</v>
      </c>
      <c r="N1238" s="248">
        <v>8019.87</v>
      </c>
      <c r="O1238" s="248">
        <v>58225.58</v>
      </c>
      <c r="P1238" s="247" t="s">
        <v>1293</v>
      </c>
      <c r="Q1238" s="247" t="s">
        <v>84</v>
      </c>
    </row>
    <row r="1239" spans="1:17" x14ac:dyDescent="0.25">
      <c r="A1239" s="247" t="s">
        <v>646</v>
      </c>
      <c r="B1239" s="247" t="s">
        <v>265</v>
      </c>
      <c r="C1239" s="247" t="s">
        <v>1283</v>
      </c>
      <c r="D1239" s="247" t="s">
        <v>926</v>
      </c>
      <c r="E1239" s="247" t="s">
        <v>1291</v>
      </c>
      <c r="F1239" s="247" t="s">
        <v>1981</v>
      </c>
      <c r="G1239" s="247" t="s">
        <v>1292</v>
      </c>
      <c r="H1239" s="247" t="s">
        <v>1982</v>
      </c>
      <c r="I1239" s="247" t="s">
        <v>1983</v>
      </c>
      <c r="J1239" s="247">
        <v>25</v>
      </c>
      <c r="K1239" s="247">
        <v>25</v>
      </c>
      <c r="L1239" s="249" t="s">
        <v>650</v>
      </c>
      <c r="M1239" s="249" t="s">
        <v>933</v>
      </c>
      <c r="N1239" s="248">
        <v>4009.78</v>
      </c>
      <c r="O1239" s="248">
        <v>62235.360000000001</v>
      </c>
      <c r="P1239" s="247" t="s">
        <v>1293</v>
      </c>
      <c r="Q1239" s="247" t="s">
        <v>85</v>
      </c>
    </row>
    <row r="1240" spans="1:17" x14ac:dyDescent="0.25">
      <c r="A1240" s="247" t="s">
        <v>646</v>
      </c>
      <c r="B1240" s="247" t="s">
        <v>265</v>
      </c>
      <c r="C1240" s="247" t="s">
        <v>1283</v>
      </c>
      <c r="D1240" s="247" t="s">
        <v>926</v>
      </c>
      <c r="E1240" s="247" t="s">
        <v>1291</v>
      </c>
      <c r="F1240" s="247" t="s">
        <v>1981</v>
      </c>
      <c r="G1240" s="247" t="s">
        <v>1292</v>
      </c>
      <c r="H1240" s="247" t="s">
        <v>1982</v>
      </c>
      <c r="I1240" s="247" t="s">
        <v>1983</v>
      </c>
      <c r="J1240" s="247">
        <v>25</v>
      </c>
      <c r="K1240" s="247">
        <v>25</v>
      </c>
      <c r="L1240" s="249" t="s">
        <v>652</v>
      </c>
      <c r="M1240" s="249" t="s">
        <v>933</v>
      </c>
      <c r="N1240" s="248">
        <v>10346.58</v>
      </c>
      <c r="O1240" s="248">
        <v>72581.94</v>
      </c>
      <c r="P1240" s="247" t="s">
        <v>1293</v>
      </c>
      <c r="Q1240" s="247" t="s">
        <v>86</v>
      </c>
    </row>
    <row r="1241" spans="1:17" x14ac:dyDescent="0.25">
      <c r="A1241" s="247" t="s">
        <v>646</v>
      </c>
      <c r="B1241" s="247" t="s">
        <v>265</v>
      </c>
      <c r="C1241" s="247" t="s">
        <v>1283</v>
      </c>
      <c r="D1241" s="247" t="s">
        <v>926</v>
      </c>
      <c r="E1241" s="247" t="s">
        <v>1291</v>
      </c>
      <c r="F1241" s="247" t="s">
        <v>1981</v>
      </c>
      <c r="G1241" s="247" t="s">
        <v>1292</v>
      </c>
      <c r="H1241" s="247" t="s">
        <v>1982</v>
      </c>
      <c r="I1241" s="247" t="s">
        <v>1983</v>
      </c>
      <c r="J1241" s="247">
        <v>25</v>
      </c>
      <c r="K1241" s="247">
        <v>25</v>
      </c>
      <c r="L1241" s="249" t="s">
        <v>789</v>
      </c>
      <c r="M1241" s="249" t="s">
        <v>929</v>
      </c>
      <c r="N1241" s="248">
        <v>4611.21</v>
      </c>
      <c r="O1241" s="248">
        <v>4611.21</v>
      </c>
      <c r="P1241" s="247" t="s">
        <v>1293</v>
      </c>
      <c r="Q1241" s="247" t="s">
        <v>87</v>
      </c>
    </row>
    <row r="1242" spans="1:17" x14ac:dyDescent="0.25">
      <c r="A1242" s="247" t="s">
        <v>646</v>
      </c>
      <c r="B1242" s="247" t="s">
        <v>265</v>
      </c>
      <c r="C1242" s="247" t="s">
        <v>1283</v>
      </c>
      <c r="D1242" s="247" t="s">
        <v>926</v>
      </c>
      <c r="E1242" s="247" t="s">
        <v>1291</v>
      </c>
      <c r="F1242" s="247" t="s">
        <v>1981</v>
      </c>
      <c r="G1242" s="247" t="s">
        <v>1292</v>
      </c>
      <c r="H1242" s="247" t="s">
        <v>1982</v>
      </c>
      <c r="I1242" s="247" t="s">
        <v>1983</v>
      </c>
      <c r="J1242" s="247">
        <v>25</v>
      </c>
      <c r="K1242" s="247">
        <v>25</v>
      </c>
      <c r="L1242" s="249" t="s">
        <v>791</v>
      </c>
      <c r="M1242" s="249" t="s">
        <v>929</v>
      </c>
      <c r="N1242" s="248">
        <v>5754</v>
      </c>
      <c r="O1242" s="248">
        <v>10365.209999999999</v>
      </c>
      <c r="P1242" s="247" t="s">
        <v>1293</v>
      </c>
      <c r="Q1242" s="247" t="s">
        <v>88</v>
      </c>
    </row>
    <row r="1243" spans="1:17" x14ac:dyDescent="0.25">
      <c r="A1243" s="247" t="s">
        <v>646</v>
      </c>
      <c r="B1243" s="247" t="s">
        <v>265</v>
      </c>
      <c r="C1243" s="247" t="s">
        <v>1283</v>
      </c>
      <c r="D1243" s="247" t="s">
        <v>926</v>
      </c>
      <c r="E1243" s="247" t="s">
        <v>1291</v>
      </c>
      <c r="F1243" s="247" t="s">
        <v>1981</v>
      </c>
      <c r="G1243" s="247" t="s">
        <v>1292</v>
      </c>
      <c r="H1243" s="247" t="s">
        <v>1982</v>
      </c>
      <c r="I1243" s="247" t="s">
        <v>1983</v>
      </c>
      <c r="J1243" s="247">
        <v>25</v>
      </c>
      <c r="K1243" s="247">
        <v>25</v>
      </c>
      <c r="L1243" s="249" t="s">
        <v>935</v>
      </c>
      <c r="M1243" s="249" t="s">
        <v>929</v>
      </c>
      <c r="N1243" s="248">
        <v>6302</v>
      </c>
      <c r="O1243" s="248">
        <v>16667.21</v>
      </c>
      <c r="P1243" s="247" t="s">
        <v>1293</v>
      </c>
      <c r="Q1243" s="247" t="s">
        <v>89</v>
      </c>
    </row>
    <row r="1244" spans="1:17" x14ac:dyDescent="0.25">
      <c r="A1244" s="247" t="s">
        <v>646</v>
      </c>
      <c r="B1244" s="247" t="s">
        <v>265</v>
      </c>
      <c r="C1244" s="247" t="s">
        <v>1283</v>
      </c>
      <c r="D1244" s="247" t="s">
        <v>926</v>
      </c>
      <c r="E1244" s="247" t="s">
        <v>1291</v>
      </c>
      <c r="F1244" s="247" t="s">
        <v>1981</v>
      </c>
      <c r="G1244" s="247" t="s">
        <v>1292</v>
      </c>
      <c r="H1244" s="247" t="s">
        <v>1982</v>
      </c>
      <c r="I1244" s="247" t="s">
        <v>1983</v>
      </c>
      <c r="J1244" s="247">
        <v>25</v>
      </c>
      <c r="K1244" s="247">
        <v>25</v>
      </c>
      <c r="L1244" s="249" t="s">
        <v>936</v>
      </c>
      <c r="M1244" s="249" t="s">
        <v>929</v>
      </c>
      <c r="N1244" s="248">
        <v>5754</v>
      </c>
      <c r="O1244" s="248">
        <v>22421.21</v>
      </c>
      <c r="P1244" s="247" t="s">
        <v>1293</v>
      </c>
      <c r="Q1244" s="247" t="s">
        <v>90</v>
      </c>
    </row>
    <row r="1245" spans="1:17" x14ac:dyDescent="0.25">
      <c r="A1245" s="247" t="s">
        <v>646</v>
      </c>
      <c r="B1245" s="247" t="s">
        <v>265</v>
      </c>
      <c r="C1245" s="247" t="s">
        <v>1283</v>
      </c>
      <c r="D1245" s="247" t="s">
        <v>926</v>
      </c>
      <c r="E1245" s="247" t="s">
        <v>1291</v>
      </c>
      <c r="F1245" s="247" t="s">
        <v>1981</v>
      </c>
      <c r="G1245" s="247" t="s">
        <v>1292</v>
      </c>
      <c r="H1245" s="247" t="s">
        <v>1982</v>
      </c>
      <c r="I1245" s="247" t="s">
        <v>1983</v>
      </c>
      <c r="J1245" s="247">
        <v>25</v>
      </c>
      <c r="K1245" s="247">
        <v>25</v>
      </c>
      <c r="L1245" s="249" t="s">
        <v>937</v>
      </c>
      <c r="M1245" s="249" t="s">
        <v>929</v>
      </c>
      <c r="N1245" s="248">
        <v>5754</v>
      </c>
      <c r="O1245" s="248">
        <v>28175.21</v>
      </c>
      <c r="P1245" s="247" t="s">
        <v>1293</v>
      </c>
      <c r="Q1245" s="247" t="s">
        <v>91</v>
      </c>
    </row>
    <row r="1246" spans="1:17" x14ac:dyDescent="0.25">
      <c r="A1246" s="247" t="s">
        <v>646</v>
      </c>
      <c r="B1246" s="247" t="s">
        <v>265</v>
      </c>
      <c r="C1246" s="247" t="s">
        <v>1283</v>
      </c>
      <c r="D1246" s="247" t="s">
        <v>926</v>
      </c>
      <c r="E1246" s="247" t="s">
        <v>1291</v>
      </c>
      <c r="F1246" s="247" t="s">
        <v>1981</v>
      </c>
      <c r="G1246" s="247" t="s">
        <v>1292</v>
      </c>
      <c r="H1246" s="247" t="s">
        <v>1982</v>
      </c>
      <c r="I1246" s="247" t="s">
        <v>1983</v>
      </c>
      <c r="J1246" s="247">
        <v>25</v>
      </c>
      <c r="K1246" s="247">
        <v>25</v>
      </c>
      <c r="L1246" s="249" t="s">
        <v>938</v>
      </c>
      <c r="M1246" s="249" t="s">
        <v>929</v>
      </c>
      <c r="N1246" s="248">
        <v>6009.96</v>
      </c>
      <c r="O1246" s="248">
        <v>34185.17</v>
      </c>
      <c r="P1246" s="247" t="s">
        <v>1293</v>
      </c>
      <c r="Q1246" s="247" t="s">
        <v>92</v>
      </c>
    </row>
    <row r="1247" spans="1:17" x14ac:dyDescent="0.25">
      <c r="A1247" s="247" t="s">
        <v>646</v>
      </c>
      <c r="B1247" s="247" t="s">
        <v>265</v>
      </c>
      <c r="C1247" s="247" t="s">
        <v>1283</v>
      </c>
      <c r="D1247" s="247" t="s">
        <v>926</v>
      </c>
      <c r="E1247" s="247" t="s">
        <v>1291</v>
      </c>
      <c r="F1247" s="247" t="s">
        <v>1981</v>
      </c>
      <c r="G1247" s="247" t="s">
        <v>1292</v>
      </c>
      <c r="H1247" s="247" t="s">
        <v>1982</v>
      </c>
      <c r="I1247" s="247" t="s">
        <v>1983</v>
      </c>
      <c r="J1247" s="247">
        <v>25</v>
      </c>
      <c r="K1247" s="247">
        <v>25</v>
      </c>
      <c r="L1247" s="249" t="s">
        <v>939</v>
      </c>
      <c r="M1247" s="249" t="s">
        <v>929</v>
      </c>
      <c r="N1247" s="248">
        <v>5095.92</v>
      </c>
      <c r="O1247" s="248">
        <v>39281.089999999997</v>
      </c>
      <c r="P1247" s="247" t="s">
        <v>1293</v>
      </c>
      <c r="Q1247" s="247" t="s">
        <v>93</v>
      </c>
    </row>
    <row r="1248" spans="1:17" x14ac:dyDescent="0.25">
      <c r="A1248" s="247" t="s">
        <v>646</v>
      </c>
      <c r="B1248" s="247" t="s">
        <v>265</v>
      </c>
      <c r="C1248" s="247" t="s">
        <v>1283</v>
      </c>
      <c r="D1248" s="247" t="s">
        <v>926</v>
      </c>
      <c r="E1248" s="247" t="s">
        <v>1291</v>
      </c>
      <c r="F1248" s="247" t="s">
        <v>1981</v>
      </c>
      <c r="G1248" s="247" t="s">
        <v>1292</v>
      </c>
      <c r="H1248" s="247" t="s">
        <v>1982</v>
      </c>
      <c r="I1248" s="247" t="s">
        <v>1983</v>
      </c>
      <c r="J1248" s="247">
        <v>25</v>
      </c>
      <c r="K1248" s="247">
        <v>25</v>
      </c>
      <c r="L1248" s="249" t="s">
        <v>940</v>
      </c>
      <c r="M1248" s="249" t="s">
        <v>929</v>
      </c>
      <c r="N1248" s="248">
        <v>6894.48</v>
      </c>
      <c r="O1248" s="248">
        <v>46175.57</v>
      </c>
      <c r="P1248" s="247" t="s">
        <v>1293</v>
      </c>
      <c r="Q1248" s="247" t="s">
        <v>94</v>
      </c>
    </row>
    <row r="1249" spans="1:17" x14ac:dyDescent="0.25">
      <c r="A1249" s="247" t="s">
        <v>646</v>
      </c>
      <c r="B1249" s="247" t="s">
        <v>265</v>
      </c>
      <c r="C1249" s="247" t="s">
        <v>1283</v>
      </c>
      <c r="D1249" s="247" t="s">
        <v>926</v>
      </c>
      <c r="E1249" s="247" t="s">
        <v>1291</v>
      </c>
      <c r="F1249" s="247" t="s">
        <v>1981</v>
      </c>
      <c r="G1249" s="247" t="s">
        <v>1292</v>
      </c>
      <c r="H1249" s="247" t="s">
        <v>1982</v>
      </c>
      <c r="I1249" s="247" t="s">
        <v>1983</v>
      </c>
      <c r="J1249" s="247">
        <v>25</v>
      </c>
      <c r="K1249" s="247">
        <v>25</v>
      </c>
      <c r="L1249" s="249" t="s">
        <v>642</v>
      </c>
      <c r="M1249" s="249" t="s">
        <v>929</v>
      </c>
      <c r="N1249" s="248">
        <v>6085.11</v>
      </c>
      <c r="O1249" s="248">
        <v>52260.68</v>
      </c>
      <c r="P1249" s="247" t="s">
        <v>1293</v>
      </c>
      <c r="Q1249" s="247" t="s">
        <v>95</v>
      </c>
    </row>
    <row r="1250" spans="1:17" x14ac:dyDescent="0.25">
      <c r="A1250" s="247" t="s">
        <v>646</v>
      </c>
      <c r="B1250" s="247" t="s">
        <v>265</v>
      </c>
      <c r="C1250" s="247" t="s">
        <v>1283</v>
      </c>
      <c r="D1250" s="247" t="s">
        <v>711</v>
      </c>
      <c r="E1250" s="247" t="s">
        <v>1291</v>
      </c>
      <c r="F1250" s="247" t="s">
        <v>1984</v>
      </c>
      <c r="G1250" s="247" t="s">
        <v>1285</v>
      </c>
      <c r="H1250" s="247" t="s">
        <v>1982</v>
      </c>
      <c r="I1250" s="247" t="s">
        <v>1985</v>
      </c>
      <c r="J1250" s="247">
        <v>49</v>
      </c>
      <c r="K1250" s="247">
        <v>49</v>
      </c>
      <c r="L1250" s="249" t="s">
        <v>646</v>
      </c>
      <c r="M1250" s="249" t="s">
        <v>933</v>
      </c>
      <c r="N1250" s="248">
        <v>7076.01</v>
      </c>
      <c r="O1250" s="248">
        <v>24506.65</v>
      </c>
      <c r="P1250" s="247" t="s">
        <v>1294</v>
      </c>
      <c r="Q1250" s="247" t="s">
        <v>84</v>
      </c>
    </row>
    <row r="1251" spans="1:17" x14ac:dyDescent="0.25">
      <c r="A1251" s="247" t="s">
        <v>646</v>
      </c>
      <c r="B1251" s="247" t="s">
        <v>265</v>
      </c>
      <c r="C1251" s="247" t="s">
        <v>1283</v>
      </c>
      <c r="D1251" s="247" t="s">
        <v>711</v>
      </c>
      <c r="E1251" s="247" t="s">
        <v>1291</v>
      </c>
      <c r="F1251" s="247" t="s">
        <v>1984</v>
      </c>
      <c r="G1251" s="247" t="s">
        <v>1285</v>
      </c>
      <c r="H1251" s="247" t="s">
        <v>1982</v>
      </c>
      <c r="I1251" s="247" t="s">
        <v>1985</v>
      </c>
      <c r="J1251" s="247">
        <v>49</v>
      </c>
      <c r="K1251" s="247">
        <v>49</v>
      </c>
      <c r="L1251" s="249" t="s">
        <v>650</v>
      </c>
      <c r="M1251" s="249" t="s">
        <v>933</v>
      </c>
      <c r="N1251" s="248">
        <v>1228.6600000000001</v>
      </c>
      <c r="O1251" s="248">
        <v>25735.31</v>
      </c>
      <c r="P1251" s="247" t="s">
        <v>1294</v>
      </c>
      <c r="Q1251" s="247" t="s">
        <v>85</v>
      </c>
    </row>
    <row r="1252" spans="1:17" x14ac:dyDescent="0.25">
      <c r="A1252" s="247" t="s">
        <v>646</v>
      </c>
      <c r="B1252" s="247" t="s">
        <v>265</v>
      </c>
      <c r="C1252" s="247" t="s">
        <v>1283</v>
      </c>
      <c r="D1252" s="247" t="s">
        <v>711</v>
      </c>
      <c r="E1252" s="247" t="s">
        <v>1291</v>
      </c>
      <c r="F1252" s="247" t="s">
        <v>1984</v>
      </c>
      <c r="G1252" s="247" t="s">
        <v>1285</v>
      </c>
      <c r="H1252" s="247" t="s">
        <v>1982</v>
      </c>
      <c r="I1252" s="247" t="s">
        <v>1985</v>
      </c>
      <c r="J1252" s="247">
        <v>49</v>
      </c>
      <c r="K1252" s="247">
        <v>49</v>
      </c>
      <c r="L1252" s="249" t="s">
        <v>652</v>
      </c>
      <c r="M1252" s="249" t="s">
        <v>933</v>
      </c>
      <c r="N1252" s="248">
        <v>-191.99</v>
      </c>
      <c r="O1252" s="248">
        <v>25543.32</v>
      </c>
      <c r="P1252" s="247" t="s">
        <v>1294</v>
      </c>
      <c r="Q1252" s="247" t="s">
        <v>86</v>
      </c>
    </row>
    <row r="1253" spans="1:17" x14ac:dyDescent="0.25">
      <c r="A1253" s="247" t="s">
        <v>646</v>
      </c>
      <c r="B1253" s="247" t="s">
        <v>265</v>
      </c>
      <c r="C1253" s="247" t="s">
        <v>1283</v>
      </c>
      <c r="D1253" s="247" t="s">
        <v>711</v>
      </c>
      <c r="E1253" s="247" t="s">
        <v>1291</v>
      </c>
      <c r="F1253" s="247" t="s">
        <v>1984</v>
      </c>
      <c r="G1253" s="247" t="s">
        <v>1285</v>
      </c>
      <c r="H1253" s="247" t="s">
        <v>1982</v>
      </c>
      <c r="I1253" s="247" t="s">
        <v>1985</v>
      </c>
      <c r="J1253" s="247">
        <v>49</v>
      </c>
      <c r="K1253" s="247">
        <v>49</v>
      </c>
      <c r="L1253" s="249" t="s">
        <v>789</v>
      </c>
      <c r="M1253" s="249" t="s">
        <v>929</v>
      </c>
      <c r="N1253" s="248">
        <v>937.78</v>
      </c>
      <c r="O1253" s="248">
        <v>937.78</v>
      </c>
      <c r="P1253" s="247" t="s">
        <v>1294</v>
      </c>
      <c r="Q1253" s="247" t="s">
        <v>87</v>
      </c>
    </row>
    <row r="1254" spans="1:17" x14ac:dyDescent="0.25">
      <c r="A1254" s="247" t="s">
        <v>646</v>
      </c>
      <c r="B1254" s="247" t="s">
        <v>265</v>
      </c>
      <c r="C1254" s="247" t="s">
        <v>1283</v>
      </c>
      <c r="D1254" s="247" t="s">
        <v>711</v>
      </c>
      <c r="E1254" s="247" t="s">
        <v>1291</v>
      </c>
      <c r="F1254" s="247" t="s">
        <v>1984</v>
      </c>
      <c r="G1254" s="247" t="s">
        <v>1285</v>
      </c>
      <c r="H1254" s="247" t="s">
        <v>1982</v>
      </c>
      <c r="I1254" s="247" t="s">
        <v>1985</v>
      </c>
      <c r="J1254" s="247">
        <v>49</v>
      </c>
      <c r="K1254" s="247">
        <v>49</v>
      </c>
      <c r="L1254" s="249" t="s">
        <v>791</v>
      </c>
      <c r="M1254" s="249" t="s">
        <v>929</v>
      </c>
      <c r="N1254" s="248">
        <v>1952.24</v>
      </c>
      <c r="O1254" s="248">
        <v>2890.02</v>
      </c>
      <c r="P1254" s="247" t="s">
        <v>1294</v>
      </c>
      <c r="Q1254" s="247" t="s">
        <v>88</v>
      </c>
    </row>
    <row r="1255" spans="1:17" x14ac:dyDescent="0.25">
      <c r="A1255" s="247" t="s">
        <v>646</v>
      </c>
      <c r="B1255" s="247" t="s">
        <v>265</v>
      </c>
      <c r="C1255" s="247" t="s">
        <v>1283</v>
      </c>
      <c r="D1255" s="247" t="s">
        <v>711</v>
      </c>
      <c r="E1255" s="247" t="s">
        <v>1291</v>
      </c>
      <c r="F1255" s="247" t="s">
        <v>1984</v>
      </c>
      <c r="G1255" s="247" t="s">
        <v>1285</v>
      </c>
      <c r="H1255" s="247" t="s">
        <v>1982</v>
      </c>
      <c r="I1255" s="247" t="s">
        <v>1985</v>
      </c>
      <c r="J1255" s="247">
        <v>49</v>
      </c>
      <c r="K1255" s="247">
        <v>49</v>
      </c>
      <c r="L1255" s="249" t="s">
        <v>935</v>
      </c>
      <c r="M1255" s="249" t="s">
        <v>929</v>
      </c>
      <c r="N1255" s="248">
        <v>3501</v>
      </c>
      <c r="O1255" s="248">
        <v>6391.02</v>
      </c>
      <c r="P1255" s="247" t="s">
        <v>1294</v>
      </c>
      <c r="Q1255" s="247" t="s">
        <v>89</v>
      </c>
    </row>
    <row r="1256" spans="1:17" x14ac:dyDescent="0.25">
      <c r="A1256" s="247" t="s">
        <v>646</v>
      </c>
      <c r="B1256" s="247" t="s">
        <v>265</v>
      </c>
      <c r="C1256" s="247" t="s">
        <v>1283</v>
      </c>
      <c r="D1256" s="247" t="s">
        <v>711</v>
      </c>
      <c r="E1256" s="247" t="s">
        <v>1291</v>
      </c>
      <c r="F1256" s="247" t="s">
        <v>1984</v>
      </c>
      <c r="G1256" s="247" t="s">
        <v>1285</v>
      </c>
      <c r="H1256" s="247" t="s">
        <v>1982</v>
      </c>
      <c r="I1256" s="247" t="s">
        <v>1985</v>
      </c>
      <c r="J1256" s="247">
        <v>49</v>
      </c>
      <c r="K1256" s="247">
        <v>49</v>
      </c>
      <c r="L1256" s="249" t="s">
        <v>936</v>
      </c>
      <c r="M1256" s="249" t="s">
        <v>929</v>
      </c>
      <c r="N1256" s="248">
        <v>1983.69</v>
      </c>
      <c r="O1256" s="248">
        <v>8374.7099999999991</v>
      </c>
      <c r="P1256" s="247" t="s">
        <v>1294</v>
      </c>
      <c r="Q1256" s="247" t="s">
        <v>90</v>
      </c>
    </row>
    <row r="1257" spans="1:17" x14ac:dyDescent="0.25">
      <c r="A1257" s="247" t="s">
        <v>646</v>
      </c>
      <c r="B1257" s="247" t="s">
        <v>265</v>
      </c>
      <c r="C1257" s="247" t="s">
        <v>1283</v>
      </c>
      <c r="D1257" s="247" t="s">
        <v>711</v>
      </c>
      <c r="E1257" s="247" t="s">
        <v>1291</v>
      </c>
      <c r="F1257" s="247" t="s">
        <v>1984</v>
      </c>
      <c r="G1257" s="247" t="s">
        <v>1285</v>
      </c>
      <c r="H1257" s="247" t="s">
        <v>1982</v>
      </c>
      <c r="I1257" s="247" t="s">
        <v>1985</v>
      </c>
      <c r="J1257" s="247">
        <v>49</v>
      </c>
      <c r="K1257" s="247">
        <v>49</v>
      </c>
      <c r="L1257" s="249" t="s">
        <v>937</v>
      </c>
      <c r="M1257" s="249" t="s">
        <v>929</v>
      </c>
      <c r="N1257" s="248">
        <v>1350.57</v>
      </c>
      <c r="O1257" s="248">
        <v>9725.2800000000007</v>
      </c>
      <c r="P1257" s="247" t="s">
        <v>1294</v>
      </c>
      <c r="Q1257" s="247" t="s">
        <v>91</v>
      </c>
    </row>
    <row r="1258" spans="1:17" x14ac:dyDescent="0.25">
      <c r="A1258" s="247" t="s">
        <v>646</v>
      </c>
      <c r="B1258" s="247" t="s">
        <v>265</v>
      </c>
      <c r="C1258" s="247" t="s">
        <v>1283</v>
      </c>
      <c r="D1258" s="247" t="s">
        <v>711</v>
      </c>
      <c r="E1258" s="247" t="s">
        <v>1291</v>
      </c>
      <c r="F1258" s="247" t="s">
        <v>1984</v>
      </c>
      <c r="G1258" s="247" t="s">
        <v>1285</v>
      </c>
      <c r="H1258" s="247" t="s">
        <v>1982</v>
      </c>
      <c r="I1258" s="247" t="s">
        <v>1985</v>
      </c>
      <c r="J1258" s="247">
        <v>49</v>
      </c>
      <c r="K1258" s="247">
        <v>49</v>
      </c>
      <c r="L1258" s="249" t="s">
        <v>938</v>
      </c>
      <c r="M1258" s="249" t="s">
        <v>929</v>
      </c>
      <c r="N1258" s="248">
        <v>4843.08</v>
      </c>
      <c r="O1258" s="248">
        <v>14568.36</v>
      </c>
      <c r="P1258" s="247" t="s">
        <v>1294</v>
      </c>
      <c r="Q1258" s="247" t="s">
        <v>92</v>
      </c>
    </row>
    <row r="1259" spans="1:17" x14ac:dyDescent="0.25">
      <c r="A1259" s="247" t="s">
        <v>646</v>
      </c>
      <c r="B1259" s="247" t="s">
        <v>265</v>
      </c>
      <c r="C1259" s="247" t="s">
        <v>1283</v>
      </c>
      <c r="D1259" s="247" t="s">
        <v>711</v>
      </c>
      <c r="E1259" s="247" t="s">
        <v>1291</v>
      </c>
      <c r="F1259" s="247" t="s">
        <v>1984</v>
      </c>
      <c r="G1259" s="247" t="s">
        <v>1285</v>
      </c>
      <c r="H1259" s="247" t="s">
        <v>1982</v>
      </c>
      <c r="I1259" s="247" t="s">
        <v>1985</v>
      </c>
      <c r="J1259" s="247">
        <v>49</v>
      </c>
      <c r="K1259" s="247">
        <v>49</v>
      </c>
      <c r="L1259" s="249" t="s">
        <v>939</v>
      </c>
      <c r="M1259" s="249" t="s">
        <v>929</v>
      </c>
      <c r="N1259" s="248">
        <v>1555.25</v>
      </c>
      <c r="O1259" s="248">
        <v>16123.61</v>
      </c>
      <c r="P1259" s="247" t="s">
        <v>1294</v>
      </c>
      <c r="Q1259" s="247" t="s">
        <v>93</v>
      </c>
    </row>
    <row r="1260" spans="1:17" x14ac:dyDescent="0.25">
      <c r="A1260" s="247" t="s">
        <v>646</v>
      </c>
      <c r="B1260" s="247" t="s">
        <v>265</v>
      </c>
      <c r="C1260" s="247" t="s">
        <v>1283</v>
      </c>
      <c r="D1260" s="247" t="s">
        <v>711</v>
      </c>
      <c r="E1260" s="247" t="s">
        <v>1291</v>
      </c>
      <c r="F1260" s="247" t="s">
        <v>1984</v>
      </c>
      <c r="G1260" s="247" t="s">
        <v>1285</v>
      </c>
      <c r="H1260" s="247" t="s">
        <v>1982</v>
      </c>
      <c r="I1260" s="247" t="s">
        <v>1985</v>
      </c>
      <c r="J1260" s="247">
        <v>49</v>
      </c>
      <c r="K1260" s="247">
        <v>49</v>
      </c>
      <c r="L1260" s="249" t="s">
        <v>940</v>
      </c>
      <c r="M1260" s="249" t="s">
        <v>929</v>
      </c>
      <c r="N1260" s="248">
        <v>5570.75</v>
      </c>
      <c r="O1260" s="248">
        <v>21694.36</v>
      </c>
      <c r="P1260" s="247" t="s">
        <v>1294</v>
      </c>
      <c r="Q1260" s="247" t="s">
        <v>94</v>
      </c>
    </row>
    <row r="1261" spans="1:17" x14ac:dyDescent="0.25">
      <c r="A1261" s="247" t="s">
        <v>646</v>
      </c>
      <c r="B1261" s="247" t="s">
        <v>265</v>
      </c>
      <c r="C1261" s="247" t="s">
        <v>1283</v>
      </c>
      <c r="D1261" s="247" t="s">
        <v>711</v>
      </c>
      <c r="E1261" s="247" t="s">
        <v>1291</v>
      </c>
      <c r="F1261" s="247" t="s">
        <v>1984</v>
      </c>
      <c r="G1261" s="247" t="s">
        <v>1285</v>
      </c>
      <c r="H1261" s="247" t="s">
        <v>1982</v>
      </c>
      <c r="I1261" s="247" t="s">
        <v>1985</v>
      </c>
      <c r="J1261" s="247">
        <v>49</v>
      </c>
      <c r="K1261" s="247">
        <v>49</v>
      </c>
      <c r="L1261" s="249" t="s">
        <v>642</v>
      </c>
      <c r="M1261" s="249" t="s">
        <v>929</v>
      </c>
      <c r="N1261" s="248">
        <v>3799.14</v>
      </c>
      <c r="O1261" s="248">
        <v>25493.5</v>
      </c>
      <c r="P1261" s="247" t="s">
        <v>1294</v>
      </c>
      <c r="Q1261" s="247" t="s">
        <v>95</v>
      </c>
    </row>
    <row r="1262" spans="1:17" x14ac:dyDescent="0.25">
      <c r="A1262" s="247" t="s">
        <v>646</v>
      </c>
      <c r="B1262" s="247" t="s">
        <v>265</v>
      </c>
      <c r="C1262" s="247" t="s">
        <v>1283</v>
      </c>
      <c r="D1262" s="247" t="s">
        <v>569</v>
      </c>
      <c r="E1262" s="247" t="s">
        <v>1291</v>
      </c>
      <c r="F1262" s="247" t="s">
        <v>1986</v>
      </c>
      <c r="G1262" s="247" t="s">
        <v>1287</v>
      </c>
      <c r="H1262" s="247" t="s">
        <v>1982</v>
      </c>
      <c r="I1262" s="247" t="s">
        <v>1987</v>
      </c>
      <c r="J1262" s="247">
        <v>50</v>
      </c>
      <c r="K1262" s="247">
        <v>50</v>
      </c>
      <c r="L1262" s="249" t="s">
        <v>646</v>
      </c>
      <c r="M1262" s="249" t="s">
        <v>933</v>
      </c>
      <c r="N1262" s="248">
        <v>1585.48</v>
      </c>
      <c r="O1262" s="248">
        <v>16182.44</v>
      </c>
      <c r="P1262" s="247" t="s">
        <v>1295</v>
      </c>
      <c r="Q1262" s="247" t="s">
        <v>84</v>
      </c>
    </row>
    <row r="1263" spans="1:17" x14ac:dyDescent="0.25">
      <c r="A1263" s="247" t="s">
        <v>646</v>
      </c>
      <c r="B1263" s="247" t="s">
        <v>265</v>
      </c>
      <c r="C1263" s="247" t="s">
        <v>1283</v>
      </c>
      <c r="D1263" s="247" t="s">
        <v>569</v>
      </c>
      <c r="E1263" s="247" t="s">
        <v>1291</v>
      </c>
      <c r="F1263" s="247" t="s">
        <v>1986</v>
      </c>
      <c r="G1263" s="247" t="s">
        <v>1287</v>
      </c>
      <c r="H1263" s="247" t="s">
        <v>1982</v>
      </c>
      <c r="I1263" s="247" t="s">
        <v>1987</v>
      </c>
      <c r="J1263" s="247">
        <v>50</v>
      </c>
      <c r="K1263" s="247">
        <v>50</v>
      </c>
      <c r="L1263" s="249" t="s">
        <v>650</v>
      </c>
      <c r="M1263" s="249" t="s">
        <v>933</v>
      </c>
      <c r="N1263" s="248">
        <v>990.68</v>
      </c>
      <c r="O1263" s="248">
        <v>17173.12</v>
      </c>
      <c r="P1263" s="247" t="s">
        <v>1295</v>
      </c>
      <c r="Q1263" s="247" t="s">
        <v>85</v>
      </c>
    </row>
    <row r="1264" spans="1:17" x14ac:dyDescent="0.25">
      <c r="A1264" s="247" t="s">
        <v>646</v>
      </c>
      <c r="B1264" s="247" t="s">
        <v>265</v>
      </c>
      <c r="C1264" s="247" t="s">
        <v>1283</v>
      </c>
      <c r="D1264" s="247" t="s">
        <v>569</v>
      </c>
      <c r="E1264" s="247" t="s">
        <v>1291</v>
      </c>
      <c r="F1264" s="247" t="s">
        <v>1986</v>
      </c>
      <c r="G1264" s="247" t="s">
        <v>1287</v>
      </c>
      <c r="H1264" s="247" t="s">
        <v>1982</v>
      </c>
      <c r="I1264" s="247" t="s">
        <v>1987</v>
      </c>
      <c r="J1264" s="247">
        <v>50</v>
      </c>
      <c r="K1264" s="247">
        <v>50</v>
      </c>
      <c r="L1264" s="249" t="s">
        <v>652</v>
      </c>
      <c r="M1264" s="249" t="s">
        <v>933</v>
      </c>
      <c r="N1264" s="248">
        <v>982.65</v>
      </c>
      <c r="O1264" s="248">
        <v>18155.77</v>
      </c>
      <c r="P1264" s="247" t="s">
        <v>1295</v>
      </c>
      <c r="Q1264" s="247" t="s">
        <v>86</v>
      </c>
    </row>
    <row r="1265" spans="1:17" x14ac:dyDescent="0.25">
      <c r="A1265" s="247" t="s">
        <v>646</v>
      </c>
      <c r="B1265" s="247" t="s">
        <v>265</v>
      </c>
      <c r="C1265" s="247" t="s">
        <v>1283</v>
      </c>
      <c r="D1265" s="247" t="s">
        <v>569</v>
      </c>
      <c r="E1265" s="247" t="s">
        <v>1291</v>
      </c>
      <c r="F1265" s="247" t="s">
        <v>1986</v>
      </c>
      <c r="G1265" s="247" t="s">
        <v>1287</v>
      </c>
      <c r="H1265" s="247" t="s">
        <v>1982</v>
      </c>
      <c r="I1265" s="247" t="s">
        <v>1987</v>
      </c>
      <c r="J1265" s="247">
        <v>50</v>
      </c>
      <c r="K1265" s="247">
        <v>50</v>
      </c>
      <c r="L1265" s="249" t="s">
        <v>789</v>
      </c>
      <c r="M1265" s="249" t="s">
        <v>929</v>
      </c>
      <c r="N1265" s="248">
        <v>1208</v>
      </c>
      <c r="O1265" s="248">
        <v>1208</v>
      </c>
      <c r="P1265" s="247" t="s">
        <v>1295</v>
      </c>
      <c r="Q1265" s="247" t="s">
        <v>87</v>
      </c>
    </row>
    <row r="1266" spans="1:17" x14ac:dyDescent="0.25">
      <c r="A1266" s="247" t="s">
        <v>646</v>
      </c>
      <c r="B1266" s="247" t="s">
        <v>265</v>
      </c>
      <c r="C1266" s="247" t="s">
        <v>1283</v>
      </c>
      <c r="D1266" s="247" t="s">
        <v>569</v>
      </c>
      <c r="E1266" s="247" t="s">
        <v>1291</v>
      </c>
      <c r="F1266" s="247" t="s">
        <v>1986</v>
      </c>
      <c r="G1266" s="247" t="s">
        <v>1287</v>
      </c>
      <c r="H1266" s="247" t="s">
        <v>1982</v>
      </c>
      <c r="I1266" s="247" t="s">
        <v>1987</v>
      </c>
      <c r="J1266" s="247">
        <v>50</v>
      </c>
      <c r="K1266" s="247">
        <v>50</v>
      </c>
      <c r="L1266" s="249" t="s">
        <v>791</v>
      </c>
      <c r="M1266" s="249" t="s">
        <v>929</v>
      </c>
      <c r="N1266" s="248">
        <v>1352.15</v>
      </c>
      <c r="O1266" s="248">
        <v>2560.15</v>
      </c>
      <c r="P1266" s="247" t="s">
        <v>1295</v>
      </c>
      <c r="Q1266" s="247" t="s">
        <v>88</v>
      </c>
    </row>
    <row r="1267" spans="1:17" x14ac:dyDescent="0.25">
      <c r="A1267" s="247" t="s">
        <v>646</v>
      </c>
      <c r="B1267" s="247" t="s">
        <v>265</v>
      </c>
      <c r="C1267" s="247" t="s">
        <v>1283</v>
      </c>
      <c r="D1267" s="247" t="s">
        <v>569</v>
      </c>
      <c r="E1267" s="247" t="s">
        <v>1291</v>
      </c>
      <c r="F1267" s="247" t="s">
        <v>1986</v>
      </c>
      <c r="G1267" s="247" t="s">
        <v>1287</v>
      </c>
      <c r="H1267" s="247" t="s">
        <v>1982</v>
      </c>
      <c r="I1267" s="247" t="s">
        <v>1987</v>
      </c>
      <c r="J1267" s="247">
        <v>50</v>
      </c>
      <c r="K1267" s="247">
        <v>50</v>
      </c>
      <c r="L1267" s="249" t="s">
        <v>935</v>
      </c>
      <c r="M1267" s="249" t="s">
        <v>929</v>
      </c>
      <c r="N1267" s="248">
        <v>1688.73</v>
      </c>
      <c r="O1267" s="248">
        <v>4248.88</v>
      </c>
      <c r="P1267" s="247" t="s">
        <v>1295</v>
      </c>
      <c r="Q1267" s="247" t="s">
        <v>89</v>
      </c>
    </row>
    <row r="1268" spans="1:17" x14ac:dyDescent="0.25">
      <c r="A1268" s="247" t="s">
        <v>646</v>
      </c>
      <c r="B1268" s="247" t="s">
        <v>265</v>
      </c>
      <c r="C1268" s="247" t="s">
        <v>1283</v>
      </c>
      <c r="D1268" s="247" t="s">
        <v>569</v>
      </c>
      <c r="E1268" s="247" t="s">
        <v>1291</v>
      </c>
      <c r="F1268" s="247" t="s">
        <v>1986</v>
      </c>
      <c r="G1268" s="247" t="s">
        <v>1287</v>
      </c>
      <c r="H1268" s="247" t="s">
        <v>1982</v>
      </c>
      <c r="I1268" s="247" t="s">
        <v>1987</v>
      </c>
      <c r="J1268" s="247">
        <v>50</v>
      </c>
      <c r="K1268" s="247">
        <v>50</v>
      </c>
      <c r="L1268" s="249" t="s">
        <v>936</v>
      </c>
      <c r="M1268" s="249" t="s">
        <v>929</v>
      </c>
      <c r="N1268" s="248">
        <v>2095.5700000000002</v>
      </c>
      <c r="O1268" s="248">
        <v>6344.45</v>
      </c>
      <c r="P1268" s="247" t="s">
        <v>1295</v>
      </c>
      <c r="Q1268" s="247" t="s">
        <v>90</v>
      </c>
    </row>
    <row r="1269" spans="1:17" x14ac:dyDescent="0.25">
      <c r="A1269" s="247" t="s">
        <v>646</v>
      </c>
      <c r="B1269" s="247" t="s">
        <v>265</v>
      </c>
      <c r="C1269" s="247" t="s">
        <v>1283</v>
      </c>
      <c r="D1269" s="247" t="s">
        <v>569</v>
      </c>
      <c r="E1269" s="247" t="s">
        <v>1291</v>
      </c>
      <c r="F1269" s="247" t="s">
        <v>1986</v>
      </c>
      <c r="G1269" s="247" t="s">
        <v>1287</v>
      </c>
      <c r="H1269" s="247" t="s">
        <v>1982</v>
      </c>
      <c r="I1269" s="247" t="s">
        <v>1987</v>
      </c>
      <c r="J1269" s="247">
        <v>50</v>
      </c>
      <c r="K1269" s="247">
        <v>50</v>
      </c>
      <c r="L1269" s="249" t="s">
        <v>937</v>
      </c>
      <c r="M1269" s="249" t="s">
        <v>929</v>
      </c>
      <c r="N1269" s="248">
        <v>1398.77</v>
      </c>
      <c r="O1269" s="248">
        <v>7743.22</v>
      </c>
      <c r="P1269" s="247" t="s">
        <v>1295</v>
      </c>
      <c r="Q1269" s="247" t="s">
        <v>91</v>
      </c>
    </row>
    <row r="1270" spans="1:17" x14ac:dyDescent="0.25">
      <c r="A1270" s="247" t="s">
        <v>646</v>
      </c>
      <c r="B1270" s="247" t="s">
        <v>265</v>
      </c>
      <c r="C1270" s="247" t="s">
        <v>1283</v>
      </c>
      <c r="D1270" s="247" t="s">
        <v>569</v>
      </c>
      <c r="E1270" s="247" t="s">
        <v>1291</v>
      </c>
      <c r="F1270" s="247" t="s">
        <v>1986</v>
      </c>
      <c r="G1270" s="247" t="s">
        <v>1287</v>
      </c>
      <c r="H1270" s="247" t="s">
        <v>1982</v>
      </c>
      <c r="I1270" s="247" t="s">
        <v>1987</v>
      </c>
      <c r="J1270" s="247">
        <v>50</v>
      </c>
      <c r="K1270" s="247">
        <v>50</v>
      </c>
      <c r="L1270" s="249" t="s">
        <v>938</v>
      </c>
      <c r="M1270" s="249" t="s">
        <v>929</v>
      </c>
      <c r="N1270" s="248">
        <v>1067.98</v>
      </c>
      <c r="O1270" s="248">
        <v>8811.2000000000007</v>
      </c>
      <c r="P1270" s="247" t="s">
        <v>1295</v>
      </c>
      <c r="Q1270" s="247" t="s">
        <v>92</v>
      </c>
    </row>
    <row r="1271" spans="1:17" x14ac:dyDescent="0.25">
      <c r="A1271" s="247" t="s">
        <v>646</v>
      </c>
      <c r="B1271" s="247" t="s">
        <v>265</v>
      </c>
      <c r="C1271" s="247" t="s">
        <v>1283</v>
      </c>
      <c r="D1271" s="247" t="s">
        <v>569</v>
      </c>
      <c r="E1271" s="247" t="s">
        <v>1291</v>
      </c>
      <c r="F1271" s="247" t="s">
        <v>1986</v>
      </c>
      <c r="G1271" s="247" t="s">
        <v>1287</v>
      </c>
      <c r="H1271" s="247" t="s">
        <v>1982</v>
      </c>
      <c r="I1271" s="247" t="s">
        <v>1987</v>
      </c>
      <c r="J1271" s="247">
        <v>50</v>
      </c>
      <c r="K1271" s="247">
        <v>50</v>
      </c>
      <c r="L1271" s="249" t="s">
        <v>939</v>
      </c>
      <c r="M1271" s="249" t="s">
        <v>929</v>
      </c>
      <c r="N1271" s="248">
        <v>1104.76</v>
      </c>
      <c r="O1271" s="248">
        <v>9915.9599999999991</v>
      </c>
      <c r="P1271" s="247" t="s">
        <v>1295</v>
      </c>
      <c r="Q1271" s="247" t="s">
        <v>93</v>
      </c>
    </row>
    <row r="1272" spans="1:17" x14ac:dyDescent="0.25">
      <c r="A1272" s="247" t="s">
        <v>646</v>
      </c>
      <c r="B1272" s="247" t="s">
        <v>265</v>
      </c>
      <c r="C1272" s="247" t="s">
        <v>1283</v>
      </c>
      <c r="D1272" s="247" t="s">
        <v>569</v>
      </c>
      <c r="E1272" s="247" t="s">
        <v>1291</v>
      </c>
      <c r="F1272" s="247" t="s">
        <v>1986</v>
      </c>
      <c r="G1272" s="247" t="s">
        <v>1287</v>
      </c>
      <c r="H1272" s="247" t="s">
        <v>1982</v>
      </c>
      <c r="I1272" s="247" t="s">
        <v>1987</v>
      </c>
      <c r="J1272" s="247">
        <v>50</v>
      </c>
      <c r="K1272" s="247">
        <v>50</v>
      </c>
      <c r="L1272" s="249" t="s">
        <v>940</v>
      </c>
      <c r="M1272" s="249" t="s">
        <v>929</v>
      </c>
      <c r="N1272" s="248">
        <v>1407.01</v>
      </c>
      <c r="O1272" s="248">
        <v>11322.97</v>
      </c>
      <c r="P1272" s="247" t="s">
        <v>1295</v>
      </c>
      <c r="Q1272" s="247" t="s">
        <v>94</v>
      </c>
    </row>
    <row r="1273" spans="1:17" x14ac:dyDescent="0.25">
      <c r="A1273" s="247" t="s">
        <v>646</v>
      </c>
      <c r="B1273" s="247" t="s">
        <v>265</v>
      </c>
      <c r="C1273" s="247" t="s">
        <v>1283</v>
      </c>
      <c r="D1273" s="247" t="s">
        <v>569</v>
      </c>
      <c r="E1273" s="247" t="s">
        <v>1291</v>
      </c>
      <c r="F1273" s="247" t="s">
        <v>1986</v>
      </c>
      <c r="G1273" s="247" t="s">
        <v>1287</v>
      </c>
      <c r="H1273" s="247" t="s">
        <v>1982</v>
      </c>
      <c r="I1273" s="247" t="s">
        <v>1987</v>
      </c>
      <c r="J1273" s="247">
        <v>50</v>
      </c>
      <c r="K1273" s="247">
        <v>50</v>
      </c>
      <c r="L1273" s="249" t="s">
        <v>642</v>
      </c>
      <c r="M1273" s="249" t="s">
        <v>929</v>
      </c>
      <c r="N1273" s="248">
        <v>1951.89</v>
      </c>
      <c r="O1273" s="248">
        <v>13274.86</v>
      </c>
      <c r="P1273" s="247" t="s">
        <v>1295</v>
      </c>
      <c r="Q1273" s="247" t="s">
        <v>95</v>
      </c>
    </row>
    <row r="1274" spans="1:17" x14ac:dyDescent="0.25">
      <c r="A1274" s="247" t="s">
        <v>646</v>
      </c>
      <c r="B1274" s="247" t="s">
        <v>265</v>
      </c>
      <c r="C1274" s="247" t="s">
        <v>1283</v>
      </c>
      <c r="D1274" s="247" t="s">
        <v>711</v>
      </c>
      <c r="E1274" s="247" t="s">
        <v>1296</v>
      </c>
      <c r="F1274" s="247" t="s">
        <v>1988</v>
      </c>
      <c r="G1274" s="247" t="s">
        <v>1285</v>
      </c>
      <c r="H1274" s="247" t="s">
        <v>1989</v>
      </c>
      <c r="I1274" s="247" t="s">
        <v>1990</v>
      </c>
      <c r="J1274" s="247">
        <v>49</v>
      </c>
      <c r="K1274" s="247">
        <v>49</v>
      </c>
      <c r="L1274" s="249" t="s">
        <v>646</v>
      </c>
      <c r="M1274" s="249" t="s">
        <v>933</v>
      </c>
      <c r="N1274" s="248">
        <v>5325.24</v>
      </c>
      <c r="O1274" s="248">
        <v>7849.98</v>
      </c>
      <c r="P1274" s="247" t="s">
        <v>1297</v>
      </c>
      <c r="Q1274" s="247" t="s">
        <v>84</v>
      </c>
    </row>
    <row r="1275" spans="1:17" x14ac:dyDescent="0.25">
      <c r="A1275" s="247" t="s">
        <v>646</v>
      </c>
      <c r="B1275" s="247" t="s">
        <v>265</v>
      </c>
      <c r="C1275" s="247" t="s">
        <v>1283</v>
      </c>
      <c r="D1275" s="247" t="s">
        <v>711</v>
      </c>
      <c r="E1275" s="247" t="s">
        <v>1296</v>
      </c>
      <c r="F1275" s="247" t="s">
        <v>1988</v>
      </c>
      <c r="G1275" s="247" t="s">
        <v>1285</v>
      </c>
      <c r="H1275" s="247" t="s">
        <v>1989</v>
      </c>
      <c r="I1275" s="247" t="s">
        <v>1990</v>
      </c>
      <c r="J1275" s="247">
        <v>49</v>
      </c>
      <c r="K1275" s="247">
        <v>49</v>
      </c>
      <c r="L1275" s="249" t="s">
        <v>650</v>
      </c>
      <c r="M1275" s="249" t="s">
        <v>933</v>
      </c>
      <c r="N1275" s="248">
        <v>3616</v>
      </c>
      <c r="O1275" s="248">
        <v>11465.98</v>
      </c>
      <c r="P1275" s="247" t="s">
        <v>1297</v>
      </c>
      <c r="Q1275" s="247" t="s">
        <v>85</v>
      </c>
    </row>
    <row r="1276" spans="1:17" x14ac:dyDescent="0.25">
      <c r="A1276" s="247" t="s">
        <v>646</v>
      </c>
      <c r="B1276" s="247" t="s">
        <v>265</v>
      </c>
      <c r="C1276" s="247" t="s">
        <v>1283</v>
      </c>
      <c r="D1276" s="247" t="s">
        <v>711</v>
      </c>
      <c r="E1276" s="247" t="s">
        <v>1296</v>
      </c>
      <c r="F1276" s="247" t="s">
        <v>1988</v>
      </c>
      <c r="G1276" s="247" t="s">
        <v>1285</v>
      </c>
      <c r="H1276" s="247" t="s">
        <v>1989</v>
      </c>
      <c r="I1276" s="247" t="s">
        <v>1990</v>
      </c>
      <c r="J1276" s="247">
        <v>49</v>
      </c>
      <c r="K1276" s="247">
        <v>49</v>
      </c>
      <c r="L1276" s="249" t="s">
        <v>652</v>
      </c>
      <c r="M1276" s="249" t="s">
        <v>933</v>
      </c>
      <c r="N1276" s="248">
        <v>3063.88</v>
      </c>
      <c r="O1276" s="248">
        <v>14529.86</v>
      </c>
      <c r="P1276" s="247" t="s">
        <v>1297</v>
      </c>
      <c r="Q1276" s="247" t="s">
        <v>86</v>
      </c>
    </row>
    <row r="1277" spans="1:17" x14ac:dyDescent="0.25">
      <c r="A1277" s="247" t="s">
        <v>646</v>
      </c>
      <c r="B1277" s="247" t="s">
        <v>265</v>
      </c>
      <c r="C1277" s="247" t="s">
        <v>1283</v>
      </c>
      <c r="D1277" s="247" t="s">
        <v>711</v>
      </c>
      <c r="E1277" s="247" t="s">
        <v>1296</v>
      </c>
      <c r="F1277" s="247" t="s">
        <v>1988</v>
      </c>
      <c r="G1277" s="247" t="s">
        <v>1285</v>
      </c>
      <c r="H1277" s="247" t="s">
        <v>1989</v>
      </c>
      <c r="I1277" s="247" t="s">
        <v>1990</v>
      </c>
      <c r="J1277" s="247">
        <v>49</v>
      </c>
      <c r="K1277" s="247">
        <v>49</v>
      </c>
      <c r="L1277" s="249" t="s">
        <v>789</v>
      </c>
      <c r="M1277" s="249" t="s">
        <v>929</v>
      </c>
      <c r="N1277" s="248">
        <v>3259.32</v>
      </c>
      <c r="O1277" s="248">
        <v>3259.32</v>
      </c>
      <c r="P1277" s="247" t="s">
        <v>1297</v>
      </c>
      <c r="Q1277" s="247" t="s">
        <v>87</v>
      </c>
    </row>
    <row r="1278" spans="1:17" x14ac:dyDescent="0.25">
      <c r="A1278" s="247" t="s">
        <v>646</v>
      </c>
      <c r="B1278" s="247" t="s">
        <v>265</v>
      </c>
      <c r="C1278" s="247" t="s">
        <v>1283</v>
      </c>
      <c r="D1278" s="247" t="s">
        <v>711</v>
      </c>
      <c r="E1278" s="247" t="s">
        <v>1296</v>
      </c>
      <c r="F1278" s="247" t="s">
        <v>1988</v>
      </c>
      <c r="G1278" s="247" t="s">
        <v>1285</v>
      </c>
      <c r="H1278" s="247" t="s">
        <v>1989</v>
      </c>
      <c r="I1278" s="247" t="s">
        <v>1990</v>
      </c>
      <c r="J1278" s="247">
        <v>49</v>
      </c>
      <c r="K1278" s="247">
        <v>49</v>
      </c>
      <c r="L1278" s="249" t="s">
        <v>791</v>
      </c>
      <c r="M1278" s="249" t="s">
        <v>929</v>
      </c>
      <c r="N1278" s="248">
        <v>3923.74</v>
      </c>
      <c r="O1278" s="248">
        <v>7183.06</v>
      </c>
      <c r="P1278" s="247" t="s">
        <v>1297</v>
      </c>
      <c r="Q1278" s="247" t="s">
        <v>88</v>
      </c>
    </row>
    <row r="1279" spans="1:17" x14ac:dyDescent="0.25">
      <c r="A1279" s="247" t="s">
        <v>646</v>
      </c>
      <c r="B1279" s="247" t="s">
        <v>265</v>
      </c>
      <c r="C1279" s="247" t="s">
        <v>1283</v>
      </c>
      <c r="D1279" s="247" t="s">
        <v>711</v>
      </c>
      <c r="E1279" s="247" t="s">
        <v>1296</v>
      </c>
      <c r="F1279" s="247" t="s">
        <v>1988</v>
      </c>
      <c r="G1279" s="247" t="s">
        <v>1285</v>
      </c>
      <c r="H1279" s="247" t="s">
        <v>1989</v>
      </c>
      <c r="I1279" s="247" t="s">
        <v>1990</v>
      </c>
      <c r="J1279" s="247">
        <v>49</v>
      </c>
      <c r="K1279" s="247">
        <v>49</v>
      </c>
      <c r="L1279" s="249" t="s">
        <v>935</v>
      </c>
      <c r="M1279" s="249" t="s">
        <v>929</v>
      </c>
      <c r="N1279" s="248">
        <v>4012.04</v>
      </c>
      <c r="O1279" s="248">
        <v>11195.1</v>
      </c>
      <c r="P1279" s="247" t="s">
        <v>1297</v>
      </c>
      <c r="Q1279" s="247" t="s">
        <v>89</v>
      </c>
    </row>
    <row r="1280" spans="1:17" x14ac:dyDescent="0.25">
      <c r="A1280" s="247" t="s">
        <v>646</v>
      </c>
      <c r="B1280" s="247" t="s">
        <v>265</v>
      </c>
      <c r="C1280" s="247" t="s">
        <v>1283</v>
      </c>
      <c r="D1280" s="247" t="s">
        <v>711</v>
      </c>
      <c r="E1280" s="247" t="s">
        <v>1296</v>
      </c>
      <c r="F1280" s="247" t="s">
        <v>1988</v>
      </c>
      <c r="G1280" s="247" t="s">
        <v>1285</v>
      </c>
      <c r="H1280" s="247" t="s">
        <v>1989</v>
      </c>
      <c r="I1280" s="247" t="s">
        <v>1990</v>
      </c>
      <c r="J1280" s="247">
        <v>49</v>
      </c>
      <c r="K1280" s="247">
        <v>49</v>
      </c>
      <c r="L1280" s="249" t="s">
        <v>936</v>
      </c>
      <c r="M1280" s="249" t="s">
        <v>929</v>
      </c>
      <c r="N1280" s="248">
        <v>3583.81</v>
      </c>
      <c r="O1280" s="248">
        <v>14778.91</v>
      </c>
      <c r="P1280" s="247" t="s">
        <v>1297</v>
      </c>
      <c r="Q1280" s="247" t="s">
        <v>90</v>
      </c>
    </row>
    <row r="1281" spans="1:17" x14ac:dyDescent="0.25">
      <c r="A1281" s="247" t="s">
        <v>646</v>
      </c>
      <c r="B1281" s="247" t="s">
        <v>265</v>
      </c>
      <c r="C1281" s="247" t="s">
        <v>1283</v>
      </c>
      <c r="D1281" s="247" t="s">
        <v>711</v>
      </c>
      <c r="E1281" s="247" t="s">
        <v>1296</v>
      </c>
      <c r="F1281" s="247" t="s">
        <v>1988</v>
      </c>
      <c r="G1281" s="247" t="s">
        <v>1285</v>
      </c>
      <c r="H1281" s="247" t="s">
        <v>1989</v>
      </c>
      <c r="I1281" s="247" t="s">
        <v>1990</v>
      </c>
      <c r="J1281" s="247">
        <v>49</v>
      </c>
      <c r="K1281" s="247">
        <v>49</v>
      </c>
      <c r="L1281" s="249" t="s">
        <v>937</v>
      </c>
      <c r="M1281" s="249" t="s">
        <v>929</v>
      </c>
      <c r="N1281" s="248">
        <v>3924.34</v>
      </c>
      <c r="O1281" s="248">
        <v>18703.25</v>
      </c>
      <c r="P1281" s="247" t="s">
        <v>1297</v>
      </c>
      <c r="Q1281" s="247" t="s">
        <v>91</v>
      </c>
    </row>
    <row r="1282" spans="1:17" x14ac:dyDescent="0.25">
      <c r="A1282" s="247" t="s">
        <v>646</v>
      </c>
      <c r="B1282" s="247" t="s">
        <v>265</v>
      </c>
      <c r="C1282" s="247" t="s">
        <v>1283</v>
      </c>
      <c r="D1282" s="247" t="s">
        <v>711</v>
      </c>
      <c r="E1282" s="247" t="s">
        <v>1296</v>
      </c>
      <c r="F1282" s="247" t="s">
        <v>1988</v>
      </c>
      <c r="G1282" s="247" t="s">
        <v>1285</v>
      </c>
      <c r="H1282" s="247" t="s">
        <v>1989</v>
      </c>
      <c r="I1282" s="247" t="s">
        <v>1990</v>
      </c>
      <c r="J1282" s="247">
        <v>49</v>
      </c>
      <c r="K1282" s="247">
        <v>49</v>
      </c>
      <c r="L1282" s="249" t="s">
        <v>938</v>
      </c>
      <c r="M1282" s="249" t="s">
        <v>929</v>
      </c>
      <c r="N1282" s="248">
        <v>4176.09</v>
      </c>
      <c r="O1282" s="248">
        <v>22879.34</v>
      </c>
      <c r="P1282" s="247" t="s">
        <v>1297</v>
      </c>
      <c r="Q1282" s="247" t="s">
        <v>92</v>
      </c>
    </row>
    <row r="1283" spans="1:17" x14ac:dyDescent="0.25">
      <c r="A1283" s="247" t="s">
        <v>646</v>
      </c>
      <c r="B1283" s="247" t="s">
        <v>265</v>
      </c>
      <c r="C1283" s="247" t="s">
        <v>1283</v>
      </c>
      <c r="D1283" s="247" t="s">
        <v>711</v>
      </c>
      <c r="E1283" s="247" t="s">
        <v>1296</v>
      </c>
      <c r="F1283" s="247" t="s">
        <v>1988</v>
      </c>
      <c r="G1283" s="247" t="s">
        <v>1285</v>
      </c>
      <c r="H1283" s="247" t="s">
        <v>1989</v>
      </c>
      <c r="I1283" s="247" t="s">
        <v>1990</v>
      </c>
      <c r="J1283" s="247">
        <v>49</v>
      </c>
      <c r="K1283" s="247">
        <v>49</v>
      </c>
      <c r="L1283" s="249" t="s">
        <v>939</v>
      </c>
      <c r="M1283" s="249" t="s">
        <v>929</v>
      </c>
      <c r="N1283" s="248">
        <v>3898.75</v>
      </c>
      <c r="O1283" s="248">
        <v>26778.09</v>
      </c>
      <c r="P1283" s="247" t="s">
        <v>1297</v>
      </c>
      <c r="Q1283" s="247" t="s">
        <v>93</v>
      </c>
    </row>
    <row r="1284" spans="1:17" x14ac:dyDescent="0.25">
      <c r="A1284" s="247" t="s">
        <v>646</v>
      </c>
      <c r="B1284" s="247" t="s">
        <v>265</v>
      </c>
      <c r="C1284" s="247" t="s">
        <v>1283</v>
      </c>
      <c r="D1284" s="247" t="s">
        <v>711</v>
      </c>
      <c r="E1284" s="247" t="s">
        <v>1296</v>
      </c>
      <c r="F1284" s="247" t="s">
        <v>1988</v>
      </c>
      <c r="G1284" s="247" t="s">
        <v>1285</v>
      </c>
      <c r="H1284" s="247" t="s">
        <v>1989</v>
      </c>
      <c r="I1284" s="247" t="s">
        <v>1990</v>
      </c>
      <c r="J1284" s="247">
        <v>49</v>
      </c>
      <c r="K1284" s="247">
        <v>49</v>
      </c>
      <c r="L1284" s="249" t="s">
        <v>940</v>
      </c>
      <c r="M1284" s="249" t="s">
        <v>929</v>
      </c>
      <c r="N1284" s="248">
        <v>4714.75</v>
      </c>
      <c r="O1284" s="248">
        <v>31492.84</v>
      </c>
      <c r="P1284" s="247" t="s">
        <v>1297</v>
      </c>
      <c r="Q1284" s="247" t="s">
        <v>94</v>
      </c>
    </row>
    <row r="1285" spans="1:17" x14ac:dyDescent="0.25">
      <c r="A1285" s="247" t="s">
        <v>646</v>
      </c>
      <c r="B1285" s="247" t="s">
        <v>265</v>
      </c>
      <c r="C1285" s="247" t="s">
        <v>1283</v>
      </c>
      <c r="D1285" s="247" t="s">
        <v>711</v>
      </c>
      <c r="E1285" s="247" t="s">
        <v>1296</v>
      </c>
      <c r="F1285" s="247" t="s">
        <v>1988</v>
      </c>
      <c r="G1285" s="247" t="s">
        <v>1285</v>
      </c>
      <c r="H1285" s="247" t="s">
        <v>1989</v>
      </c>
      <c r="I1285" s="247" t="s">
        <v>1990</v>
      </c>
      <c r="J1285" s="247">
        <v>49</v>
      </c>
      <c r="K1285" s="247">
        <v>49</v>
      </c>
      <c r="L1285" s="249" t="s">
        <v>642</v>
      </c>
      <c r="M1285" s="249" t="s">
        <v>929</v>
      </c>
      <c r="N1285" s="248">
        <v>3818.79</v>
      </c>
      <c r="O1285" s="248">
        <v>35311.629999999997</v>
      </c>
      <c r="P1285" s="247" t="s">
        <v>1297</v>
      </c>
      <c r="Q1285" s="247" t="s">
        <v>95</v>
      </c>
    </row>
    <row r="1286" spans="1:17" x14ac:dyDescent="0.25">
      <c r="A1286" s="247" t="s">
        <v>646</v>
      </c>
      <c r="B1286" s="247" t="s">
        <v>265</v>
      </c>
      <c r="C1286" s="247" t="s">
        <v>1283</v>
      </c>
      <c r="D1286" s="247" t="s">
        <v>569</v>
      </c>
      <c r="E1286" s="247" t="s">
        <v>1296</v>
      </c>
      <c r="F1286" s="247" t="s">
        <v>1991</v>
      </c>
      <c r="G1286" s="247" t="s">
        <v>1287</v>
      </c>
      <c r="H1286" s="247" t="s">
        <v>1989</v>
      </c>
      <c r="I1286" s="247" t="s">
        <v>1992</v>
      </c>
      <c r="J1286" s="247">
        <v>50</v>
      </c>
      <c r="K1286" s="247">
        <v>50</v>
      </c>
      <c r="L1286" s="249" t="s">
        <v>646</v>
      </c>
      <c r="M1286" s="249" t="s">
        <v>933</v>
      </c>
      <c r="N1286" s="248">
        <v>828.18</v>
      </c>
      <c r="O1286" s="248">
        <v>828.18</v>
      </c>
      <c r="P1286" s="247" t="s">
        <v>1298</v>
      </c>
      <c r="Q1286" s="247" t="s">
        <v>84</v>
      </c>
    </row>
    <row r="1287" spans="1:17" x14ac:dyDescent="0.25">
      <c r="A1287" s="247" t="s">
        <v>646</v>
      </c>
      <c r="B1287" s="247" t="s">
        <v>265</v>
      </c>
      <c r="C1287" s="247" t="s">
        <v>1283</v>
      </c>
      <c r="D1287" s="247" t="s">
        <v>569</v>
      </c>
      <c r="E1287" s="247" t="s">
        <v>1296</v>
      </c>
      <c r="F1287" s="247" t="s">
        <v>1991</v>
      </c>
      <c r="G1287" s="247" t="s">
        <v>1287</v>
      </c>
      <c r="H1287" s="247" t="s">
        <v>1989</v>
      </c>
      <c r="I1287" s="247" t="s">
        <v>1992</v>
      </c>
      <c r="J1287" s="247">
        <v>50</v>
      </c>
      <c r="K1287" s="247">
        <v>50</v>
      </c>
      <c r="L1287" s="249" t="s">
        <v>650</v>
      </c>
      <c r="M1287" s="249" t="s">
        <v>933</v>
      </c>
      <c r="N1287" s="248">
        <v>661.39</v>
      </c>
      <c r="O1287" s="248">
        <v>1489.57</v>
      </c>
      <c r="P1287" s="247" t="s">
        <v>1298</v>
      </c>
      <c r="Q1287" s="247" t="s">
        <v>85</v>
      </c>
    </row>
    <row r="1288" spans="1:17" x14ac:dyDescent="0.25">
      <c r="A1288" s="247" t="s">
        <v>646</v>
      </c>
      <c r="B1288" s="247" t="s">
        <v>265</v>
      </c>
      <c r="C1288" s="247" t="s">
        <v>1283</v>
      </c>
      <c r="D1288" s="247" t="s">
        <v>569</v>
      </c>
      <c r="E1288" s="247" t="s">
        <v>1296</v>
      </c>
      <c r="F1288" s="247" t="s">
        <v>1991</v>
      </c>
      <c r="G1288" s="247" t="s">
        <v>1287</v>
      </c>
      <c r="H1288" s="247" t="s">
        <v>1989</v>
      </c>
      <c r="I1288" s="247" t="s">
        <v>1992</v>
      </c>
      <c r="J1288" s="247">
        <v>50</v>
      </c>
      <c r="K1288" s="247">
        <v>50</v>
      </c>
      <c r="L1288" s="249" t="s">
        <v>652</v>
      </c>
      <c r="M1288" s="249" t="s">
        <v>933</v>
      </c>
      <c r="N1288" s="248">
        <v>0</v>
      </c>
      <c r="O1288" s="248">
        <v>1489.57</v>
      </c>
      <c r="P1288" s="247" t="s">
        <v>1298</v>
      </c>
      <c r="Q1288" s="247" t="s">
        <v>86</v>
      </c>
    </row>
    <row r="1289" spans="1:17" x14ac:dyDescent="0.25">
      <c r="A1289" s="247" t="s">
        <v>646</v>
      </c>
      <c r="B1289" s="247" t="s">
        <v>265</v>
      </c>
      <c r="C1289" s="247" t="s">
        <v>1283</v>
      </c>
      <c r="D1289" s="247" t="s">
        <v>569</v>
      </c>
      <c r="E1289" s="247" t="s">
        <v>1296</v>
      </c>
      <c r="F1289" s="247" t="s">
        <v>1991</v>
      </c>
      <c r="G1289" s="247" t="s">
        <v>1287</v>
      </c>
      <c r="H1289" s="247" t="s">
        <v>1989</v>
      </c>
      <c r="I1289" s="247" t="s">
        <v>1992</v>
      </c>
      <c r="J1289" s="247">
        <v>50</v>
      </c>
      <c r="K1289" s="247">
        <v>50</v>
      </c>
      <c r="L1289" s="249" t="s">
        <v>789</v>
      </c>
      <c r="M1289" s="249" t="s">
        <v>929</v>
      </c>
      <c r="N1289" s="248">
        <v>329.13</v>
      </c>
      <c r="O1289" s="248">
        <v>329.13</v>
      </c>
      <c r="P1289" s="247" t="s">
        <v>1298</v>
      </c>
      <c r="Q1289" s="247" t="s">
        <v>87</v>
      </c>
    </row>
    <row r="1290" spans="1:17" x14ac:dyDescent="0.25">
      <c r="A1290" s="247" t="s">
        <v>646</v>
      </c>
      <c r="B1290" s="247" t="s">
        <v>265</v>
      </c>
      <c r="C1290" s="247" t="s">
        <v>1283</v>
      </c>
      <c r="D1290" s="247" t="s">
        <v>569</v>
      </c>
      <c r="E1290" s="247" t="s">
        <v>1296</v>
      </c>
      <c r="F1290" s="247" t="s">
        <v>1991</v>
      </c>
      <c r="G1290" s="247" t="s">
        <v>1287</v>
      </c>
      <c r="H1290" s="247" t="s">
        <v>1989</v>
      </c>
      <c r="I1290" s="247" t="s">
        <v>1992</v>
      </c>
      <c r="J1290" s="247">
        <v>50</v>
      </c>
      <c r="K1290" s="247">
        <v>50</v>
      </c>
      <c r="L1290" s="249" t="s">
        <v>791</v>
      </c>
      <c r="M1290" s="249" t="s">
        <v>929</v>
      </c>
      <c r="N1290" s="248">
        <v>623.51</v>
      </c>
      <c r="O1290" s="248">
        <v>952.64</v>
      </c>
      <c r="P1290" s="247" t="s">
        <v>1298</v>
      </c>
      <c r="Q1290" s="247" t="s">
        <v>88</v>
      </c>
    </row>
    <row r="1291" spans="1:17" x14ac:dyDescent="0.25">
      <c r="A1291" s="247" t="s">
        <v>646</v>
      </c>
      <c r="B1291" s="247" t="s">
        <v>265</v>
      </c>
      <c r="C1291" s="247" t="s">
        <v>1283</v>
      </c>
      <c r="D1291" s="247" t="s">
        <v>569</v>
      </c>
      <c r="E1291" s="247" t="s">
        <v>1296</v>
      </c>
      <c r="F1291" s="247" t="s">
        <v>1991</v>
      </c>
      <c r="G1291" s="247" t="s">
        <v>1287</v>
      </c>
      <c r="H1291" s="247" t="s">
        <v>1989</v>
      </c>
      <c r="I1291" s="247" t="s">
        <v>1992</v>
      </c>
      <c r="J1291" s="247">
        <v>50</v>
      </c>
      <c r="K1291" s="247">
        <v>50</v>
      </c>
      <c r="L1291" s="249" t="s">
        <v>935</v>
      </c>
      <c r="M1291" s="249" t="s">
        <v>929</v>
      </c>
      <c r="N1291" s="248">
        <v>517.15</v>
      </c>
      <c r="O1291" s="248">
        <v>1469.79</v>
      </c>
      <c r="P1291" s="247" t="s">
        <v>1298</v>
      </c>
      <c r="Q1291" s="247" t="s">
        <v>89</v>
      </c>
    </row>
    <row r="1292" spans="1:17" x14ac:dyDescent="0.25">
      <c r="A1292" s="247" t="s">
        <v>646</v>
      </c>
      <c r="B1292" s="247" t="s">
        <v>265</v>
      </c>
      <c r="C1292" s="247" t="s">
        <v>1283</v>
      </c>
      <c r="D1292" s="247" t="s">
        <v>569</v>
      </c>
      <c r="E1292" s="247" t="s">
        <v>1296</v>
      </c>
      <c r="F1292" s="247" t="s">
        <v>1991</v>
      </c>
      <c r="G1292" s="247" t="s">
        <v>1287</v>
      </c>
      <c r="H1292" s="247" t="s">
        <v>1989</v>
      </c>
      <c r="I1292" s="247" t="s">
        <v>1992</v>
      </c>
      <c r="J1292" s="247">
        <v>50</v>
      </c>
      <c r="K1292" s="247">
        <v>50</v>
      </c>
      <c r="L1292" s="249" t="s">
        <v>936</v>
      </c>
      <c r="M1292" s="249" t="s">
        <v>929</v>
      </c>
      <c r="N1292" s="248">
        <v>781.98</v>
      </c>
      <c r="O1292" s="248">
        <v>2251.77</v>
      </c>
      <c r="P1292" s="247" t="s">
        <v>1298</v>
      </c>
      <c r="Q1292" s="247" t="s">
        <v>90</v>
      </c>
    </row>
    <row r="1293" spans="1:17" x14ac:dyDescent="0.25">
      <c r="A1293" s="247" t="s">
        <v>646</v>
      </c>
      <c r="B1293" s="247" t="s">
        <v>265</v>
      </c>
      <c r="C1293" s="247" t="s">
        <v>1283</v>
      </c>
      <c r="D1293" s="247" t="s">
        <v>569</v>
      </c>
      <c r="E1293" s="247" t="s">
        <v>1296</v>
      </c>
      <c r="F1293" s="247" t="s">
        <v>1991</v>
      </c>
      <c r="G1293" s="247" t="s">
        <v>1287</v>
      </c>
      <c r="H1293" s="247" t="s">
        <v>1989</v>
      </c>
      <c r="I1293" s="247" t="s">
        <v>1992</v>
      </c>
      <c r="J1293" s="247">
        <v>50</v>
      </c>
      <c r="K1293" s="247">
        <v>50</v>
      </c>
      <c r="L1293" s="249" t="s">
        <v>937</v>
      </c>
      <c r="M1293" s="249" t="s">
        <v>929</v>
      </c>
      <c r="N1293" s="248">
        <v>635.66999999999996</v>
      </c>
      <c r="O1293" s="248">
        <v>2887.44</v>
      </c>
      <c r="P1293" s="247" t="s">
        <v>1298</v>
      </c>
      <c r="Q1293" s="247" t="s">
        <v>91</v>
      </c>
    </row>
    <row r="1294" spans="1:17" x14ac:dyDescent="0.25">
      <c r="A1294" s="247" t="s">
        <v>646</v>
      </c>
      <c r="B1294" s="247" t="s">
        <v>265</v>
      </c>
      <c r="C1294" s="247" t="s">
        <v>1283</v>
      </c>
      <c r="D1294" s="247" t="s">
        <v>569</v>
      </c>
      <c r="E1294" s="247" t="s">
        <v>1296</v>
      </c>
      <c r="F1294" s="247" t="s">
        <v>1991</v>
      </c>
      <c r="G1294" s="247" t="s">
        <v>1287</v>
      </c>
      <c r="H1294" s="247" t="s">
        <v>1989</v>
      </c>
      <c r="I1294" s="247" t="s">
        <v>1992</v>
      </c>
      <c r="J1294" s="247">
        <v>50</v>
      </c>
      <c r="K1294" s="247">
        <v>50</v>
      </c>
      <c r="L1294" s="249" t="s">
        <v>938</v>
      </c>
      <c r="M1294" s="249" t="s">
        <v>929</v>
      </c>
      <c r="N1294" s="248">
        <v>502.93</v>
      </c>
      <c r="O1294" s="248">
        <v>3390.37</v>
      </c>
      <c r="P1294" s="247" t="s">
        <v>1298</v>
      </c>
      <c r="Q1294" s="247" t="s">
        <v>92</v>
      </c>
    </row>
    <row r="1295" spans="1:17" x14ac:dyDescent="0.25">
      <c r="A1295" s="247" t="s">
        <v>646</v>
      </c>
      <c r="B1295" s="247" t="s">
        <v>265</v>
      </c>
      <c r="C1295" s="247" t="s">
        <v>1283</v>
      </c>
      <c r="D1295" s="247" t="s">
        <v>569</v>
      </c>
      <c r="E1295" s="247" t="s">
        <v>1296</v>
      </c>
      <c r="F1295" s="247" t="s">
        <v>1991</v>
      </c>
      <c r="G1295" s="247" t="s">
        <v>1287</v>
      </c>
      <c r="H1295" s="247" t="s">
        <v>1989</v>
      </c>
      <c r="I1295" s="247" t="s">
        <v>1992</v>
      </c>
      <c r="J1295" s="247">
        <v>50</v>
      </c>
      <c r="K1295" s="247">
        <v>50</v>
      </c>
      <c r="L1295" s="249" t="s">
        <v>939</v>
      </c>
      <c r="M1295" s="249" t="s">
        <v>929</v>
      </c>
      <c r="N1295" s="248">
        <v>604.51</v>
      </c>
      <c r="O1295" s="248">
        <v>3994.88</v>
      </c>
      <c r="P1295" s="247" t="s">
        <v>1298</v>
      </c>
      <c r="Q1295" s="247" t="s">
        <v>93</v>
      </c>
    </row>
    <row r="1296" spans="1:17" x14ac:dyDescent="0.25">
      <c r="A1296" s="247" t="s">
        <v>646</v>
      </c>
      <c r="B1296" s="247" t="s">
        <v>265</v>
      </c>
      <c r="C1296" s="247" t="s">
        <v>1283</v>
      </c>
      <c r="D1296" s="247" t="s">
        <v>569</v>
      </c>
      <c r="E1296" s="247" t="s">
        <v>1296</v>
      </c>
      <c r="F1296" s="247" t="s">
        <v>1991</v>
      </c>
      <c r="G1296" s="247" t="s">
        <v>1287</v>
      </c>
      <c r="H1296" s="247" t="s">
        <v>1989</v>
      </c>
      <c r="I1296" s="247" t="s">
        <v>1992</v>
      </c>
      <c r="J1296" s="247">
        <v>50</v>
      </c>
      <c r="K1296" s="247">
        <v>50</v>
      </c>
      <c r="L1296" s="249" t="s">
        <v>940</v>
      </c>
      <c r="M1296" s="249" t="s">
        <v>929</v>
      </c>
      <c r="N1296" s="248">
        <v>765.01</v>
      </c>
      <c r="O1296" s="248">
        <v>4759.8900000000003</v>
      </c>
      <c r="P1296" s="247" t="s">
        <v>1298</v>
      </c>
      <c r="Q1296" s="247" t="s">
        <v>94</v>
      </c>
    </row>
    <row r="1297" spans="1:17" x14ac:dyDescent="0.25">
      <c r="A1297" s="247" t="s">
        <v>646</v>
      </c>
      <c r="B1297" s="247" t="s">
        <v>265</v>
      </c>
      <c r="C1297" s="247" t="s">
        <v>1283</v>
      </c>
      <c r="D1297" s="247" t="s">
        <v>569</v>
      </c>
      <c r="E1297" s="247" t="s">
        <v>1296</v>
      </c>
      <c r="F1297" s="247" t="s">
        <v>1991</v>
      </c>
      <c r="G1297" s="247" t="s">
        <v>1287</v>
      </c>
      <c r="H1297" s="247" t="s">
        <v>1989</v>
      </c>
      <c r="I1297" s="247" t="s">
        <v>1992</v>
      </c>
      <c r="J1297" s="247">
        <v>50</v>
      </c>
      <c r="K1297" s="247">
        <v>50</v>
      </c>
      <c r="L1297" s="249" t="s">
        <v>642</v>
      </c>
      <c r="M1297" s="249" t="s">
        <v>929</v>
      </c>
      <c r="N1297" s="248">
        <v>820.88</v>
      </c>
      <c r="O1297" s="248">
        <v>5580.77</v>
      </c>
      <c r="P1297" s="247" t="s">
        <v>1298</v>
      </c>
      <c r="Q1297" s="247" t="s">
        <v>95</v>
      </c>
    </row>
    <row r="1298" spans="1:17" x14ac:dyDescent="0.25">
      <c r="A1298" s="247" t="s">
        <v>646</v>
      </c>
      <c r="B1298" s="247" t="s">
        <v>265</v>
      </c>
      <c r="C1298" s="247" t="s">
        <v>1283</v>
      </c>
      <c r="D1298" s="247" t="s">
        <v>1025</v>
      </c>
      <c r="E1298" s="247" t="s">
        <v>1296</v>
      </c>
      <c r="F1298" s="247" t="s">
        <v>1993</v>
      </c>
      <c r="G1298" s="247" t="s">
        <v>1289</v>
      </c>
      <c r="H1298" s="247" t="s">
        <v>1989</v>
      </c>
      <c r="I1298" s="247" t="s">
        <v>1994</v>
      </c>
      <c r="J1298" s="247">
        <v>57</v>
      </c>
      <c r="K1298" s="247">
        <v>57</v>
      </c>
      <c r="L1298" s="249" t="s">
        <v>646</v>
      </c>
      <c r="M1298" s="249" t="s">
        <v>933</v>
      </c>
      <c r="N1298" s="248">
        <v>2873.79</v>
      </c>
      <c r="O1298" s="248">
        <v>40038.89</v>
      </c>
      <c r="P1298" s="247" t="s">
        <v>1299</v>
      </c>
      <c r="Q1298" s="247" t="s">
        <v>84</v>
      </c>
    </row>
    <row r="1299" spans="1:17" x14ac:dyDescent="0.25">
      <c r="A1299" s="247" t="s">
        <v>646</v>
      </c>
      <c r="B1299" s="247" t="s">
        <v>265</v>
      </c>
      <c r="C1299" s="247" t="s">
        <v>1283</v>
      </c>
      <c r="D1299" s="247" t="s">
        <v>1025</v>
      </c>
      <c r="E1299" s="247" t="s">
        <v>1296</v>
      </c>
      <c r="F1299" s="247" t="s">
        <v>1993</v>
      </c>
      <c r="G1299" s="247" t="s">
        <v>1289</v>
      </c>
      <c r="H1299" s="247" t="s">
        <v>1989</v>
      </c>
      <c r="I1299" s="247" t="s">
        <v>1994</v>
      </c>
      <c r="J1299" s="247">
        <v>57</v>
      </c>
      <c r="K1299" s="247">
        <v>57</v>
      </c>
      <c r="L1299" s="249" t="s">
        <v>650</v>
      </c>
      <c r="M1299" s="249" t="s">
        <v>933</v>
      </c>
      <c r="N1299" s="248">
        <v>4389.58</v>
      </c>
      <c r="O1299" s="248">
        <v>44428.47</v>
      </c>
      <c r="P1299" s="247" t="s">
        <v>1299</v>
      </c>
      <c r="Q1299" s="247" t="s">
        <v>85</v>
      </c>
    </row>
    <row r="1300" spans="1:17" x14ac:dyDescent="0.25">
      <c r="A1300" s="247" t="s">
        <v>646</v>
      </c>
      <c r="B1300" s="247" t="s">
        <v>265</v>
      </c>
      <c r="C1300" s="247" t="s">
        <v>1283</v>
      </c>
      <c r="D1300" s="247" t="s">
        <v>1025</v>
      </c>
      <c r="E1300" s="247" t="s">
        <v>1296</v>
      </c>
      <c r="F1300" s="247" t="s">
        <v>1993</v>
      </c>
      <c r="G1300" s="247" t="s">
        <v>1289</v>
      </c>
      <c r="H1300" s="247" t="s">
        <v>1989</v>
      </c>
      <c r="I1300" s="247" t="s">
        <v>1994</v>
      </c>
      <c r="J1300" s="247">
        <v>57</v>
      </c>
      <c r="K1300" s="247">
        <v>57</v>
      </c>
      <c r="L1300" s="249" t="s">
        <v>652</v>
      </c>
      <c r="M1300" s="249" t="s">
        <v>933</v>
      </c>
      <c r="N1300" s="248">
        <v>4313.8999999999996</v>
      </c>
      <c r="O1300" s="248">
        <v>48742.37</v>
      </c>
      <c r="P1300" s="247" t="s">
        <v>1299</v>
      </c>
      <c r="Q1300" s="247" t="s">
        <v>86</v>
      </c>
    </row>
    <row r="1301" spans="1:17" x14ac:dyDescent="0.25">
      <c r="A1301" s="247" t="s">
        <v>646</v>
      </c>
      <c r="B1301" s="247" t="s">
        <v>265</v>
      </c>
      <c r="C1301" s="247" t="s">
        <v>1283</v>
      </c>
      <c r="D1301" s="247" t="s">
        <v>1025</v>
      </c>
      <c r="E1301" s="247" t="s">
        <v>1296</v>
      </c>
      <c r="F1301" s="247" t="s">
        <v>1993</v>
      </c>
      <c r="G1301" s="247" t="s">
        <v>1289</v>
      </c>
      <c r="H1301" s="247" t="s">
        <v>1989</v>
      </c>
      <c r="I1301" s="247" t="s">
        <v>1994</v>
      </c>
      <c r="J1301" s="247">
        <v>57</v>
      </c>
      <c r="K1301" s="247">
        <v>57</v>
      </c>
      <c r="L1301" s="249" t="s">
        <v>789</v>
      </c>
      <c r="M1301" s="249" t="s">
        <v>929</v>
      </c>
      <c r="N1301" s="248">
        <v>-148.88</v>
      </c>
      <c r="O1301" s="248">
        <v>-148.88</v>
      </c>
      <c r="P1301" s="247" t="s">
        <v>1299</v>
      </c>
      <c r="Q1301" s="247" t="s">
        <v>87</v>
      </c>
    </row>
    <row r="1302" spans="1:17" x14ac:dyDescent="0.25">
      <c r="A1302" s="247" t="s">
        <v>646</v>
      </c>
      <c r="B1302" s="247" t="s">
        <v>265</v>
      </c>
      <c r="C1302" s="247" t="s">
        <v>1283</v>
      </c>
      <c r="D1302" s="247" t="s">
        <v>1025</v>
      </c>
      <c r="E1302" s="247" t="s">
        <v>1296</v>
      </c>
      <c r="F1302" s="247" t="s">
        <v>1993</v>
      </c>
      <c r="G1302" s="247" t="s">
        <v>1289</v>
      </c>
      <c r="H1302" s="247" t="s">
        <v>1989</v>
      </c>
      <c r="I1302" s="247" t="s">
        <v>1994</v>
      </c>
      <c r="J1302" s="247">
        <v>57</v>
      </c>
      <c r="K1302" s="247">
        <v>57</v>
      </c>
      <c r="L1302" s="249" t="s">
        <v>791</v>
      </c>
      <c r="M1302" s="249" t="s">
        <v>929</v>
      </c>
      <c r="N1302" s="248">
        <v>0</v>
      </c>
      <c r="O1302" s="248">
        <v>-148.88</v>
      </c>
      <c r="P1302" s="247" t="s">
        <v>1299</v>
      </c>
      <c r="Q1302" s="247" t="s">
        <v>88</v>
      </c>
    </row>
    <row r="1303" spans="1:17" x14ac:dyDescent="0.25">
      <c r="A1303" s="247" t="s">
        <v>646</v>
      </c>
      <c r="B1303" s="247" t="s">
        <v>265</v>
      </c>
      <c r="C1303" s="247" t="s">
        <v>1283</v>
      </c>
      <c r="D1303" s="247" t="s">
        <v>1025</v>
      </c>
      <c r="E1303" s="247" t="s">
        <v>1296</v>
      </c>
      <c r="F1303" s="247" t="s">
        <v>1993</v>
      </c>
      <c r="G1303" s="247" t="s">
        <v>1289</v>
      </c>
      <c r="H1303" s="247" t="s">
        <v>1989</v>
      </c>
      <c r="I1303" s="247" t="s">
        <v>1994</v>
      </c>
      <c r="J1303" s="247">
        <v>57</v>
      </c>
      <c r="K1303" s="247">
        <v>57</v>
      </c>
      <c r="L1303" s="249" t="s">
        <v>935</v>
      </c>
      <c r="M1303" s="249" t="s">
        <v>929</v>
      </c>
      <c r="N1303" s="248">
        <v>0</v>
      </c>
      <c r="O1303" s="248">
        <v>-148.88</v>
      </c>
      <c r="P1303" s="247" t="s">
        <v>1299</v>
      </c>
      <c r="Q1303" s="247" t="s">
        <v>89</v>
      </c>
    </row>
    <row r="1304" spans="1:17" x14ac:dyDescent="0.25">
      <c r="A1304" s="247" t="s">
        <v>646</v>
      </c>
      <c r="B1304" s="247" t="s">
        <v>265</v>
      </c>
      <c r="C1304" s="247" t="s">
        <v>1283</v>
      </c>
      <c r="D1304" s="247" t="s">
        <v>1025</v>
      </c>
      <c r="E1304" s="247" t="s">
        <v>1296</v>
      </c>
      <c r="F1304" s="247" t="s">
        <v>1993</v>
      </c>
      <c r="G1304" s="247" t="s">
        <v>1289</v>
      </c>
      <c r="H1304" s="247" t="s">
        <v>1989</v>
      </c>
      <c r="I1304" s="247" t="s">
        <v>1994</v>
      </c>
      <c r="J1304" s="247">
        <v>57</v>
      </c>
      <c r="K1304" s="247">
        <v>57</v>
      </c>
      <c r="L1304" s="249" t="s">
        <v>936</v>
      </c>
      <c r="M1304" s="249" t="s">
        <v>929</v>
      </c>
      <c r="N1304" s="248">
        <v>0</v>
      </c>
      <c r="O1304" s="248">
        <v>-148.88</v>
      </c>
      <c r="P1304" s="247" t="s">
        <v>1299</v>
      </c>
      <c r="Q1304" s="247" t="s">
        <v>90</v>
      </c>
    </row>
    <row r="1305" spans="1:17" x14ac:dyDescent="0.25">
      <c r="A1305" s="247" t="s">
        <v>646</v>
      </c>
      <c r="B1305" s="247" t="s">
        <v>265</v>
      </c>
      <c r="C1305" s="247" t="s">
        <v>1283</v>
      </c>
      <c r="D1305" s="247" t="s">
        <v>1025</v>
      </c>
      <c r="E1305" s="247" t="s">
        <v>1296</v>
      </c>
      <c r="F1305" s="247" t="s">
        <v>1993</v>
      </c>
      <c r="G1305" s="247" t="s">
        <v>1289</v>
      </c>
      <c r="H1305" s="247" t="s">
        <v>1989</v>
      </c>
      <c r="I1305" s="247" t="s">
        <v>1994</v>
      </c>
      <c r="J1305" s="247">
        <v>57</v>
      </c>
      <c r="K1305" s="247">
        <v>57</v>
      </c>
      <c r="L1305" s="249" t="s">
        <v>937</v>
      </c>
      <c r="M1305" s="249" t="s">
        <v>929</v>
      </c>
      <c r="N1305" s="248">
        <v>0</v>
      </c>
      <c r="O1305" s="248">
        <v>-148.88</v>
      </c>
      <c r="P1305" s="247" t="s">
        <v>1299</v>
      </c>
      <c r="Q1305" s="247" t="s">
        <v>91</v>
      </c>
    </row>
    <row r="1306" spans="1:17" x14ac:dyDescent="0.25">
      <c r="A1306" s="247" t="s">
        <v>646</v>
      </c>
      <c r="B1306" s="247" t="s">
        <v>265</v>
      </c>
      <c r="C1306" s="247" t="s">
        <v>1283</v>
      </c>
      <c r="D1306" s="247" t="s">
        <v>1025</v>
      </c>
      <c r="E1306" s="247" t="s">
        <v>1296</v>
      </c>
      <c r="F1306" s="247" t="s">
        <v>1993</v>
      </c>
      <c r="G1306" s="247" t="s">
        <v>1289</v>
      </c>
      <c r="H1306" s="247" t="s">
        <v>1989</v>
      </c>
      <c r="I1306" s="247" t="s">
        <v>1994</v>
      </c>
      <c r="J1306" s="247">
        <v>57</v>
      </c>
      <c r="K1306" s="247">
        <v>57</v>
      </c>
      <c r="L1306" s="249" t="s">
        <v>938</v>
      </c>
      <c r="M1306" s="249" t="s">
        <v>929</v>
      </c>
      <c r="N1306" s="248">
        <v>0</v>
      </c>
      <c r="O1306" s="248">
        <v>-148.88</v>
      </c>
      <c r="P1306" s="247" t="s">
        <v>1299</v>
      </c>
      <c r="Q1306" s="247" t="s">
        <v>92</v>
      </c>
    </row>
    <row r="1307" spans="1:17" x14ac:dyDescent="0.25">
      <c r="A1307" s="247" t="s">
        <v>646</v>
      </c>
      <c r="B1307" s="247" t="s">
        <v>265</v>
      </c>
      <c r="C1307" s="247" t="s">
        <v>1283</v>
      </c>
      <c r="D1307" s="247" t="s">
        <v>1025</v>
      </c>
      <c r="E1307" s="247" t="s">
        <v>1296</v>
      </c>
      <c r="F1307" s="247" t="s">
        <v>1993</v>
      </c>
      <c r="G1307" s="247" t="s">
        <v>1289</v>
      </c>
      <c r="H1307" s="247" t="s">
        <v>1989</v>
      </c>
      <c r="I1307" s="247" t="s">
        <v>1994</v>
      </c>
      <c r="J1307" s="247">
        <v>57</v>
      </c>
      <c r="K1307" s="247">
        <v>57</v>
      </c>
      <c r="L1307" s="249" t="s">
        <v>939</v>
      </c>
      <c r="M1307" s="249" t="s">
        <v>929</v>
      </c>
      <c r="N1307" s="248">
        <v>0</v>
      </c>
      <c r="O1307" s="248">
        <v>-148.88</v>
      </c>
      <c r="P1307" s="247" t="s">
        <v>1299</v>
      </c>
      <c r="Q1307" s="247" t="s">
        <v>93</v>
      </c>
    </row>
    <row r="1308" spans="1:17" x14ac:dyDescent="0.25">
      <c r="A1308" s="247" t="s">
        <v>646</v>
      </c>
      <c r="B1308" s="247" t="s">
        <v>265</v>
      </c>
      <c r="C1308" s="247" t="s">
        <v>1283</v>
      </c>
      <c r="D1308" s="247" t="s">
        <v>1025</v>
      </c>
      <c r="E1308" s="247" t="s">
        <v>1296</v>
      </c>
      <c r="F1308" s="247" t="s">
        <v>1993</v>
      </c>
      <c r="G1308" s="247" t="s">
        <v>1289</v>
      </c>
      <c r="H1308" s="247" t="s">
        <v>1989</v>
      </c>
      <c r="I1308" s="247" t="s">
        <v>1994</v>
      </c>
      <c r="J1308" s="247">
        <v>57</v>
      </c>
      <c r="K1308" s="247">
        <v>57</v>
      </c>
      <c r="L1308" s="249" t="s">
        <v>940</v>
      </c>
      <c r="M1308" s="249" t="s">
        <v>929</v>
      </c>
      <c r="N1308" s="248">
        <v>0</v>
      </c>
      <c r="O1308" s="248">
        <v>-148.88</v>
      </c>
      <c r="P1308" s="247" t="s">
        <v>1299</v>
      </c>
      <c r="Q1308" s="247" t="s">
        <v>94</v>
      </c>
    </row>
    <row r="1309" spans="1:17" x14ac:dyDescent="0.25">
      <c r="A1309" s="247" t="s">
        <v>646</v>
      </c>
      <c r="B1309" s="247" t="s">
        <v>265</v>
      </c>
      <c r="C1309" s="247" t="s">
        <v>1283</v>
      </c>
      <c r="D1309" s="247" t="s">
        <v>1025</v>
      </c>
      <c r="E1309" s="247" t="s">
        <v>1296</v>
      </c>
      <c r="F1309" s="247" t="s">
        <v>1993</v>
      </c>
      <c r="G1309" s="247" t="s">
        <v>1289</v>
      </c>
      <c r="H1309" s="247" t="s">
        <v>1989</v>
      </c>
      <c r="I1309" s="247" t="s">
        <v>1994</v>
      </c>
      <c r="J1309" s="247">
        <v>57</v>
      </c>
      <c r="K1309" s="247">
        <v>57</v>
      </c>
      <c r="L1309" s="249" t="s">
        <v>642</v>
      </c>
      <c r="M1309" s="249" t="s">
        <v>929</v>
      </c>
      <c r="N1309" s="248">
        <v>0</v>
      </c>
      <c r="O1309" s="248">
        <v>-148.88</v>
      </c>
      <c r="P1309" s="247" t="s">
        <v>1299</v>
      </c>
      <c r="Q1309" s="247" t="s">
        <v>95</v>
      </c>
    </row>
    <row r="1310" spans="1:17" x14ac:dyDescent="0.25">
      <c r="A1310" s="247" t="s">
        <v>646</v>
      </c>
      <c r="B1310" s="247" t="s">
        <v>265</v>
      </c>
      <c r="C1310" s="247" t="s">
        <v>1283</v>
      </c>
      <c r="D1310" s="247" t="s">
        <v>926</v>
      </c>
      <c r="E1310" s="247" t="s">
        <v>1300</v>
      </c>
      <c r="F1310" s="247" t="s">
        <v>1995</v>
      </c>
      <c r="G1310" s="247" t="s">
        <v>1292</v>
      </c>
      <c r="H1310" s="247" t="s">
        <v>1996</v>
      </c>
      <c r="I1310" s="247" t="s">
        <v>1997</v>
      </c>
      <c r="J1310" s="247">
        <v>25</v>
      </c>
      <c r="K1310" s="247">
        <v>25</v>
      </c>
      <c r="L1310" s="249" t="s">
        <v>646</v>
      </c>
      <c r="M1310" s="249" t="s">
        <v>933</v>
      </c>
      <c r="N1310" s="248">
        <v>9807.7199999999993</v>
      </c>
      <c r="O1310" s="248">
        <v>9807.7199999999993</v>
      </c>
      <c r="P1310" s="247" t="s">
        <v>1301</v>
      </c>
      <c r="Q1310" s="247" t="s">
        <v>84</v>
      </c>
    </row>
    <row r="1311" spans="1:17" x14ac:dyDescent="0.25">
      <c r="A1311" s="247" t="s">
        <v>646</v>
      </c>
      <c r="B1311" s="247" t="s">
        <v>265</v>
      </c>
      <c r="C1311" s="247" t="s">
        <v>1283</v>
      </c>
      <c r="D1311" s="247" t="s">
        <v>926</v>
      </c>
      <c r="E1311" s="247" t="s">
        <v>1300</v>
      </c>
      <c r="F1311" s="247" t="s">
        <v>1995</v>
      </c>
      <c r="G1311" s="247" t="s">
        <v>1292</v>
      </c>
      <c r="H1311" s="247" t="s">
        <v>1996</v>
      </c>
      <c r="I1311" s="247" t="s">
        <v>1997</v>
      </c>
      <c r="J1311" s="247">
        <v>25</v>
      </c>
      <c r="K1311" s="247">
        <v>25</v>
      </c>
      <c r="L1311" s="249" t="s">
        <v>650</v>
      </c>
      <c r="M1311" s="249" t="s">
        <v>933</v>
      </c>
      <c r="N1311" s="248">
        <v>6923.08</v>
      </c>
      <c r="O1311" s="248">
        <v>16730.8</v>
      </c>
      <c r="P1311" s="247" t="s">
        <v>1301</v>
      </c>
      <c r="Q1311" s="247" t="s">
        <v>85</v>
      </c>
    </row>
    <row r="1312" spans="1:17" x14ac:dyDescent="0.25">
      <c r="A1312" s="247" t="s">
        <v>646</v>
      </c>
      <c r="B1312" s="247" t="s">
        <v>265</v>
      </c>
      <c r="C1312" s="247" t="s">
        <v>1283</v>
      </c>
      <c r="D1312" s="247" t="s">
        <v>926</v>
      </c>
      <c r="E1312" s="247" t="s">
        <v>1300</v>
      </c>
      <c r="F1312" s="247" t="s">
        <v>1995</v>
      </c>
      <c r="G1312" s="247" t="s">
        <v>1292</v>
      </c>
      <c r="H1312" s="247" t="s">
        <v>1996</v>
      </c>
      <c r="I1312" s="247" t="s">
        <v>1997</v>
      </c>
      <c r="J1312" s="247">
        <v>25</v>
      </c>
      <c r="K1312" s="247">
        <v>25</v>
      </c>
      <c r="L1312" s="249" t="s">
        <v>652</v>
      </c>
      <c r="M1312" s="249" t="s">
        <v>933</v>
      </c>
      <c r="N1312" s="248">
        <v>11923.08</v>
      </c>
      <c r="O1312" s="248">
        <v>28653.88</v>
      </c>
      <c r="P1312" s="247" t="s">
        <v>1301</v>
      </c>
      <c r="Q1312" s="247" t="s">
        <v>86</v>
      </c>
    </row>
    <row r="1313" spans="1:17" x14ac:dyDescent="0.25">
      <c r="A1313" s="247" t="s">
        <v>646</v>
      </c>
      <c r="B1313" s="247" t="s">
        <v>265</v>
      </c>
      <c r="C1313" s="247" t="s">
        <v>1283</v>
      </c>
      <c r="D1313" s="247" t="s">
        <v>926</v>
      </c>
      <c r="E1313" s="247" t="s">
        <v>1300</v>
      </c>
      <c r="F1313" s="247" t="s">
        <v>1995</v>
      </c>
      <c r="G1313" s="247" t="s">
        <v>1292</v>
      </c>
      <c r="H1313" s="247" t="s">
        <v>1996</v>
      </c>
      <c r="I1313" s="247" t="s">
        <v>1997</v>
      </c>
      <c r="J1313" s="247">
        <v>25</v>
      </c>
      <c r="K1313" s="247">
        <v>25</v>
      </c>
      <c r="L1313" s="249" t="s">
        <v>789</v>
      </c>
      <c r="M1313" s="249" t="s">
        <v>929</v>
      </c>
      <c r="N1313" s="248">
        <v>7009.54</v>
      </c>
      <c r="O1313" s="248">
        <v>7009.54</v>
      </c>
      <c r="P1313" s="247" t="s">
        <v>1301</v>
      </c>
      <c r="Q1313" s="247" t="s">
        <v>87</v>
      </c>
    </row>
    <row r="1314" spans="1:17" x14ac:dyDescent="0.25">
      <c r="A1314" s="247" t="s">
        <v>646</v>
      </c>
      <c r="B1314" s="247" t="s">
        <v>265</v>
      </c>
      <c r="C1314" s="247" t="s">
        <v>1283</v>
      </c>
      <c r="D1314" s="247" t="s">
        <v>926</v>
      </c>
      <c r="E1314" s="247" t="s">
        <v>1300</v>
      </c>
      <c r="F1314" s="247" t="s">
        <v>1995</v>
      </c>
      <c r="G1314" s="247" t="s">
        <v>1292</v>
      </c>
      <c r="H1314" s="247" t="s">
        <v>1996</v>
      </c>
      <c r="I1314" s="247" t="s">
        <v>1997</v>
      </c>
      <c r="J1314" s="247">
        <v>25</v>
      </c>
      <c r="K1314" s="247">
        <v>25</v>
      </c>
      <c r="L1314" s="249" t="s">
        <v>791</v>
      </c>
      <c r="M1314" s="249" t="s">
        <v>929</v>
      </c>
      <c r="N1314" s="248">
        <v>7450.8</v>
      </c>
      <c r="O1314" s="248">
        <v>14460.34</v>
      </c>
      <c r="P1314" s="247" t="s">
        <v>1301</v>
      </c>
      <c r="Q1314" s="247" t="s">
        <v>88</v>
      </c>
    </row>
    <row r="1315" spans="1:17" x14ac:dyDescent="0.25">
      <c r="A1315" s="247" t="s">
        <v>646</v>
      </c>
      <c r="B1315" s="247" t="s">
        <v>265</v>
      </c>
      <c r="C1315" s="247" t="s">
        <v>1283</v>
      </c>
      <c r="D1315" s="247" t="s">
        <v>926</v>
      </c>
      <c r="E1315" s="247" t="s">
        <v>1300</v>
      </c>
      <c r="F1315" s="247" t="s">
        <v>1995</v>
      </c>
      <c r="G1315" s="247" t="s">
        <v>1292</v>
      </c>
      <c r="H1315" s="247" t="s">
        <v>1996</v>
      </c>
      <c r="I1315" s="247" t="s">
        <v>1997</v>
      </c>
      <c r="J1315" s="247">
        <v>25</v>
      </c>
      <c r="K1315" s="247">
        <v>25</v>
      </c>
      <c r="L1315" s="249" t="s">
        <v>935</v>
      </c>
      <c r="M1315" s="249" t="s">
        <v>929</v>
      </c>
      <c r="N1315" s="248">
        <v>8160.4</v>
      </c>
      <c r="O1315" s="248">
        <v>22620.74</v>
      </c>
      <c r="P1315" s="247" t="s">
        <v>1301</v>
      </c>
      <c r="Q1315" s="247" t="s">
        <v>89</v>
      </c>
    </row>
    <row r="1316" spans="1:17" x14ac:dyDescent="0.25">
      <c r="A1316" s="247" t="s">
        <v>646</v>
      </c>
      <c r="B1316" s="247" t="s">
        <v>265</v>
      </c>
      <c r="C1316" s="247" t="s">
        <v>1283</v>
      </c>
      <c r="D1316" s="247" t="s">
        <v>926</v>
      </c>
      <c r="E1316" s="247" t="s">
        <v>1300</v>
      </c>
      <c r="F1316" s="247" t="s">
        <v>1995</v>
      </c>
      <c r="G1316" s="247" t="s">
        <v>1292</v>
      </c>
      <c r="H1316" s="247" t="s">
        <v>1996</v>
      </c>
      <c r="I1316" s="247" t="s">
        <v>1997</v>
      </c>
      <c r="J1316" s="247">
        <v>25</v>
      </c>
      <c r="K1316" s="247">
        <v>25</v>
      </c>
      <c r="L1316" s="249" t="s">
        <v>936</v>
      </c>
      <c r="M1316" s="249" t="s">
        <v>929</v>
      </c>
      <c r="N1316" s="248">
        <v>7450.8</v>
      </c>
      <c r="O1316" s="248">
        <v>30071.54</v>
      </c>
      <c r="P1316" s="247" t="s">
        <v>1301</v>
      </c>
      <c r="Q1316" s="247" t="s">
        <v>90</v>
      </c>
    </row>
    <row r="1317" spans="1:17" x14ac:dyDescent="0.25">
      <c r="A1317" s="247" t="s">
        <v>646</v>
      </c>
      <c r="B1317" s="247" t="s">
        <v>265</v>
      </c>
      <c r="C1317" s="247" t="s">
        <v>1283</v>
      </c>
      <c r="D1317" s="247" t="s">
        <v>926</v>
      </c>
      <c r="E1317" s="247" t="s">
        <v>1300</v>
      </c>
      <c r="F1317" s="247" t="s">
        <v>1995</v>
      </c>
      <c r="G1317" s="247" t="s">
        <v>1292</v>
      </c>
      <c r="H1317" s="247" t="s">
        <v>1996</v>
      </c>
      <c r="I1317" s="247" t="s">
        <v>1997</v>
      </c>
      <c r="J1317" s="247">
        <v>25</v>
      </c>
      <c r="K1317" s="247">
        <v>25</v>
      </c>
      <c r="L1317" s="249" t="s">
        <v>937</v>
      </c>
      <c r="M1317" s="249" t="s">
        <v>929</v>
      </c>
      <c r="N1317" s="248">
        <v>7450.8</v>
      </c>
      <c r="O1317" s="248">
        <v>37522.339999999997</v>
      </c>
      <c r="P1317" s="247" t="s">
        <v>1301</v>
      </c>
      <c r="Q1317" s="247" t="s">
        <v>91</v>
      </c>
    </row>
    <row r="1318" spans="1:17" x14ac:dyDescent="0.25">
      <c r="A1318" s="247" t="s">
        <v>646</v>
      </c>
      <c r="B1318" s="247" t="s">
        <v>265</v>
      </c>
      <c r="C1318" s="247" t="s">
        <v>1283</v>
      </c>
      <c r="D1318" s="247" t="s">
        <v>926</v>
      </c>
      <c r="E1318" s="247" t="s">
        <v>1300</v>
      </c>
      <c r="F1318" s="247" t="s">
        <v>1995</v>
      </c>
      <c r="G1318" s="247" t="s">
        <v>1292</v>
      </c>
      <c r="H1318" s="247" t="s">
        <v>1996</v>
      </c>
      <c r="I1318" s="247" t="s">
        <v>1997</v>
      </c>
      <c r="J1318" s="247">
        <v>25</v>
      </c>
      <c r="K1318" s="247">
        <v>25</v>
      </c>
      <c r="L1318" s="249" t="s">
        <v>938</v>
      </c>
      <c r="M1318" s="249" t="s">
        <v>929</v>
      </c>
      <c r="N1318" s="248">
        <v>7415.32</v>
      </c>
      <c r="O1318" s="248">
        <v>44937.66</v>
      </c>
      <c r="P1318" s="247" t="s">
        <v>1301</v>
      </c>
      <c r="Q1318" s="247" t="s">
        <v>92</v>
      </c>
    </row>
    <row r="1319" spans="1:17" x14ac:dyDescent="0.25">
      <c r="A1319" s="247" t="s">
        <v>646</v>
      </c>
      <c r="B1319" s="247" t="s">
        <v>265</v>
      </c>
      <c r="C1319" s="247" t="s">
        <v>1283</v>
      </c>
      <c r="D1319" s="247" t="s">
        <v>926</v>
      </c>
      <c r="E1319" s="247" t="s">
        <v>1300</v>
      </c>
      <c r="F1319" s="247" t="s">
        <v>1995</v>
      </c>
      <c r="G1319" s="247" t="s">
        <v>1292</v>
      </c>
      <c r="H1319" s="247" t="s">
        <v>1996</v>
      </c>
      <c r="I1319" s="247" t="s">
        <v>1997</v>
      </c>
      <c r="J1319" s="247">
        <v>25</v>
      </c>
      <c r="K1319" s="247">
        <v>25</v>
      </c>
      <c r="L1319" s="249" t="s">
        <v>939</v>
      </c>
      <c r="M1319" s="249" t="s">
        <v>929</v>
      </c>
      <c r="N1319" s="248">
        <v>6741.2</v>
      </c>
      <c r="O1319" s="248">
        <v>51678.86</v>
      </c>
      <c r="P1319" s="247" t="s">
        <v>1301</v>
      </c>
      <c r="Q1319" s="247" t="s">
        <v>93</v>
      </c>
    </row>
    <row r="1320" spans="1:17" x14ac:dyDescent="0.25">
      <c r="A1320" s="247" t="s">
        <v>646</v>
      </c>
      <c r="B1320" s="247" t="s">
        <v>265</v>
      </c>
      <c r="C1320" s="247" t="s">
        <v>1283</v>
      </c>
      <c r="D1320" s="247" t="s">
        <v>926</v>
      </c>
      <c r="E1320" s="247" t="s">
        <v>1300</v>
      </c>
      <c r="F1320" s="247" t="s">
        <v>1995</v>
      </c>
      <c r="G1320" s="247" t="s">
        <v>1292</v>
      </c>
      <c r="H1320" s="247" t="s">
        <v>1996</v>
      </c>
      <c r="I1320" s="247" t="s">
        <v>1997</v>
      </c>
      <c r="J1320" s="247">
        <v>25</v>
      </c>
      <c r="K1320" s="247">
        <v>25</v>
      </c>
      <c r="L1320" s="249" t="s">
        <v>940</v>
      </c>
      <c r="M1320" s="249" t="s">
        <v>929</v>
      </c>
      <c r="N1320" s="248">
        <v>6120.3</v>
      </c>
      <c r="O1320" s="248">
        <v>57799.16</v>
      </c>
      <c r="P1320" s="247" t="s">
        <v>1301</v>
      </c>
      <c r="Q1320" s="247" t="s">
        <v>94</v>
      </c>
    </row>
    <row r="1321" spans="1:17" x14ac:dyDescent="0.25">
      <c r="A1321" s="247" t="s">
        <v>646</v>
      </c>
      <c r="B1321" s="247" t="s">
        <v>265</v>
      </c>
      <c r="C1321" s="247" t="s">
        <v>1283</v>
      </c>
      <c r="D1321" s="247" t="s">
        <v>926</v>
      </c>
      <c r="E1321" s="247" t="s">
        <v>1300</v>
      </c>
      <c r="F1321" s="247" t="s">
        <v>1995</v>
      </c>
      <c r="G1321" s="247" t="s">
        <v>1292</v>
      </c>
      <c r="H1321" s="247" t="s">
        <v>1996</v>
      </c>
      <c r="I1321" s="247" t="s">
        <v>1997</v>
      </c>
      <c r="J1321" s="247">
        <v>25</v>
      </c>
      <c r="K1321" s="247">
        <v>25</v>
      </c>
      <c r="L1321" s="249" t="s">
        <v>642</v>
      </c>
      <c r="M1321" s="249" t="s">
        <v>929</v>
      </c>
      <c r="N1321" s="248">
        <v>7202.47</v>
      </c>
      <c r="O1321" s="248">
        <v>65001.63</v>
      </c>
      <c r="P1321" s="247" t="s">
        <v>1301</v>
      </c>
      <c r="Q1321" s="247" t="s">
        <v>95</v>
      </c>
    </row>
    <row r="1322" spans="1:17" x14ac:dyDescent="0.25">
      <c r="A1322" s="247" t="s">
        <v>646</v>
      </c>
      <c r="B1322" s="247" t="s">
        <v>265</v>
      </c>
      <c r="C1322" s="247" t="s">
        <v>1283</v>
      </c>
      <c r="D1322" s="247" t="s">
        <v>926</v>
      </c>
      <c r="E1322" s="247" t="s">
        <v>1302</v>
      </c>
      <c r="F1322" s="247" t="s">
        <v>1998</v>
      </c>
      <c r="G1322" s="247" t="s">
        <v>1292</v>
      </c>
      <c r="H1322" s="247" t="s">
        <v>1999</v>
      </c>
      <c r="I1322" s="247" t="s">
        <v>2000</v>
      </c>
      <c r="J1322" s="247">
        <v>85</v>
      </c>
      <c r="K1322" s="247">
        <v>85.1</v>
      </c>
      <c r="L1322" s="249" t="s">
        <v>646</v>
      </c>
      <c r="M1322" s="249" t="s">
        <v>933</v>
      </c>
      <c r="N1322" s="248">
        <v>0</v>
      </c>
      <c r="O1322" s="248">
        <v>190597.03</v>
      </c>
      <c r="P1322" s="247" t="s">
        <v>1303</v>
      </c>
      <c r="Q1322" s="247" t="s">
        <v>84</v>
      </c>
    </row>
    <row r="1323" spans="1:17" x14ac:dyDescent="0.25">
      <c r="A1323" s="247" t="s">
        <v>646</v>
      </c>
      <c r="B1323" s="247" t="s">
        <v>265</v>
      </c>
      <c r="C1323" s="247" t="s">
        <v>1283</v>
      </c>
      <c r="D1323" s="247" t="s">
        <v>926</v>
      </c>
      <c r="E1323" s="247" t="s">
        <v>1302</v>
      </c>
      <c r="F1323" s="247" t="s">
        <v>1998</v>
      </c>
      <c r="G1323" s="247" t="s">
        <v>1292</v>
      </c>
      <c r="H1323" s="247" t="s">
        <v>1999</v>
      </c>
      <c r="I1323" s="247" t="s">
        <v>2000</v>
      </c>
      <c r="J1323" s="247">
        <v>85</v>
      </c>
      <c r="K1323" s="247">
        <v>85.1</v>
      </c>
      <c r="L1323" s="249" t="s">
        <v>650</v>
      </c>
      <c r="M1323" s="249" t="s">
        <v>933</v>
      </c>
      <c r="N1323" s="248">
        <v>0</v>
      </c>
      <c r="O1323" s="248">
        <v>190597.03</v>
      </c>
      <c r="P1323" s="247" t="s">
        <v>1303</v>
      </c>
      <c r="Q1323" s="247" t="s">
        <v>85</v>
      </c>
    </row>
    <row r="1324" spans="1:17" x14ac:dyDescent="0.25">
      <c r="A1324" s="247" t="s">
        <v>646</v>
      </c>
      <c r="B1324" s="247" t="s">
        <v>265</v>
      </c>
      <c r="C1324" s="247" t="s">
        <v>1283</v>
      </c>
      <c r="D1324" s="247" t="s">
        <v>926</v>
      </c>
      <c r="E1324" s="247" t="s">
        <v>1302</v>
      </c>
      <c r="F1324" s="247" t="s">
        <v>1998</v>
      </c>
      <c r="G1324" s="247" t="s">
        <v>1292</v>
      </c>
      <c r="H1324" s="247" t="s">
        <v>1999</v>
      </c>
      <c r="I1324" s="247" t="s">
        <v>2000</v>
      </c>
      <c r="J1324" s="247">
        <v>85</v>
      </c>
      <c r="K1324" s="247">
        <v>85.1</v>
      </c>
      <c r="L1324" s="249" t="s">
        <v>652</v>
      </c>
      <c r="M1324" s="249" t="s">
        <v>933</v>
      </c>
      <c r="N1324" s="248">
        <v>0</v>
      </c>
      <c r="O1324" s="248">
        <v>190597.03</v>
      </c>
      <c r="P1324" s="247" t="s">
        <v>1303</v>
      </c>
      <c r="Q1324" s="247" t="s">
        <v>86</v>
      </c>
    </row>
    <row r="1325" spans="1:17" x14ac:dyDescent="0.25">
      <c r="A1325" s="247" t="s">
        <v>646</v>
      </c>
      <c r="B1325" s="247" t="s">
        <v>265</v>
      </c>
      <c r="C1325" s="247" t="s">
        <v>1283</v>
      </c>
      <c r="D1325" s="247" t="s">
        <v>711</v>
      </c>
      <c r="E1325" s="247" t="s">
        <v>1302</v>
      </c>
      <c r="F1325" s="247" t="s">
        <v>2001</v>
      </c>
      <c r="G1325" s="247" t="s">
        <v>1304</v>
      </c>
      <c r="H1325" s="247" t="s">
        <v>1999</v>
      </c>
      <c r="I1325" s="247" t="s">
        <v>2002</v>
      </c>
      <c r="J1325" s="247">
        <v>85</v>
      </c>
      <c r="K1325" s="247">
        <v>85.1</v>
      </c>
      <c r="L1325" s="249" t="s">
        <v>646</v>
      </c>
      <c r="M1325" s="249" t="s">
        <v>933</v>
      </c>
      <c r="N1325" s="248">
        <v>32719.78</v>
      </c>
      <c r="O1325" s="248">
        <v>301702.59999999998</v>
      </c>
      <c r="P1325" s="247" t="s">
        <v>1305</v>
      </c>
      <c r="Q1325" s="247" t="s">
        <v>84</v>
      </c>
    </row>
    <row r="1326" spans="1:17" x14ac:dyDescent="0.25">
      <c r="A1326" s="247" t="s">
        <v>646</v>
      </c>
      <c r="B1326" s="247" t="s">
        <v>265</v>
      </c>
      <c r="C1326" s="247" t="s">
        <v>1283</v>
      </c>
      <c r="D1326" s="247" t="s">
        <v>711</v>
      </c>
      <c r="E1326" s="247" t="s">
        <v>1302</v>
      </c>
      <c r="F1326" s="247" t="s">
        <v>2001</v>
      </c>
      <c r="G1326" s="247" t="s">
        <v>1304</v>
      </c>
      <c r="H1326" s="247" t="s">
        <v>1999</v>
      </c>
      <c r="I1326" s="247" t="s">
        <v>2002</v>
      </c>
      <c r="J1326" s="247">
        <v>85</v>
      </c>
      <c r="K1326" s="247">
        <v>85.1</v>
      </c>
      <c r="L1326" s="249" t="s">
        <v>650</v>
      </c>
      <c r="M1326" s="249" t="s">
        <v>933</v>
      </c>
      <c r="N1326" s="248">
        <v>23832.55</v>
      </c>
      <c r="O1326" s="248">
        <v>325535.15000000002</v>
      </c>
      <c r="P1326" s="247" t="s">
        <v>1305</v>
      </c>
      <c r="Q1326" s="247" t="s">
        <v>85</v>
      </c>
    </row>
    <row r="1327" spans="1:17" x14ac:dyDescent="0.25">
      <c r="A1327" s="247" t="s">
        <v>646</v>
      </c>
      <c r="B1327" s="247" t="s">
        <v>265</v>
      </c>
      <c r="C1327" s="247" t="s">
        <v>1283</v>
      </c>
      <c r="D1327" s="247" t="s">
        <v>711</v>
      </c>
      <c r="E1327" s="247" t="s">
        <v>1302</v>
      </c>
      <c r="F1327" s="247" t="s">
        <v>2001</v>
      </c>
      <c r="G1327" s="247" t="s">
        <v>1304</v>
      </c>
      <c r="H1327" s="247" t="s">
        <v>1999</v>
      </c>
      <c r="I1327" s="247" t="s">
        <v>2002</v>
      </c>
      <c r="J1327" s="247">
        <v>85</v>
      </c>
      <c r="K1327" s="247">
        <v>85.1</v>
      </c>
      <c r="L1327" s="249" t="s">
        <v>652</v>
      </c>
      <c r="M1327" s="249" t="s">
        <v>933</v>
      </c>
      <c r="N1327" s="248">
        <v>22181.200000000001</v>
      </c>
      <c r="O1327" s="248">
        <v>347716.35</v>
      </c>
      <c r="P1327" s="247" t="s">
        <v>1305</v>
      </c>
      <c r="Q1327" s="247" t="s">
        <v>86</v>
      </c>
    </row>
    <row r="1328" spans="1:17" x14ac:dyDescent="0.25">
      <c r="A1328" s="247" t="s">
        <v>646</v>
      </c>
      <c r="B1328" s="247" t="s">
        <v>265</v>
      </c>
      <c r="C1328" s="247" t="s">
        <v>1283</v>
      </c>
      <c r="D1328" s="247" t="s">
        <v>711</v>
      </c>
      <c r="E1328" s="247" t="s">
        <v>1302</v>
      </c>
      <c r="F1328" s="247" t="s">
        <v>2001</v>
      </c>
      <c r="G1328" s="247" t="s">
        <v>1304</v>
      </c>
      <c r="H1328" s="247" t="s">
        <v>1999</v>
      </c>
      <c r="I1328" s="247" t="s">
        <v>2002</v>
      </c>
      <c r="J1328" s="247">
        <v>85</v>
      </c>
      <c r="K1328" s="247">
        <v>85.1</v>
      </c>
      <c r="L1328" s="249" t="s">
        <v>789</v>
      </c>
      <c r="M1328" s="249" t="s">
        <v>929</v>
      </c>
      <c r="N1328" s="248">
        <v>19283.400000000001</v>
      </c>
      <c r="O1328" s="248">
        <v>19283.400000000001</v>
      </c>
      <c r="P1328" s="247" t="s">
        <v>1305</v>
      </c>
      <c r="Q1328" s="247" t="s">
        <v>87</v>
      </c>
    </row>
    <row r="1329" spans="1:17" x14ac:dyDescent="0.25">
      <c r="A1329" s="247" t="s">
        <v>646</v>
      </c>
      <c r="B1329" s="247" t="s">
        <v>265</v>
      </c>
      <c r="C1329" s="247" t="s">
        <v>1283</v>
      </c>
      <c r="D1329" s="247" t="s">
        <v>711</v>
      </c>
      <c r="E1329" s="247" t="s">
        <v>1302</v>
      </c>
      <c r="F1329" s="247" t="s">
        <v>2001</v>
      </c>
      <c r="G1329" s="247" t="s">
        <v>1304</v>
      </c>
      <c r="H1329" s="247" t="s">
        <v>1999</v>
      </c>
      <c r="I1329" s="247" t="s">
        <v>2002</v>
      </c>
      <c r="J1329" s="247">
        <v>85</v>
      </c>
      <c r="K1329" s="247">
        <v>85.1</v>
      </c>
      <c r="L1329" s="249" t="s">
        <v>791</v>
      </c>
      <c r="M1329" s="249" t="s">
        <v>929</v>
      </c>
      <c r="N1329" s="248">
        <v>23859.9</v>
      </c>
      <c r="O1329" s="248">
        <v>43143.3</v>
      </c>
      <c r="P1329" s="247" t="s">
        <v>1305</v>
      </c>
      <c r="Q1329" s="247" t="s">
        <v>88</v>
      </c>
    </row>
    <row r="1330" spans="1:17" x14ac:dyDescent="0.25">
      <c r="A1330" s="247" t="s">
        <v>646</v>
      </c>
      <c r="B1330" s="247" t="s">
        <v>265</v>
      </c>
      <c r="C1330" s="247" t="s">
        <v>1283</v>
      </c>
      <c r="D1330" s="247" t="s">
        <v>711</v>
      </c>
      <c r="E1330" s="247" t="s">
        <v>1302</v>
      </c>
      <c r="F1330" s="247" t="s">
        <v>2001</v>
      </c>
      <c r="G1330" s="247" t="s">
        <v>1304</v>
      </c>
      <c r="H1330" s="247" t="s">
        <v>1999</v>
      </c>
      <c r="I1330" s="247" t="s">
        <v>2002</v>
      </c>
      <c r="J1330" s="247">
        <v>85</v>
      </c>
      <c r="K1330" s="247">
        <v>85.1</v>
      </c>
      <c r="L1330" s="249" t="s">
        <v>935</v>
      </c>
      <c r="M1330" s="249" t="s">
        <v>929</v>
      </c>
      <c r="N1330" s="248">
        <v>28371.040000000001</v>
      </c>
      <c r="O1330" s="248">
        <v>71514.34</v>
      </c>
      <c r="P1330" s="247" t="s">
        <v>1305</v>
      </c>
      <c r="Q1330" s="247" t="s">
        <v>89</v>
      </c>
    </row>
    <row r="1331" spans="1:17" x14ac:dyDescent="0.25">
      <c r="A1331" s="247" t="s">
        <v>646</v>
      </c>
      <c r="B1331" s="247" t="s">
        <v>265</v>
      </c>
      <c r="C1331" s="247" t="s">
        <v>1283</v>
      </c>
      <c r="D1331" s="247" t="s">
        <v>711</v>
      </c>
      <c r="E1331" s="247" t="s">
        <v>1302</v>
      </c>
      <c r="F1331" s="247" t="s">
        <v>2001</v>
      </c>
      <c r="G1331" s="247" t="s">
        <v>1304</v>
      </c>
      <c r="H1331" s="247" t="s">
        <v>1999</v>
      </c>
      <c r="I1331" s="247" t="s">
        <v>2002</v>
      </c>
      <c r="J1331" s="247">
        <v>85</v>
      </c>
      <c r="K1331" s="247">
        <v>85.1</v>
      </c>
      <c r="L1331" s="249" t="s">
        <v>936</v>
      </c>
      <c r="M1331" s="249" t="s">
        <v>929</v>
      </c>
      <c r="N1331" s="248">
        <v>23993.37</v>
      </c>
      <c r="O1331" s="248">
        <v>95507.71</v>
      </c>
      <c r="P1331" s="247" t="s">
        <v>1305</v>
      </c>
      <c r="Q1331" s="247" t="s">
        <v>90</v>
      </c>
    </row>
    <row r="1332" spans="1:17" x14ac:dyDescent="0.25">
      <c r="A1332" s="247" t="s">
        <v>646</v>
      </c>
      <c r="B1332" s="247" t="s">
        <v>265</v>
      </c>
      <c r="C1332" s="247" t="s">
        <v>1283</v>
      </c>
      <c r="D1332" s="247" t="s">
        <v>711</v>
      </c>
      <c r="E1332" s="247" t="s">
        <v>1302</v>
      </c>
      <c r="F1332" s="247" t="s">
        <v>2001</v>
      </c>
      <c r="G1332" s="247" t="s">
        <v>1304</v>
      </c>
      <c r="H1332" s="247" t="s">
        <v>1999</v>
      </c>
      <c r="I1332" s="247" t="s">
        <v>2002</v>
      </c>
      <c r="J1332" s="247">
        <v>85</v>
      </c>
      <c r="K1332" s="247">
        <v>85.1</v>
      </c>
      <c r="L1332" s="249" t="s">
        <v>937</v>
      </c>
      <c r="M1332" s="249" t="s">
        <v>929</v>
      </c>
      <c r="N1332" s="248">
        <v>20300.79</v>
      </c>
      <c r="O1332" s="248">
        <v>115808.5</v>
      </c>
      <c r="P1332" s="247" t="s">
        <v>1305</v>
      </c>
      <c r="Q1332" s="247" t="s">
        <v>91</v>
      </c>
    </row>
    <row r="1333" spans="1:17" x14ac:dyDescent="0.25">
      <c r="A1333" s="247" t="s">
        <v>646</v>
      </c>
      <c r="B1333" s="247" t="s">
        <v>265</v>
      </c>
      <c r="C1333" s="247" t="s">
        <v>1283</v>
      </c>
      <c r="D1333" s="247" t="s">
        <v>711</v>
      </c>
      <c r="E1333" s="247" t="s">
        <v>1302</v>
      </c>
      <c r="F1333" s="247" t="s">
        <v>2001</v>
      </c>
      <c r="G1333" s="247" t="s">
        <v>1304</v>
      </c>
      <c r="H1333" s="247" t="s">
        <v>1999</v>
      </c>
      <c r="I1333" s="247" t="s">
        <v>2002</v>
      </c>
      <c r="J1333" s="247">
        <v>85</v>
      </c>
      <c r="K1333" s="247">
        <v>85.1</v>
      </c>
      <c r="L1333" s="249" t="s">
        <v>938</v>
      </c>
      <c r="M1333" s="249" t="s">
        <v>929</v>
      </c>
      <c r="N1333" s="248">
        <v>20218.25</v>
      </c>
      <c r="O1333" s="248">
        <v>136026.75</v>
      </c>
      <c r="P1333" s="247" t="s">
        <v>1305</v>
      </c>
      <c r="Q1333" s="247" t="s">
        <v>92</v>
      </c>
    </row>
    <row r="1334" spans="1:17" x14ac:dyDescent="0.25">
      <c r="A1334" s="247" t="s">
        <v>646</v>
      </c>
      <c r="B1334" s="247" t="s">
        <v>265</v>
      </c>
      <c r="C1334" s="247" t="s">
        <v>1283</v>
      </c>
      <c r="D1334" s="247" t="s">
        <v>711</v>
      </c>
      <c r="E1334" s="247" t="s">
        <v>1302</v>
      </c>
      <c r="F1334" s="247" t="s">
        <v>2001</v>
      </c>
      <c r="G1334" s="247" t="s">
        <v>1304</v>
      </c>
      <c r="H1334" s="247" t="s">
        <v>1999</v>
      </c>
      <c r="I1334" s="247" t="s">
        <v>2002</v>
      </c>
      <c r="J1334" s="247">
        <v>85</v>
      </c>
      <c r="K1334" s="247">
        <v>85.1</v>
      </c>
      <c r="L1334" s="249" t="s">
        <v>939</v>
      </c>
      <c r="M1334" s="249" t="s">
        <v>929</v>
      </c>
      <c r="N1334" s="248">
        <v>19012.48</v>
      </c>
      <c r="O1334" s="248">
        <v>155039.23000000001</v>
      </c>
      <c r="P1334" s="247" t="s">
        <v>1305</v>
      </c>
      <c r="Q1334" s="247" t="s">
        <v>93</v>
      </c>
    </row>
    <row r="1335" spans="1:17" x14ac:dyDescent="0.25">
      <c r="A1335" s="247" t="s">
        <v>646</v>
      </c>
      <c r="B1335" s="247" t="s">
        <v>265</v>
      </c>
      <c r="C1335" s="247" t="s">
        <v>1283</v>
      </c>
      <c r="D1335" s="247" t="s">
        <v>711</v>
      </c>
      <c r="E1335" s="247" t="s">
        <v>1302</v>
      </c>
      <c r="F1335" s="247" t="s">
        <v>2001</v>
      </c>
      <c r="G1335" s="247" t="s">
        <v>1304</v>
      </c>
      <c r="H1335" s="247" t="s">
        <v>1999</v>
      </c>
      <c r="I1335" s="247" t="s">
        <v>2002</v>
      </c>
      <c r="J1335" s="247">
        <v>85</v>
      </c>
      <c r="K1335" s="247">
        <v>85.1</v>
      </c>
      <c r="L1335" s="249" t="s">
        <v>940</v>
      </c>
      <c r="M1335" s="249" t="s">
        <v>929</v>
      </c>
      <c r="N1335" s="248">
        <v>26616.66</v>
      </c>
      <c r="O1335" s="248">
        <v>181655.89</v>
      </c>
      <c r="P1335" s="247" t="s">
        <v>1305</v>
      </c>
      <c r="Q1335" s="247" t="s">
        <v>94</v>
      </c>
    </row>
    <row r="1336" spans="1:17" x14ac:dyDescent="0.25">
      <c r="A1336" s="247" t="s">
        <v>646</v>
      </c>
      <c r="B1336" s="247" t="s">
        <v>265</v>
      </c>
      <c r="C1336" s="247" t="s">
        <v>1283</v>
      </c>
      <c r="D1336" s="247" t="s">
        <v>711</v>
      </c>
      <c r="E1336" s="247" t="s">
        <v>1302</v>
      </c>
      <c r="F1336" s="247" t="s">
        <v>2001</v>
      </c>
      <c r="G1336" s="247" t="s">
        <v>1304</v>
      </c>
      <c r="H1336" s="247" t="s">
        <v>1999</v>
      </c>
      <c r="I1336" s="247" t="s">
        <v>2002</v>
      </c>
      <c r="J1336" s="247">
        <v>85</v>
      </c>
      <c r="K1336" s="247">
        <v>85.1</v>
      </c>
      <c r="L1336" s="249" t="s">
        <v>642</v>
      </c>
      <c r="M1336" s="249" t="s">
        <v>929</v>
      </c>
      <c r="N1336" s="248">
        <v>23924.240000000002</v>
      </c>
      <c r="O1336" s="248">
        <v>205580.13</v>
      </c>
      <c r="P1336" s="247" t="s">
        <v>1305</v>
      </c>
      <c r="Q1336" s="247" t="s">
        <v>95</v>
      </c>
    </row>
    <row r="1337" spans="1:17" x14ac:dyDescent="0.25">
      <c r="A1337" s="247" t="s">
        <v>646</v>
      </c>
      <c r="B1337" s="247" t="s">
        <v>265</v>
      </c>
      <c r="C1337" s="247" t="s">
        <v>1283</v>
      </c>
      <c r="D1337" s="247" t="s">
        <v>569</v>
      </c>
      <c r="E1337" s="247" t="s">
        <v>1302</v>
      </c>
      <c r="F1337" s="247" t="s">
        <v>2003</v>
      </c>
      <c r="G1337" s="247" t="s">
        <v>1306</v>
      </c>
      <c r="H1337" s="247" t="s">
        <v>1999</v>
      </c>
      <c r="I1337" s="247" t="s">
        <v>2004</v>
      </c>
      <c r="J1337" s="247">
        <v>85</v>
      </c>
      <c r="K1337" s="247">
        <v>85.1</v>
      </c>
      <c r="L1337" s="249" t="s">
        <v>646</v>
      </c>
      <c r="M1337" s="249" t="s">
        <v>933</v>
      </c>
      <c r="N1337" s="248">
        <v>1850.74</v>
      </c>
      <c r="O1337" s="248">
        <v>9108.67</v>
      </c>
      <c r="P1337" s="247" t="s">
        <v>1307</v>
      </c>
      <c r="Q1337" s="247" t="s">
        <v>84</v>
      </c>
    </row>
    <row r="1338" spans="1:17" x14ac:dyDescent="0.25">
      <c r="A1338" s="247" t="s">
        <v>646</v>
      </c>
      <c r="B1338" s="247" t="s">
        <v>265</v>
      </c>
      <c r="C1338" s="247" t="s">
        <v>1283</v>
      </c>
      <c r="D1338" s="247" t="s">
        <v>569</v>
      </c>
      <c r="E1338" s="247" t="s">
        <v>1302</v>
      </c>
      <c r="F1338" s="247" t="s">
        <v>2003</v>
      </c>
      <c r="G1338" s="247" t="s">
        <v>1306</v>
      </c>
      <c r="H1338" s="247" t="s">
        <v>1999</v>
      </c>
      <c r="I1338" s="247" t="s">
        <v>2004</v>
      </c>
      <c r="J1338" s="247">
        <v>85</v>
      </c>
      <c r="K1338" s="247">
        <v>85.1</v>
      </c>
      <c r="L1338" s="249" t="s">
        <v>650</v>
      </c>
      <c r="M1338" s="249" t="s">
        <v>933</v>
      </c>
      <c r="N1338" s="248">
        <v>661.06</v>
      </c>
      <c r="O1338" s="248">
        <v>9769.73</v>
      </c>
      <c r="P1338" s="247" t="s">
        <v>1307</v>
      </c>
      <c r="Q1338" s="247" t="s">
        <v>85</v>
      </c>
    </row>
    <row r="1339" spans="1:17" x14ac:dyDescent="0.25">
      <c r="A1339" s="247" t="s">
        <v>646</v>
      </c>
      <c r="B1339" s="247" t="s">
        <v>265</v>
      </c>
      <c r="C1339" s="247" t="s">
        <v>1283</v>
      </c>
      <c r="D1339" s="247" t="s">
        <v>569</v>
      </c>
      <c r="E1339" s="247" t="s">
        <v>1302</v>
      </c>
      <c r="F1339" s="247" t="s">
        <v>2003</v>
      </c>
      <c r="G1339" s="247" t="s">
        <v>1306</v>
      </c>
      <c r="H1339" s="247" t="s">
        <v>1999</v>
      </c>
      <c r="I1339" s="247" t="s">
        <v>2004</v>
      </c>
      <c r="J1339" s="247">
        <v>85</v>
      </c>
      <c r="K1339" s="247">
        <v>85.1</v>
      </c>
      <c r="L1339" s="249" t="s">
        <v>652</v>
      </c>
      <c r="M1339" s="249" t="s">
        <v>933</v>
      </c>
      <c r="N1339" s="248">
        <v>362.56</v>
      </c>
      <c r="O1339" s="248">
        <v>10132.290000000001</v>
      </c>
      <c r="P1339" s="247" t="s">
        <v>1307</v>
      </c>
      <c r="Q1339" s="247" t="s">
        <v>86</v>
      </c>
    </row>
    <row r="1340" spans="1:17" x14ac:dyDescent="0.25">
      <c r="A1340" s="247" t="s">
        <v>646</v>
      </c>
      <c r="B1340" s="247" t="s">
        <v>265</v>
      </c>
      <c r="C1340" s="247" t="s">
        <v>1283</v>
      </c>
      <c r="D1340" s="247" t="s">
        <v>569</v>
      </c>
      <c r="E1340" s="247" t="s">
        <v>1302</v>
      </c>
      <c r="F1340" s="247" t="s">
        <v>2003</v>
      </c>
      <c r="G1340" s="247" t="s">
        <v>1306</v>
      </c>
      <c r="H1340" s="247" t="s">
        <v>1999</v>
      </c>
      <c r="I1340" s="247" t="s">
        <v>2004</v>
      </c>
      <c r="J1340" s="247">
        <v>85</v>
      </c>
      <c r="K1340" s="247">
        <v>85.1</v>
      </c>
      <c r="L1340" s="249" t="s">
        <v>789</v>
      </c>
      <c r="M1340" s="249" t="s">
        <v>929</v>
      </c>
      <c r="N1340" s="248">
        <v>386.79</v>
      </c>
      <c r="O1340" s="248">
        <v>386.79</v>
      </c>
      <c r="P1340" s="247" t="s">
        <v>1307</v>
      </c>
      <c r="Q1340" s="247" t="s">
        <v>87</v>
      </c>
    </row>
    <row r="1341" spans="1:17" x14ac:dyDescent="0.25">
      <c r="A1341" s="247" t="s">
        <v>646</v>
      </c>
      <c r="B1341" s="247" t="s">
        <v>265</v>
      </c>
      <c r="C1341" s="247" t="s">
        <v>1283</v>
      </c>
      <c r="D1341" s="247" t="s">
        <v>569</v>
      </c>
      <c r="E1341" s="247" t="s">
        <v>1302</v>
      </c>
      <c r="F1341" s="247" t="s">
        <v>2003</v>
      </c>
      <c r="G1341" s="247" t="s">
        <v>1306</v>
      </c>
      <c r="H1341" s="247" t="s">
        <v>1999</v>
      </c>
      <c r="I1341" s="247" t="s">
        <v>2004</v>
      </c>
      <c r="J1341" s="247">
        <v>85</v>
      </c>
      <c r="K1341" s="247">
        <v>85.1</v>
      </c>
      <c r="L1341" s="249" t="s">
        <v>791</v>
      </c>
      <c r="M1341" s="249" t="s">
        <v>929</v>
      </c>
      <c r="N1341" s="248">
        <v>578.23</v>
      </c>
      <c r="O1341" s="248">
        <v>965.02</v>
      </c>
      <c r="P1341" s="247" t="s">
        <v>1307</v>
      </c>
      <c r="Q1341" s="247" t="s">
        <v>88</v>
      </c>
    </row>
    <row r="1342" spans="1:17" x14ac:dyDescent="0.25">
      <c r="A1342" s="247" t="s">
        <v>646</v>
      </c>
      <c r="B1342" s="247" t="s">
        <v>265</v>
      </c>
      <c r="C1342" s="247" t="s">
        <v>1283</v>
      </c>
      <c r="D1342" s="247" t="s">
        <v>569</v>
      </c>
      <c r="E1342" s="247" t="s">
        <v>1302</v>
      </c>
      <c r="F1342" s="247" t="s">
        <v>2003</v>
      </c>
      <c r="G1342" s="247" t="s">
        <v>1306</v>
      </c>
      <c r="H1342" s="247" t="s">
        <v>1999</v>
      </c>
      <c r="I1342" s="247" t="s">
        <v>2004</v>
      </c>
      <c r="J1342" s="247">
        <v>85</v>
      </c>
      <c r="K1342" s="247">
        <v>85.1</v>
      </c>
      <c r="L1342" s="249" t="s">
        <v>935</v>
      </c>
      <c r="M1342" s="249" t="s">
        <v>929</v>
      </c>
      <c r="N1342" s="248">
        <v>1167.67</v>
      </c>
      <c r="O1342" s="248">
        <v>2132.69</v>
      </c>
      <c r="P1342" s="247" t="s">
        <v>1307</v>
      </c>
      <c r="Q1342" s="247" t="s">
        <v>89</v>
      </c>
    </row>
    <row r="1343" spans="1:17" x14ac:dyDescent="0.25">
      <c r="A1343" s="247" t="s">
        <v>646</v>
      </c>
      <c r="B1343" s="247" t="s">
        <v>265</v>
      </c>
      <c r="C1343" s="247" t="s">
        <v>1283</v>
      </c>
      <c r="D1343" s="247" t="s">
        <v>569</v>
      </c>
      <c r="E1343" s="247" t="s">
        <v>1302</v>
      </c>
      <c r="F1343" s="247" t="s">
        <v>2003</v>
      </c>
      <c r="G1343" s="247" t="s">
        <v>1306</v>
      </c>
      <c r="H1343" s="247" t="s">
        <v>1999</v>
      </c>
      <c r="I1343" s="247" t="s">
        <v>2004</v>
      </c>
      <c r="J1343" s="247">
        <v>85</v>
      </c>
      <c r="K1343" s="247">
        <v>85.1</v>
      </c>
      <c r="L1343" s="249" t="s">
        <v>936</v>
      </c>
      <c r="M1343" s="249" t="s">
        <v>929</v>
      </c>
      <c r="N1343" s="248">
        <v>2279.4</v>
      </c>
      <c r="O1343" s="248">
        <v>4412.09</v>
      </c>
      <c r="P1343" s="247" t="s">
        <v>1307</v>
      </c>
      <c r="Q1343" s="247" t="s">
        <v>90</v>
      </c>
    </row>
    <row r="1344" spans="1:17" x14ac:dyDescent="0.25">
      <c r="A1344" s="247" t="s">
        <v>646</v>
      </c>
      <c r="B1344" s="247" t="s">
        <v>265</v>
      </c>
      <c r="C1344" s="247" t="s">
        <v>1283</v>
      </c>
      <c r="D1344" s="247" t="s">
        <v>569</v>
      </c>
      <c r="E1344" s="247" t="s">
        <v>1302</v>
      </c>
      <c r="F1344" s="247" t="s">
        <v>2003</v>
      </c>
      <c r="G1344" s="247" t="s">
        <v>1306</v>
      </c>
      <c r="H1344" s="247" t="s">
        <v>1999</v>
      </c>
      <c r="I1344" s="247" t="s">
        <v>2004</v>
      </c>
      <c r="J1344" s="247">
        <v>85</v>
      </c>
      <c r="K1344" s="247">
        <v>85.1</v>
      </c>
      <c r="L1344" s="249" t="s">
        <v>937</v>
      </c>
      <c r="M1344" s="249" t="s">
        <v>929</v>
      </c>
      <c r="N1344" s="248">
        <v>1052.49</v>
      </c>
      <c r="O1344" s="248">
        <v>5464.58</v>
      </c>
      <c r="P1344" s="247" t="s">
        <v>1307</v>
      </c>
      <c r="Q1344" s="247" t="s">
        <v>91</v>
      </c>
    </row>
    <row r="1345" spans="1:17" x14ac:dyDescent="0.25">
      <c r="A1345" s="247" t="s">
        <v>646</v>
      </c>
      <c r="B1345" s="247" t="s">
        <v>265</v>
      </c>
      <c r="C1345" s="247" t="s">
        <v>1283</v>
      </c>
      <c r="D1345" s="247" t="s">
        <v>569</v>
      </c>
      <c r="E1345" s="247" t="s">
        <v>1302</v>
      </c>
      <c r="F1345" s="247" t="s">
        <v>2003</v>
      </c>
      <c r="G1345" s="247" t="s">
        <v>1306</v>
      </c>
      <c r="H1345" s="247" t="s">
        <v>1999</v>
      </c>
      <c r="I1345" s="247" t="s">
        <v>2004</v>
      </c>
      <c r="J1345" s="247">
        <v>85</v>
      </c>
      <c r="K1345" s="247">
        <v>85.1</v>
      </c>
      <c r="L1345" s="249" t="s">
        <v>938</v>
      </c>
      <c r="M1345" s="249" t="s">
        <v>929</v>
      </c>
      <c r="N1345" s="248">
        <v>916.85</v>
      </c>
      <c r="O1345" s="248">
        <v>6381.43</v>
      </c>
      <c r="P1345" s="247" t="s">
        <v>1307</v>
      </c>
      <c r="Q1345" s="247" t="s">
        <v>92</v>
      </c>
    </row>
    <row r="1346" spans="1:17" x14ac:dyDescent="0.25">
      <c r="A1346" s="247" t="s">
        <v>646</v>
      </c>
      <c r="B1346" s="247" t="s">
        <v>265</v>
      </c>
      <c r="C1346" s="247" t="s">
        <v>1283</v>
      </c>
      <c r="D1346" s="247" t="s">
        <v>569</v>
      </c>
      <c r="E1346" s="247" t="s">
        <v>1302</v>
      </c>
      <c r="F1346" s="247" t="s">
        <v>2003</v>
      </c>
      <c r="G1346" s="247" t="s">
        <v>1306</v>
      </c>
      <c r="H1346" s="247" t="s">
        <v>1999</v>
      </c>
      <c r="I1346" s="247" t="s">
        <v>2004</v>
      </c>
      <c r="J1346" s="247">
        <v>85</v>
      </c>
      <c r="K1346" s="247">
        <v>85.1</v>
      </c>
      <c r="L1346" s="249" t="s">
        <v>939</v>
      </c>
      <c r="M1346" s="249" t="s">
        <v>929</v>
      </c>
      <c r="N1346" s="248">
        <v>609.37</v>
      </c>
      <c r="O1346" s="248">
        <v>6990.8</v>
      </c>
      <c r="P1346" s="247" t="s">
        <v>1307</v>
      </c>
      <c r="Q1346" s="247" t="s">
        <v>93</v>
      </c>
    </row>
    <row r="1347" spans="1:17" x14ac:dyDescent="0.25">
      <c r="A1347" s="247" t="s">
        <v>646</v>
      </c>
      <c r="B1347" s="247" t="s">
        <v>265</v>
      </c>
      <c r="C1347" s="247" t="s">
        <v>1283</v>
      </c>
      <c r="D1347" s="247" t="s">
        <v>569</v>
      </c>
      <c r="E1347" s="247" t="s">
        <v>1302</v>
      </c>
      <c r="F1347" s="247" t="s">
        <v>2003</v>
      </c>
      <c r="G1347" s="247" t="s">
        <v>1306</v>
      </c>
      <c r="H1347" s="247" t="s">
        <v>1999</v>
      </c>
      <c r="I1347" s="247" t="s">
        <v>2004</v>
      </c>
      <c r="J1347" s="247">
        <v>85</v>
      </c>
      <c r="K1347" s="247">
        <v>85.1</v>
      </c>
      <c r="L1347" s="249" t="s">
        <v>940</v>
      </c>
      <c r="M1347" s="249" t="s">
        <v>929</v>
      </c>
      <c r="N1347" s="248">
        <v>1170.1500000000001</v>
      </c>
      <c r="O1347" s="248">
        <v>8160.95</v>
      </c>
      <c r="P1347" s="247" t="s">
        <v>1307</v>
      </c>
      <c r="Q1347" s="247" t="s">
        <v>94</v>
      </c>
    </row>
    <row r="1348" spans="1:17" x14ac:dyDescent="0.25">
      <c r="A1348" s="247" t="s">
        <v>646</v>
      </c>
      <c r="B1348" s="247" t="s">
        <v>265</v>
      </c>
      <c r="C1348" s="247" t="s">
        <v>1283</v>
      </c>
      <c r="D1348" s="247" t="s">
        <v>569</v>
      </c>
      <c r="E1348" s="247" t="s">
        <v>1302</v>
      </c>
      <c r="F1348" s="247" t="s">
        <v>2003</v>
      </c>
      <c r="G1348" s="247" t="s">
        <v>1306</v>
      </c>
      <c r="H1348" s="247" t="s">
        <v>1999</v>
      </c>
      <c r="I1348" s="247" t="s">
        <v>2004</v>
      </c>
      <c r="J1348" s="247">
        <v>85</v>
      </c>
      <c r="K1348" s="247">
        <v>85.1</v>
      </c>
      <c r="L1348" s="249" t="s">
        <v>642</v>
      </c>
      <c r="M1348" s="249" t="s">
        <v>929</v>
      </c>
      <c r="N1348" s="248">
        <v>1476.8</v>
      </c>
      <c r="O1348" s="248">
        <v>9637.75</v>
      </c>
      <c r="P1348" s="247" t="s">
        <v>1307</v>
      </c>
      <c r="Q1348" s="247" t="s">
        <v>95</v>
      </c>
    </row>
    <row r="1349" spans="1:17" x14ac:dyDescent="0.25">
      <c r="A1349" s="247" t="s">
        <v>646</v>
      </c>
      <c r="B1349" s="247" t="s">
        <v>265</v>
      </c>
      <c r="C1349" s="247" t="s">
        <v>1283</v>
      </c>
      <c r="D1349" s="247" t="s">
        <v>1049</v>
      </c>
      <c r="E1349" s="247" t="s">
        <v>1302</v>
      </c>
      <c r="F1349" s="247" t="s">
        <v>2005</v>
      </c>
      <c r="G1349" s="247" t="s">
        <v>1308</v>
      </c>
      <c r="H1349" s="247" t="s">
        <v>1999</v>
      </c>
      <c r="I1349" s="247" t="s">
        <v>2006</v>
      </c>
      <c r="J1349" s="247">
        <v>85</v>
      </c>
      <c r="K1349" s="247">
        <v>85.1</v>
      </c>
      <c r="L1349" s="249" t="s">
        <v>935</v>
      </c>
      <c r="M1349" s="249" t="s">
        <v>929</v>
      </c>
      <c r="N1349" s="248">
        <v>690.2</v>
      </c>
      <c r="O1349" s="248">
        <v>690.2</v>
      </c>
      <c r="P1349" s="247" t="s">
        <v>1309</v>
      </c>
      <c r="Q1349" s="247" t="s">
        <v>89</v>
      </c>
    </row>
    <row r="1350" spans="1:17" x14ac:dyDescent="0.25">
      <c r="A1350" s="247" t="s">
        <v>646</v>
      </c>
      <c r="B1350" s="247" t="s">
        <v>265</v>
      </c>
      <c r="C1350" s="247" t="s">
        <v>1283</v>
      </c>
      <c r="D1350" s="247" t="s">
        <v>1049</v>
      </c>
      <c r="E1350" s="247" t="s">
        <v>1302</v>
      </c>
      <c r="F1350" s="247" t="s">
        <v>2005</v>
      </c>
      <c r="G1350" s="247" t="s">
        <v>1308</v>
      </c>
      <c r="H1350" s="247" t="s">
        <v>1999</v>
      </c>
      <c r="I1350" s="247" t="s">
        <v>2006</v>
      </c>
      <c r="J1350" s="247">
        <v>85</v>
      </c>
      <c r="K1350" s="247">
        <v>85.1</v>
      </c>
      <c r="L1350" s="249" t="s">
        <v>936</v>
      </c>
      <c r="M1350" s="249" t="s">
        <v>929</v>
      </c>
      <c r="N1350" s="248">
        <v>0</v>
      </c>
      <c r="O1350" s="248">
        <v>690.2</v>
      </c>
      <c r="P1350" s="247" t="s">
        <v>1309</v>
      </c>
      <c r="Q1350" s="247" t="s">
        <v>90</v>
      </c>
    </row>
    <row r="1351" spans="1:17" x14ac:dyDescent="0.25">
      <c r="A1351" s="247" t="s">
        <v>646</v>
      </c>
      <c r="B1351" s="247" t="s">
        <v>265</v>
      </c>
      <c r="C1351" s="247" t="s">
        <v>1283</v>
      </c>
      <c r="D1351" s="247" t="s">
        <v>1049</v>
      </c>
      <c r="E1351" s="247" t="s">
        <v>1302</v>
      </c>
      <c r="F1351" s="247" t="s">
        <v>2005</v>
      </c>
      <c r="G1351" s="247" t="s">
        <v>1308</v>
      </c>
      <c r="H1351" s="247" t="s">
        <v>1999</v>
      </c>
      <c r="I1351" s="247" t="s">
        <v>2006</v>
      </c>
      <c r="J1351" s="247">
        <v>85</v>
      </c>
      <c r="K1351" s="247">
        <v>85.1</v>
      </c>
      <c r="L1351" s="249" t="s">
        <v>937</v>
      </c>
      <c r="M1351" s="249" t="s">
        <v>929</v>
      </c>
      <c r="N1351" s="248">
        <v>0</v>
      </c>
      <c r="O1351" s="248">
        <v>690.2</v>
      </c>
      <c r="P1351" s="247" t="s">
        <v>1309</v>
      </c>
      <c r="Q1351" s="247" t="s">
        <v>91</v>
      </c>
    </row>
    <row r="1352" spans="1:17" x14ac:dyDescent="0.25">
      <c r="A1352" s="247" t="s">
        <v>646</v>
      </c>
      <c r="B1352" s="247" t="s">
        <v>265</v>
      </c>
      <c r="C1352" s="247" t="s">
        <v>1283</v>
      </c>
      <c r="D1352" s="247" t="s">
        <v>1049</v>
      </c>
      <c r="E1352" s="247" t="s">
        <v>1302</v>
      </c>
      <c r="F1352" s="247" t="s">
        <v>2005</v>
      </c>
      <c r="G1352" s="247" t="s">
        <v>1308</v>
      </c>
      <c r="H1352" s="247" t="s">
        <v>1999</v>
      </c>
      <c r="I1352" s="247" t="s">
        <v>2006</v>
      </c>
      <c r="J1352" s="247">
        <v>85</v>
      </c>
      <c r="K1352" s="247">
        <v>85.1</v>
      </c>
      <c r="L1352" s="249" t="s">
        <v>938</v>
      </c>
      <c r="M1352" s="249" t="s">
        <v>929</v>
      </c>
      <c r="N1352" s="248">
        <v>0</v>
      </c>
      <c r="O1352" s="248">
        <v>690.2</v>
      </c>
      <c r="P1352" s="247" t="s">
        <v>1309</v>
      </c>
      <c r="Q1352" s="247" t="s">
        <v>92</v>
      </c>
    </row>
    <row r="1353" spans="1:17" x14ac:dyDescent="0.25">
      <c r="A1353" s="247" t="s">
        <v>646</v>
      </c>
      <c r="B1353" s="247" t="s">
        <v>265</v>
      </c>
      <c r="C1353" s="247" t="s">
        <v>1283</v>
      </c>
      <c r="D1353" s="247" t="s">
        <v>1049</v>
      </c>
      <c r="E1353" s="247" t="s">
        <v>1302</v>
      </c>
      <c r="F1353" s="247" t="s">
        <v>2005</v>
      </c>
      <c r="G1353" s="247" t="s">
        <v>1308</v>
      </c>
      <c r="H1353" s="247" t="s">
        <v>1999</v>
      </c>
      <c r="I1353" s="247" t="s">
        <v>2006</v>
      </c>
      <c r="J1353" s="247">
        <v>85</v>
      </c>
      <c r="K1353" s="247">
        <v>85.1</v>
      </c>
      <c r="L1353" s="249" t="s">
        <v>939</v>
      </c>
      <c r="M1353" s="249" t="s">
        <v>929</v>
      </c>
      <c r="N1353" s="248">
        <v>0</v>
      </c>
      <c r="O1353" s="248">
        <v>690.2</v>
      </c>
      <c r="P1353" s="247" t="s">
        <v>1309</v>
      </c>
      <c r="Q1353" s="247" t="s">
        <v>93</v>
      </c>
    </row>
    <row r="1354" spans="1:17" x14ac:dyDescent="0.25">
      <c r="A1354" s="247" t="s">
        <v>646</v>
      </c>
      <c r="B1354" s="247" t="s">
        <v>265</v>
      </c>
      <c r="C1354" s="247" t="s">
        <v>1283</v>
      </c>
      <c r="D1354" s="247" t="s">
        <v>1049</v>
      </c>
      <c r="E1354" s="247" t="s">
        <v>1302</v>
      </c>
      <c r="F1354" s="247" t="s">
        <v>2005</v>
      </c>
      <c r="G1354" s="247" t="s">
        <v>1308</v>
      </c>
      <c r="H1354" s="247" t="s">
        <v>1999</v>
      </c>
      <c r="I1354" s="247" t="s">
        <v>2006</v>
      </c>
      <c r="J1354" s="247">
        <v>85</v>
      </c>
      <c r="K1354" s="247">
        <v>85.1</v>
      </c>
      <c r="L1354" s="249" t="s">
        <v>940</v>
      </c>
      <c r="M1354" s="249" t="s">
        <v>929</v>
      </c>
      <c r="N1354" s="248">
        <v>0</v>
      </c>
      <c r="O1354" s="248">
        <v>690.2</v>
      </c>
      <c r="P1354" s="247" t="s">
        <v>1309</v>
      </c>
      <c r="Q1354" s="247" t="s">
        <v>94</v>
      </c>
    </row>
    <row r="1355" spans="1:17" x14ac:dyDescent="0.25">
      <c r="A1355" s="247" t="s">
        <v>646</v>
      </c>
      <c r="B1355" s="247" t="s">
        <v>265</v>
      </c>
      <c r="C1355" s="247" t="s">
        <v>1283</v>
      </c>
      <c r="D1355" s="247" t="s">
        <v>1049</v>
      </c>
      <c r="E1355" s="247" t="s">
        <v>1302</v>
      </c>
      <c r="F1355" s="247" t="s">
        <v>2005</v>
      </c>
      <c r="G1355" s="247" t="s">
        <v>1308</v>
      </c>
      <c r="H1355" s="247" t="s">
        <v>1999</v>
      </c>
      <c r="I1355" s="247" t="s">
        <v>2006</v>
      </c>
      <c r="J1355" s="247">
        <v>85</v>
      </c>
      <c r="K1355" s="247">
        <v>85.1</v>
      </c>
      <c r="L1355" s="249" t="s">
        <v>642</v>
      </c>
      <c r="M1355" s="249" t="s">
        <v>929</v>
      </c>
      <c r="N1355" s="248">
        <v>0</v>
      </c>
      <c r="O1355" s="248">
        <v>690.2</v>
      </c>
      <c r="P1355" s="247" t="s">
        <v>1309</v>
      </c>
      <c r="Q1355" s="247" t="s">
        <v>95</v>
      </c>
    </row>
    <row r="1356" spans="1:17" x14ac:dyDescent="0.25">
      <c r="A1356" s="247" t="s">
        <v>646</v>
      </c>
      <c r="B1356" s="247" t="s">
        <v>265</v>
      </c>
      <c r="C1356" s="247" t="s">
        <v>1283</v>
      </c>
      <c r="D1356" s="247" t="s">
        <v>1025</v>
      </c>
      <c r="E1356" s="247" t="s">
        <v>1302</v>
      </c>
      <c r="F1356" s="247" t="s">
        <v>2007</v>
      </c>
      <c r="G1356" s="247" t="s">
        <v>1289</v>
      </c>
      <c r="H1356" s="247" t="s">
        <v>1999</v>
      </c>
      <c r="I1356" s="247" t="s">
        <v>2008</v>
      </c>
      <c r="J1356" s="247">
        <v>57</v>
      </c>
      <c r="K1356" s="247">
        <v>57</v>
      </c>
      <c r="L1356" s="249" t="s">
        <v>646</v>
      </c>
      <c r="M1356" s="249" t="s">
        <v>933</v>
      </c>
      <c r="N1356" s="248">
        <v>960.72</v>
      </c>
      <c r="O1356" s="248">
        <v>960.72</v>
      </c>
      <c r="P1356" s="247" t="s">
        <v>1310</v>
      </c>
      <c r="Q1356" s="247" t="s">
        <v>84</v>
      </c>
    </row>
    <row r="1357" spans="1:17" x14ac:dyDescent="0.25">
      <c r="A1357" s="247" t="s">
        <v>646</v>
      </c>
      <c r="B1357" s="247" t="s">
        <v>265</v>
      </c>
      <c r="C1357" s="247" t="s">
        <v>1283</v>
      </c>
      <c r="D1357" s="247" t="s">
        <v>1025</v>
      </c>
      <c r="E1357" s="247" t="s">
        <v>1302</v>
      </c>
      <c r="F1357" s="247" t="s">
        <v>2007</v>
      </c>
      <c r="G1357" s="247" t="s">
        <v>1289</v>
      </c>
      <c r="H1357" s="247" t="s">
        <v>1999</v>
      </c>
      <c r="I1357" s="247" t="s">
        <v>2008</v>
      </c>
      <c r="J1357" s="247">
        <v>57</v>
      </c>
      <c r="K1357" s="247">
        <v>57</v>
      </c>
      <c r="L1357" s="249" t="s">
        <v>650</v>
      </c>
      <c r="M1357" s="249" t="s">
        <v>933</v>
      </c>
      <c r="N1357" s="248">
        <v>1938.9</v>
      </c>
      <c r="O1357" s="248">
        <v>2899.62</v>
      </c>
      <c r="P1357" s="247" t="s">
        <v>1310</v>
      </c>
      <c r="Q1357" s="247" t="s">
        <v>85</v>
      </c>
    </row>
    <row r="1358" spans="1:17" x14ac:dyDescent="0.25">
      <c r="A1358" s="247" t="s">
        <v>646</v>
      </c>
      <c r="B1358" s="247" t="s">
        <v>265</v>
      </c>
      <c r="C1358" s="247" t="s">
        <v>1283</v>
      </c>
      <c r="D1358" s="247" t="s">
        <v>1025</v>
      </c>
      <c r="E1358" s="247" t="s">
        <v>1302</v>
      </c>
      <c r="F1358" s="247" t="s">
        <v>2007</v>
      </c>
      <c r="G1358" s="247" t="s">
        <v>1289</v>
      </c>
      <c r="H1358" s="247" t="s">
        <v>1999</v>
      </c>
      <c r="I1358" s="247" t="s">
        <v>2008</v>
      </c>
      <c r="J1358" s="247">
        <v>57</v>
      </c>
      <c r="K1358" s="247">
        <v>57</v>
      </c>
      <c r="L1358" s="249" t="s">
        <v>652</v>
      </c>
      <c r="M1358" s="249" t="s">
        <v>933</v>
      </c>
      <c r="N1358" s="248">
        <v>0</v>
      </c>
      <c r="O1358" s="248">
        <v>2899.62</v>
      </c>
      <c r="P1358" s="247" t="s">
        <v>1310</v>
      </c>
      <c r="Q1358" s="247" t="s">
        <v>86</v>
      </c>
    </row>
    <row r="1359" spans="1:17" x14ac:dyDescent="0.25">
      <c r="A1359" s="247" t="s">
        <v>646</v>
      </c>
      <c r="B1359" s="247" t="s">
        <v>265</v>
      </c>
      <c r="C1359" s="247" t="s">
        <v>1283</v>
      </c>
      <c r="D1359" s="247" t="s">
        <v>1025</v>
      </c>
      <c r="E1359" s="247" t="s">
        <v>1302</v>
      </c>
      <c r="F1359" s="247" t="s">
        <v>2007</v>
      </c>
      <c r="G1359" s="247" t="s">
        <v>1289</v>
      </c>
      <c r="H1359" s="247" t="s">
        <v>1999</v>
      </c>
      <c r="I1359" s="247" t="s">
        <v>2008</v>
      </c>
      <c r="J1359" s="247">
        <v>57</v>
      </c>
      <c r="K1359" s="247">
        <v>57</v>
      </c>
      <c r="L1359" s="249" t="s">
        <v>789</v>
      </c>
      <c r="M1359" s="249" t="s">
        <v>929</v>
      </c>
      <c r="N1359" s="248">
        <v>3886.34</v>
      </c>
      <c r="O1359" s="248">
        <v>3886.34</v>
      </c>
      <c r="P1359" s="247" t="s">
        <v>1310</v>
      </c>
      <c r="Q1359" s="247" t="s">
        <v>87</v>
      </c>
    </row>
    <row r="1360" spans="1:17" x14ac:dyDescent="0.25">
      <c r="A1360" s="247" t="s">
        <v>646</v>
      </c>
      <c r="B1360" s="247" t="s">
        <v>265</v>
      </c>
      <c r="C1360" s="247" t="s">
        <v>1283</v>
      </c>
      <c r="D1360" s="247" t="s">
        <v>1025</v>
      </c>
      <c r="E1360" s="247" t="s">
        <v>1302</v>
      </c>
      <c r="F1360" s="247" t="s">
        <v>2007</v>
      </c>
      <c r="G1360" s="247" t="s">
        <v>1289</v>
      </c>
      <c r="H1360" s="247" t="s">
        <v>1999</v>
      </c>
      <c r="I1360" s="247" t="s">
        <v>2008</v>
      </c>
      <c r="J1360" s="247">
        <v>57</v>
      </c>
      <c r="K1360" s="247">
        <v>57</v>
      </c>
      <c r="L1360" s="249" t="s">
        <v>791</v>
      </c>
      <c r="M1360" s="249" t="s">
        <v>929</v>
      </c>
      <c r="N1360" s="248">
        <v>2580.4899999999998</v>
      </c>
      <c r="O1360" s="248">
        <v>6466.83</v>
      </c>
      <c r="P1360" s="247" t="s">
        <v>1310</v>
      </c>
      <c r="Q1360" s="247" t="s">
        <v>88</v>
      </c>
    </row>
    <row r="1361" spans="1:17" x14ac:dyDescent="0.25">
      <c r="A1361" s="247" t="s">
        <v>646</v>
      </c>
      <c r="B1361" s="247" t="s">
        <v>265</v>
      </c>
      <c r="C1361" s="247" t="s">
        <v>1283</v>
      </c>
      <c r="D1361" s="247" t="s">
        <v>1025</v>
      </c>
      <c r="E1361" s="247" t="s">
        <v>1302</v>
      </c>
      <c r="F1361" s="247" t="s">
        <v>2007</v>
      </c>
      <c r="G1361" s="247" t="s">
        <v>1289</v>
      </c>
      <c r="H1361" s="247" t="s">
        <v>1999</v>
      </c>
      <c r="I1361" s="247" t="s">
        <v>2008</v>
      </c>
      <c r="J1361" s="247">
        <v>57</v>
      </c>
      <c r="K1361" s="247">
        <v>57</v>
      </c>
      <c r="L1361" s="249" t="s">
        <v>935</v>
      </c>
      <c r="M1361" s="249" t="s">
        <v>929</v>
      </c>
      <c r="N1361" s="248">
        <v>2557.5300000000002</v>
      </c>
      <c r="O1361" s="248">
        <v>9024.36</v>
      </c>
      <c r="P1361" s="247" t="s">
        <v>1310</v>
      </c>
      <c r="Q1361" s="247" t="s">
        <v>89</v>
      </c>
    </row>
    <row r="1362" spans="1:17" x14ac:dyDescent="0.25">
      <c r="A1362" s="247" t="s">
        <v>646</v>
      </c>
      <c r="B1362" s="247" t="s">
        <v>265</v>
      </c>
      <c r="C1362" s="247" t="s">
        <v>1283</v>
      </c>
      <c r="D1362" s="247" t="s">
        <v>1025</v>
      </c>
      <c r="E1362" s="247" t="s">
        <v>1302</v>
      </c>
      <c r="F1362" s="247" t="s">
        <v>2007</v>
      </c>
      <c r="G1362" s="247" t="s">
        <v>1289</v>
      </c>
      <c r="H1362" s="247" t="s">
        <v>1999</v>
      </c>
      <c r="I1362" s="247" t="s">
        <v>2008</v>
      </c>
      <c r="J1362" s="247">
        <v>57</v>
      </c>
      <c r="K1362" s="247">
        <v>57</v>
      </c>
      <c r="L1362" s="249" t="s">
        <v>936</v>
      </c>
      <c r="M1362" s="249" t="s">
        <v>929</v>
      </c>
      <c r="N1362" s="248">
        <v>3247.97</v>
      </c>
      <c r="O1362" s="248">
        <v>12272.33</v>
      </c>
      <c r="P1362" s="247" t="s">
        <v>1310</v>
      </c>
      <c r="Q1362" s="247" t="s">
        <v>90</v>
      </c>
    </row>
    <row r="1363" spans="1:17" x14ac:dyDescent="0.25">
      <c r="A1363" s="247" t="s">
        <v>646</v>
      </c>
      <c r="B1363" s="247" t="s">
        <v>265</v>
      </c>
      <c r="C1363" s="247" t="s">
        <v>1283</v>
      </c>
      <c r="D1363" s="247" t="s">
        <v>1025</v>
      </c>
      <c r="E1363" s="247" t="s">
        <v>1302</v>
      </c>
      <c r="F1363" s="247" t="s">
        <v>2007</v>
      </c>
      <c r="G1363" s="247" t="s">
        <v>1289</v>
      </c>
      <c r="H1363" s="247" t="s">
        <v>1999</v>
      </c>
      <c r="I1363" s="247" t="s">
        <v>2008</v>
      </c>
      <c r="J1363" s="247">
        <v>57</v>
      </c>
      <c r="K1363" s="247">
        <v>57</v>
      </c>
      <c r="L1363" s="249" t="s">
        <v>937</v>
      </c>
      <c r="M1363" s="249" t="s">
        <v>929</v>
      </c>
      <c r="N1363" s="248">
        <v>2682.15</v>
      </c>
      <c r="O1363" s="248">
        <v>14954.48</v>
      </c>
      <c r="P1363" s="247" t="s">
        <v>1310</v>
      </c>
      <c r="Q1363" s="247" t="s">
        <v>91</v>
      </c>
    </row>
    <row r="1364" spans="1:17" x14ac:dyDescent="0.25">
      <c r="A1364" s="247" t="s">
        <v>646</v>
      </c>
      <c r="B1364" s="247" t="s">
        <v>265</v>
      </c>
      <c r="C1364" s="247" t="s">
        <v>1283</v>
      </c>
      <c r="D1364" s="247" t="s">
        <v>1025</v>
      </c>
      <c r="E1364" s="247" t="s">
        <v>1302</v>
      </c>
      <c r="F1364" s="247" t="s">
        <v>2007</v>
      </c>
      <c r="G1364" s="247" t="s">
        <v>1289</v>
      </c>
      <c r="H1364" s="247" t="s">
        <v>1999</v>
      </c>
      <c r="I1364" s="247" t="s">
        <v>2008</v>
      </c>
      <c r="J1364" s="247">
        <v>57</v>
      </c>
      <c r="K1364" s="247">
        <v>57</v>
      </c>
      <c r="L1364" s="249" t="s">
        <v>938</v>
      </c>
      <c r="M1364" s="249" t="s">
        <v>929</v>
      </c>
      <c r="N1364" s="248">
        <v>2811.8</v>
      </c>
      <c r="O1364" s="248">
        <v>17766.28</v>
      </c>
      <c r="P1364" s="247" t="s">
        <v>1310</v>
      </c>
      <c r="Q1364" s="247" t="s">
        <v>92</v>
      </c>
    </row>
    <row r="1365" spans="1:17" x14ac:dyDescent="0.25">
      <c r="A1365" s="247" t="s">
        <v>646</v>
      </c>
      <c r="B1365" s="247" t="s">
        <v>265</v>
      </c>
      <c r="C1365" s="247" t="s">
        <v>1283</v>
      </c>
      <c r="D1365" s="247" t="s">
        <v>1025</v>
      </c>
      <c r="E1365" s="247" t="s">
        <v>1302</v>
      </c>
      <c r="F1365" s="247" t="s">
        <v>2007</v>
      </c>
      <c r="G1365" s="247" t="s">
        <v>1289</v>
      </c>
      <c r="H1365" s="247" t="s">
        <v>1999</v>
      </c>
      <c r="I1365" s="247" t="s">
        <v>2008</v>
      </c>
      <c r="J1365" s="247">
        <v>57</v>
      </c>
      <c r="K1365" s="247">
        <v>57</v>
      </c>
      <c r="L1365" s="249" t="s">
        <v>939</v>
      </c>
      <c r="M1365" s="249" t="s">
        <v>929</v>
      </c>
      <c r="N1365" s="248">
        <v>2422.9699999999998</v>
      </c>
      <c r="O1365" s="248">
        <v>20189.25</v>
      </c>
      <c r="P1365" s="247" t="s">
        <v>1310</v>
      </c>
      <c r="Q1365" s="247" t="s">
        <v>93</v>
      </c>
    </row>
    <row r="1366" spans="1:17" x14ac:dyDescent="0.25">
      <c r="A1366" s="247" t="s">
        <v>646</v>
      </c>
      <c r="B1366" s="247" t="s">
        <v>265</v>
      </c>
      <c r="C1366" s="247" t="s">
        <v>1283</v>
      </c>
      <c r="D1366" s="247" t="s">
        <v>1025</v>
      </c>
      <c r="E1366" s="247" t="s">
        <v>1302</v>
      </c>
      <c r="F1366" s="247" t="s">
        <v>2007</v>
      </c>
      <c r="G1366" s="247" t="s">
        <v>1289</v>
      </c>
      <c r="H1366" s="247" t="s">
        <v>1999</v>
      </c>
      <c r="I1366" s="247" t="s">
        <v>2008</v>
      </c>
      <c r="J1366" s="247">
        <v>57</v>
      </c>
      <c r="K1366" s="247">
        <v>57</v>
      </c>
      <c r="L1366" s="249" t="s">
        <v>940</v>
      </c>
      <c r="M1366" s="249" t="s">
        <v>929</v>
      </c>
      <c r="N1366" s="248">
        <v>3138.21</v>
      </c>
      <c r="O1366" s="248">
        <v>23327.46</v>
      </c>
      <c r="P1366" s="247" t="s">
        <v>1310</v>
      </c>
      <c r="Q1366" s="247" t="s">
        <v>94</v>
      </c>
    </row>
    <row r="1367" spans="1:17" x14ac:dyDescent="0.25">
      <c r="A1367" s="247" t="s">
        <v>646</v>
      </c>
      <c r="B1367" s="247" t="s">
        <v>265</v>
      </c>
      <c r="C1367" s="247" t="s">
        <v>1283</v>
      </c>
      <c r="D1367" s="247" t="s">
        <v>1025</v>
      </c>
      <c r="E1367" s="247" t="s">
        <v>1302</v>
      </c>
      <c r="F1367" s="247" t="s">
        <v>2007</v>
      </c>
      <c r="G1367" s="247" t="s">
        <v>1289</v>
      </c>
      <c r="H1367" s="247" t="s">
        <v>1999</v>
      </c>
      <c r="I1367" s="247" t="s">
        <v>2008</v>
      </c>
      <c r="J1367" s="247">
        <v>57</v>
      </c>
      <c r="K1367" s="247">
        <v>57</v>
      </c>
      <c r="L1367" s="249" t="s">
        <v>642</v>
      </c>
      <c r="M1367" s="249" t="s">
        <v>929</v>
      </c>
      <c r="N1367" s="248">
        <v>3107.28</v>
      </c>
      <c r="O1367" s="248">
        <v>26434.74</v>
      </c>
      <c r="P1367" s="247" t="s">
        <v>1310</v>
      </c>
      <c r="Q1367" s="247" t="s">
        <v>95</v>
      </c>
    </row>
    <row r="1368" spans="1:17" x14ac:dyDescent="0.25">
      <c r="A1368" s="247" t="s">
        <v>646</v>
      </c>
      <c r="B1368" s="247" t="s">
        <v>265</v>
      </c>
      <c r="C1368" s="247" t="s">
        <v>1283</v>
      </c>
      <c r="D1368" s="247" t="s">
        <v>711</v>
      </c>
      <c r="E1368" s="247" t="s">
        <v>1311</v>
      </c>
      <c r="F1368" s="247" t="s">
        <v>2009</v>
      </c>
      <c r="G1368" s="247" t="s">
        <v>1285</v>
      </c>
      <c r="H1368" s="247" t="s">
        <v>2010</v>
      </c>
      <c r="I1368" s="247" t="s">
        <v>2011</v>
      </c>
      <c r="J1368" s="247">
        <v>85</v>
      </c>
      <c r="K1368" s="247">
        <v>85.2</v>
      </c>
      <c r="L1368" s="249" t="s">
        <v>646</v>
      </c>
      <c r="M1368" s="249" t="s">
        <v>933</v>
      </c>
      <c r="N1368" s="248">
        <v>4679.54</v>
      </c>
      <c r="O1368" s="248">
        <v>4679.54</v>
      </c>
      <c r="P1368" s="247" t="s">
        <v>1312</v>
      </c>
      <c r="Q1368" s="247" t="s">
        <v>84</v>
      </c>
    </row>
    <row r="1369" spans="1:17" x14ac:dyDescent="0.25">
      <c r="A1369" s="247" t="s">
        <v>646</v>
      </c>
      <c r="B1369" s="247" t="s">
        <v>265</v>
      </c>
      <c r="C1369" s="247" t="s">
        <v>1283</v>
      </c>
      <c r="D1369" s="247" t="s">
        <v>711</v>
      </c>
      <c r="E1369" s="247" t="s">
        <v>1311</v>
      </c>
      <c r="F1369" s="247" t="s">
        <v>2009</v>
      </c>
      <c r="G1369" s="247" t="s">
        <v>1285</v>
      </c>
      <c r="H1369" s="247" t="s">
        <v>2010</v>
      </c>
      <c r="I1369" s="247" t="s">
        <v>2011</v>
      </c>
      <c r="J1369" s="247">
        <v>85</v>
      </c>
      <c r="K1369" s="247">
        <v>85.2</v>
      </c>
      <c r="L1369" s="249" t="s">
        <v>650</v>
      </c>
      <c r="M1369" s="249" t="s">
        <v>933</v>
      </c>
      <c r="N1369" s="248">
        <v>3287.35</v>
      </c>
      <c r="O1369" s="248">
        <v>7966.89</v>
      </c>
      <c r="P1369" s="247" t="s">
        <v>1312</v>
      </c>
      <c r="Q1369" s="247" t="s">
        <v>85</v>
      </c>
    </row>
    <row r="1370" spans="1:17" x14ac:dyDescent="0.25">
      <c r="A1370" s="247" t="s">
        <v>646</v>
      </c>
      <c r="B1370" s="247" t="s">
        <v>265</v>
      </c>
      <c r="C1370" s="247" t="s">
        <v>1283</v>
      </c>
      <c r="D1370" s="247" t="s">
        <v>711</v>
      </c>
      <c r="E1370" s="247" t="s">
        <v>1311</v>
      </c>
      <c r="F1370" s="247" t="s">
        <v>2009</v>
      </c>
      <c r="G1370" s="247" t="s">
        <v>1285</v>
      </c>
      <c r="H1370" s="247" t="s">
        <v>2010</v>
      </c>
      <c r="I1370" s="247" t="s">
        <v>2011</v>
      </c>
      <c r="J1370" s="247">
        <v>85</v>
      </c>
      <c r="K1370" s="247">
        <v>85.2</v>
      </c>
      <c r="L1370" s="249" t="s">
        <v>652</v>
      </c>
      <c r="M1370" s="249" t="s">
        <v>933</v>
      </c>
      <c r="N1370" s="248">
        <v>2932.94</v>
      </c>
      <c r="O1370" s="248">
        <v>10899.83</v>
      </c>
      <c r="P1370" s="247" t="s">
        <v>1312</v>
      </c>
      <c r="Q1370" s="247" t="s">
        <v>86</v>
      </c>
    </row>
    <row r="1371" spans="1:17" x14ac:dyDescent="0.25">
      <c r="A1371" s="247" t="s">
        <v>646</v>
      </c>
      <c r="B1371" s="247" t="s">
        <v>265</v>
      </c>
      <c r="C1371" s="247" t="s">
        <v>1283</v>
      </c>
      <c r="D1371" s="247" t="s">
        <v>711</v>
      </c>
      <c r="E1371" s="247" t="s">
        <v>1311</v>
      </c>
      <c r="F1371" s="247" t="s">
        <v>2009</v>
      </c>
      <c r="G1371" s="247" t="s">
        <v>1285</v>
      </c>
      <c r="H1371" s="247" t="s">
        <v>2010</v>
      </c>
      <c r="I1371" s="247" t="s">
        <v>2011</v>
      </c>
      <c r="J1371" s="247">
        <v>85</v>
      </c>
      <c r="K1371" s="247">
        <v>85.2</v>
      </c>
      <c r="L1371" s="249" t="s">
        <v>789</v>
      </c>
      <c r="M1371" s="249" t="s">
        <v>929</v>
      </c>
      <c r="N1371" s="248">
        <v>2701.43</v>
      </c>
      <c r="O1371" s="248">
        <v>2701.43</v>
      </c>
      <c r="P1371" s="247" t="s">
        <v>1312</v>
      </c>
      <c r="Q1371" s="247" t="s">
        <v>87</v>
      </c>
    </row>
    <row r="1372" spans="1:17" x14ac:dyDescent="0.25">
      <c r="A1372" s="247" t="s">
        <v>646</v>
      </c>
      <c r="B1372" s="247" t="s">
        <v>265</v>
      </c>
      <c r="C1372" s="247" t="s">
        <v>1283</v>
      </c>
      <c r="D1372" s="247" t="s">
        <v>711</v>
      </c>
      <c r="E1372" s="247" t="s">
        <v>1311</v>
      </c>
      <c r="F1372" s="247" t="s">
        <v>2009</v>
      </c>
      <c r="G1372" s="247" t="s">
        <v>1285</v>
      </c>
      <c r="H1372" s="247" t="s">
        <v>2010</v>
      </c>
      <c r="I1372" s="247" t="s">
        <v>2011</v>
      </c>
      <c r="J1372" s="247">
        <v>85</v>
      </c>
      <c r="K1372" s="247">
        <v>85.2</v>
      </c>
      <c r="L1372" s="249" t="s">
        <v>791</v>
      </c>
      <c r="M1372" s="249" t="s">
        <v>929</v>
      </c>
      <c r="N1372" s="248">
        <v>3311.89</v>
      </c>
      <c r="O1372" s="248">
        <v>6013.32</v>
      </c>
      <c r="P1372" s="247" t="s">
        <v>1312</v>
      </c>
      <c r="Q1372" s="247" t="s">
        <v>88</v>
      </c>
    </row>
    <row r="1373" spans="1:17" x14ac:dyDescent="0.25">
      <c r="A1373" s="247" t="s">
        <v>646</v>
      </c>
      <c r="B1373" s="247" t="s">
        <v>265</v>
      </c>
      <c r="C1373" s="247" t="s">
        <v>1283</v>
      </c>
      <c r="D1373" s="247" t="s">
        <v>711</v>
      </c>
      <c r="E1373" s="247" t="s">
        <v>1311</v>
      </c>
      <c r="F1373" s="247" t="s">
        <v>2009</v>
      </c>
      <c r="G1373" s="247" t="s">
        <v>1285</v>
      </c>
      <c r="H1373" s="247" t="s">
        <v>2010</v>
      </c>
      <c r="I1373" s="247" t="s">
        <v>2011</v>
      </c>
      <c r="J1373" s="247">
        <v>85</v>
      </c>
      <c r="K1373" s="247">
        <v>85.2</v>
      </c>
      <c r="L1373" s="249" t="s">
        <v>935</v>
      </c>
      <c r="M1373" s="249" t="s">
        <v>929</v>
      </c>
      <c r="N1373" s="248">
        <v>3538.06</v>
      </c>
      <c r="O1373" s="248">
        <v>9551.3799999999992</v>
      </c>
      <c r="P1373" s="247" t="s">
        <v>1312</v>
      </c>
      <c r="Q1373" s="247" t="s">
        <v>89</v>
      </c>
    </row>
    <row r="1374" spans="1:17" x14ac:dyDescent="0.25">
      <c r="A1374" s="247" t="s">
        <v>646</v>
      </c>
      <c r="B1374" s="247" t="s">
        <v>265</v>
      </c>
      <c r="C1374" s="247" t="s">
        <v>1283</v>
      </c>
      <c r="D1374" s="247" t="s">
        <v>711</v>
      </c>
      <c r="E1374" s="247" t="s">
        <v>1311</v>
      </c>
      <c r="F1374" s="247" t="s">
        <v>2009</v>
      </c>
      <c r="G1374" s="247" t="s">
        <v>1285</v>
      </c>
      <c r="H1374" s="247" t="s">
        <v>2010</v>
      </c>
      <c r="I1374" s="247" t="s">
        <v>2011</v>
      </c>
      <c r="J1374" s="247">
        <v>85</v>
      </c>
      <c r="K1374" s="247">
        <v>85.2</v>
      </c>
      <c r="L1374" s="249" t="s">
        <v>936</v>
      </c>
      <c r="M1374" s="249" t="s">
        <v>929</v>
      </c>
      <c r="N1374" s="248">
        <v>3399.03</v>
      </c>
      <c r="O1374" s="248">
        <v>12950.41</v>
      </c>
      <c r="P1374" s="247" t="s">
        <v>1312</v>
      </c>
      <c r="Q1374" s="247" t="s">
        <v>90</v>
      </c>
    </row>
    <row r="1375" spans="1:17" x14ac:dyDescent="0.25">
      <c r="A1375" s="247" t="s">
        <v>646</v>
      </c>
      <c r="B1375" s="247" t="s">
        <v>265</v>
      </c>
      <c r="C1375" s="247" t="s">
        <v>1283</v>
      </c>
      <c r="D1375" s="247" t="s">
        <v>711</v>
      </c>
      <c r="E1375" s="247" t="s">
        <v>1311</v>
      </c>
      <c r="F1375" s="247" t="s">
        <v>2009</v>
      </c>
      <c r="G1375" s="247" t="s">
        <v>1285</v>
      </c>
      <c r="H1375" s="247" t="s">
        <v>2010</v>
      </c>
      <c r="I1375" s="247" t="s">
        <v>2011</v>
      </c>
      <c r="J1375" s="247">
        <v>85</v>
      </c>
      <c r="K1375" s="247">
        <v>85.2</v>
      </c>
      <c r="L1375" s="249" t="s">
        <v>937</v>
      </c>
      <c r="M1375" s="249" t="s">
        <v>929</v>
      </c>
      <c r="N1375" s="248">
        <v>3267.08</v>
      </c>
      <c r="O1375" s="248">
        <v>16217.49</v>
      </c>
      <c r="P1375" s="247" t="s">
        <v>1312</v>
      </c>
      <c r="Q1375" s="247" t="s">
        <v>91</v>
      </c>
    </row>
    <row r="1376" spans="1:17" x14ac:dyDescent="0.25">
      <c r="A1376" s="247" t="s">
        <v>646</v>
      </c>
      <c r="B1376" s="247" t="s">
        <v>265</v>
      </c>
      <c r="C1376" s="247" t="s">
        <v>1283</v>
      </c>
      <c r="D1376" s="247" t="s">
        <v>711</v>
      </c>
      <c r="E1376" s="247" t="s">
        <v>1311</v>
      </c>
      <c r="F1376" s="247" t="s">
        <v>2009</v>
      </c>
      <c r="G1376" s="247" t="s">
        <v>1285</v>
      </c>
      <c r="H1376" s="247" t="s">
        <v>2010</v>
      </c>
      <c r="I1376" s="247" t="s">
        <v>2011</v>
      </c>
      <c r="J1376" s="247">
        <v>85</v>
      </c>
      <c r="K1376" s="247">
        <v>85.2</v>
      </c>
      <c r="L1376" s="249" t="s">
        <v>938</v>
      </c>
      <c r="M1376" s="249" t="s">
        <v>929</v>
      </c>
      <c r="N1376" s="248">
        <v>3245.07</v>
      </c>
      <c r="O1376" s="248">
        <v>19462.560000000001</v>
      </c>
      <c r="P1376" s="247" t="s">
        <v>1312</v>
      </c>
      <c r="Q1376" s="247" t="s">
        <v>92</v>
      </c>
    </row>
    <row r="1377" spans="1:17" x14ac:dyDescent="0.25">
      <c r="A1377" s="247" t="s">
        <v>646</v>
      </c>
      <c r="B1377" s="247" t="s">
        <v>265</v>
      </c>
      <c r="C1377" s="247" t="s">
        <v>1283</v>
      </c>
      <c r="D1377" s="247" t="s">
        <v>711</v>
      </c>
      <c r="E1377" s="247" t="s">
        <v>1311</v>
      </c>
      <c r="F1377" s="247" t="s">
        <v>2009</v>
      </c>
      <c r="G1377" s="247" t="s">
        <v>1285</v>
      </c>
      <c r="H1377" s="247" t="s">
        <v>2010</v>
      </c>
      <c r="I1377" s="247" t="s">
        <v>2011</v>
      </c>
      <c r="J1377" s="247">
        <v>85</v>
      </c>
      <c r="K1377" s="247">
        <v>85.2</v>
      </c>
      <c r="L1377" s="249" t="s">
        <v>939</v>
      </c>
      <c r="M1377" s="249" t="s">
        <v>929</v>
      </c>
      <c r="N1377" s="248">
        <v>3065.45</v>
      </c>
      <c r="O1377" s="248">
        <v>22528.01</v>
      </c>
      <c r="P1377" s="247" t="s">
        <v>1312</v>
      </c>
      <c r="Q1377" s="247" t="s">
        <v>93</v>
      </c>
    </row>
    <row r="1378" spans="1:17" x14ac:dyDescent="0.25">
      <c r="A1378" s="247" t="s">
        <v>646</v>
      </c>
      <c r="B1378" s="247" t="s">
        <v>265</v>
      </c>
      <c r="C1378" s="247" t="s">
        <v>1283</v>
      </c>
      <c r="D1378" s="247" t="s">
        <v>711</v>
      </c>
      <c r="E1378" s="247" t="s">
        <v>1311</v>
      </c>
      <c r="F1378" s="247" t="s">
        <v>2009</v>
      </c>
      <c r="G1378" s="247" t="s">
        <v>1285</v>
      </c>
      <c r="H1378" s="247" t="s">
        <v>2010</v>
      </c>
      <c r="I1378" s="247" t="s">
        <v>2011</v>
      </c>
      <c r="J1378" s="247">
        <v>85</v>
      </c>
      <c r="K1378" s="247">
        <v>85.2</v>
      </c>
      <c r="L1378" s="249" t="s">
        <v>940</v>
      </c>
      <c r="M1378" s="249" t="s">
        <v>929</v>
      </c>
      <c r="N1378" s="248">
        <v>3788.37</v>
      </c>
      <c r="O1378" s="248">
        <v>26316.38</v>
      </c>
      <c r="P1378" s="247" t="s">
        <v>1312</v>
      </c>
      <c r="Q1378" s="247" t="s">
        <v>94</v>
      </c>
    </row>
    <row r="1379" spans="1:17" x14ac:dyDescent="0.25">
      <c r="A1379" s="247" t="s">
        <v>646</v>
      </c>
      <c r="B1379" s="247" t="s">
        <v>265</v>
      </c>
      <c r="C1379" s="247" t="s">
        <v>1283</v>
      </c>
      <c r="D1379" s="247" t="s">
        <v>711</v>
      </c>
      <c r="E1379" s="247" t="s">
        <v>1311</v>
      </c>
      <c r="F1379" s="247" t="s">
        <v>2009</v>
      </c>
      <c r="G1379" s="247" t="s">
        <v>1285</v>
      </c>
      <c r="H1379" s="247" t="s">
        <v>2010</v>
      </c>
      <c r="I1379" s="247" t="s">
        <v>2011</v>
      </c>
      <c r="J1379" s="247">
        <v>85</v>
      </c>
      <c r="K1379" s="247">
        <v>85.2</v>
      </c>
      <c r="L1379" s="249" t="s">
        <v>642</v>
      </c>
      <c r="M1379" s="249" t="s">
        <v>929</v>
      </c>
      <c r="N1379" s="248">
        <v>3158.27</v>
      </c>
      <c r="O1379" s="248">
        <v>29474.65</v>
      </c>
      <c r="P1379" s="247" t="s">
        <v>1312</v>
      </c>
      <c r="Q1379" s="247" t="s">
        <v>95</v>
      </c>
    </row>
    <row r="1380" spans="1:17" x14ac:dyDescent="0.25">
      <c r="A1380" s="247" t="s">
        <v>646</v>
      </c>
      <c r="B1380" s="247" t="s">
        <v>265</v>
      </c>
      <c r="C1380" s="247" t="s">
        <v>1283</v>
      </c>
      <c r="D1380" s="247" t="s">
        <v>569</v>
      </c>
      <c r="E1380" s="247" t="s">
        <v>1311</v>
      </c>
      <c r="F1380" s="247" t="s">
        <v>2012</v>
      </c>
      <c r="G1380" s="247" t="s">
        <v>1287</v>
      </c>
      <c r="H1380" s="247" t="s">
        <v>2010</v>
      </c>
      <c r="I1380" s="247" t="s">
        <v>2013</v>
      </c>
      <c r="J1380" s="247">
        <v>85</v>
      </c>
      <c r="K1380" s="247">
        <v>85.2</v>
      </c>
      <c r="L1380" s="249" t="s">
        <v>646</v>
      </c>
      <c r="M1380" s="249" t="s">
        <v>933</v>
      </c>
      <c r="N1380" s="248">
        <v>700.04</v>
      </c>
      <c r="O1380" s="248">
        <v>700.04</v>
      </c>
      <c r="P1380" s="247" t="s">
        <v>1313</v>
      </c>
      <c r="Q1380" s="247" t="s">
        <v>84</v>
      </c>
    </row>
    <row r="1381" spans="1:17" x14ac:dyDescent="0.25">
      <c r="A1381" s="247" t="s">
        <v>646</v>
      </c>
      <c r="B1381" s="247" t="s">
        <v>265</v>
      </c>
      <c r="C1381" s="247" t="s">
        <v>1283</v>
      </c>
      <c r="D1381" s="247" t="s">
        <v>569</v>
      </c>
      <c r="E1381" s="247" t="s">
        <v>1311</v>
      </c>
      <c r="F1381" s="247" t="s">
        <v>2012</v>
      </c>
      <c r="G1381" s="247" t="s">
        <v>1287</v>
      </c>
      <c r="H1381" s="247" t="s">
        <v>2010</v>
      </c>
      <c r="I1381" s="247" t="s">
        <v>2013</v>
      </c>
      <c r="J1381" s="247">
        <v>85</v>
      </c>
      <c r="K1381" s="247">
        <v>85.2</v>
      </c>
      <c r="L1381" s="249" t="s">
        <v>650</v>
      </c>
      <c r="M1381" s="249" t="s">
        <v>933</v>
      </c>
      <c r="N1381" s="248">
        <v>385.63</v>
      </c>
      <c r="O1381" s="248">
        <v>1085.67</v>
      </c>
      <c r="P1381" s="247" t="s">
        <v>1313</v>
      </c>
      <c r="Q1381" s="247" t="s">
        <v>85</v>
      </c>
    </row>
    <row r="1382" spans="1:17" x14ac:dyDescent="0.25">
      <c r="A1382" s="247" t="s">
        <v>646</v>
      </c>
      <c r="B1382" s="247" t="s">
        <v>265</v>
      </c>
      <c r="C1382" s="247" t="s">
        <v>1283</v>
      </c>
      <c r="D1382" s="247" t="s">
        <v>569</v>
      </c>
      <c r="E1382" s="247" t="s">
        <v>1311</v>
      </c>
      <c r="F1382" s="247" t="s">
        <v>2012</v>
      </c>
      <c r="G1382" s="247" t="s">
        <v>1287</v>
      </c>
      <c r="H1382" s="247" t="s">
        <v>2010</v>
      </c>
      <c r="I1382" s="247" t="s">
        <v>2013</v>
      </c>
      <c r="J1382" s="247">
        <v>85</v>
      </c>
      <c r="K1382" s="247">
        <v>85.2</v>
      </c>
      <c r="L1382" s="249" t="s">
        <v>652</v>
      </c>
      <c r="M1382" s="249" t="s">
        <v>933</v>
      </c>
      <c r="N1382" s="248">
        <v>242.01</v>
      </c>
      <c r="O1382" s="248">
        <v>1327.68</v>
      </c>
      <c r="P1382" s="247" t="s">
        <v>1313</v>
      </c>
      <c r="Q1382" s="247" t="s">
        <v>86</v>
      </c>
    </row>
    <row r="1383" spans="1:17" x14ac:dyDescent="0.25">
      <c r="A1383" s="247" t="s">
        <v>646</v>
      </c>
      <c r="B1383" s="247" t="s">
        <v>265</v>
      </c>
      <c r="C1383" s="247" t="s">
        <v>1283</v>
      </c>
      <c r="D1383" s="247" t="s">
        <v>569</v>
      </c>
      <c r="E1383" s="247" t="s">
        <v>1311</v>
      </c>
      <c r="F1383" s="247" t="s">
        <v>2012</v>
      </c>
      <c r="G1383" s="247" t="s">
        <v>1287</v>
      </c>
      <c r="H1383" s="247" t="s">
        <v>2010</v>
      </c>
      <c r="I1383" s="247" t="s">
        <v>2013</v>
      </c>
      <c r="J1383" s="247">
        <v>85</v>
      </c>
      <c r="K1383" s="247">
        <v>85.2</v>
      </c>
      <c r="L1383" s="249" t="s">
        <v>789</v>
      </c>
      <c r="M1383" s="249" t="s">
        <v>929</v>
      </c>
      <c r="N1383" s="248">
        <v>149.31</v>
      </c>
      <c r="O1383" s="248">
        <v>149.31</v>
      </c>
      <c r="P1383" s="247" t="s">
        <v>1313</v>
      </c>
      <c r="Q1383" s="247" t="s">
        <v>87</v>
      </c>
    </row>
    <row r="1384" spans="1:17" x14ac:dyDescent="0.25">
      <c r="A1384" s="247" t="s">
        <v>646</v>
      </c>
      <c r="B1384" s="247" t="s">
        <v>265</v>
      </c>
      <c r="C1384" s="247" t="s">
        <v>1283</v>
      </c>
      <c r="D1384" s="247" t="s">
        <v>569</v>
      </c>
      <c r="E1384" s="247" t="s">
        <v>1311</v>
      </c>
      <c r="F1384" s="247" t="s">
        <v>2012</v>
      </c>
      <c r="G1384" s="247" t="s">
        <v>1287</v>
      </c>
      <c r="H1384" s="247" t="s">
        <v>2010</v>
      </c>
      <c r="I1384" s="247" t="s">
        <v>2013</v>
      </c>
      <c r="J1384" s="247">
        <v>85</v>
      </c>
      <c r="K1384" s="247">
        <v>85.2</v>
      </c>
      <c r="L1384" s="249" t="s">
        <v>791</v>
      </c>
      <c r="M1384" s="249" t="s">
        <v>929</v>
      </c>
      <c r="N1384" s="248">
        <v>409.15</v>
      </c>
      <c r="O1384" s="248">
        <v>558.46</v>
      </c>
      <c r="P1384" s="247" t="s">
        <v>1313</v>
      </c>
      <c r="Q1384" s="247" t="s">
        <v>88</v>
      </c>
    </row>
    <row r="1385" spans="1:17" x14ac:dyDescent="0.25">
      <c r="A1385" s="247" t="s">
        <v>646</v>
      </c>
      <c r="B1385" s="247" t="s">
        <v>265</v>
      </c>
      <c r="C1385" s="247" t="s">
        <v>1283</v>
      </c>
      <c r="D1385" s="247" t="s">
        <v>569</v>
      </c>
      <c r="E1385" s="247" t="s">
        <v>1311</v>
      </c>
      <c r="F1385" s="247" t="s">
        <v>2012</v>
      </c>
      <c r="G1385" s="247" t="s">
        <v>1287</v>
      </c>
      <c r="H1385" s="247" t="s">
        <v>2010</v>
      </c>
      <c r="I1385" s="247" t="s">
        <v>2013</v>
      </c>
      <c r="J1385" s="247">
        <v>85</v>
      </c>
      <c r="K1385" s="247">
        <v>85.2</v>
      </c>
      <c r="L1385" s="249" t="s">
        <v>935</v>
      </c>
      <c r="M1385" s="249" t="s">
        <v>929</v>
      </c>
      <c r="N1385" s="248">
        <v>234.41</v>
      </c>
      <c r="O1385" s="248">
        <v>792.87</v>
      </c>
      <c r="P1385" s="247" t="s">
        <v>1313</v>
      </c>
      <c r="Q1385" s="247" t="s">
        <v>89</v>
      </c>
    </row>
    <row r="1386" spans="1:17" x14ac:dyDescent="0.25">
      <c r="A1386" s="247" t="s">
        <v>646</v>
      </c>
      <c r="B1386" s="247" t="s">
        <v>265</v>
      </c>
      <c r="C1386" s="247" t="s">
        <v>1283</v>
      </c>
      <c r="D1386" s="247" t="s">
        <v>569</v>
      </c>
      <c r="E1386" s="247" t="s">
        <v>1311</v>
      </c>
      <c r="F1386" s="247" t="s">
        <v>2012</v>
      </c>
      <c r="G1386" s="247" t="s">
        <v>1287</v>
      </c>
      <c r="H1386" s="247" t="s">
        <v>2010</v>
      </c>
      <c r="I1386" s="247" t="s">
        <v>2013</v>
      </c>
      <c r="J1386" s="247">
        <v>85</v>
      </c>
      <c r="K1386" s="247">
        <v>85.2</v>
      </c>
      <c r="L1386" s="249" t="s">
        <v>936</v>
      </c>
      <c r="M1386" s="249" t="s">
        <v>929</v>
      </c>
      <c r="N1386" s="248">
        <v>405.22</v>
      </c>
      <c r="O1386" s="248">
        <v>1198.0899999999999</v>
      </c>
      <c r="P1386" s="247" t="s">
        <v>1313</v>
      </c>
      <c r="Q1386" s="247" t="s">
        <v>90</v>
      </c>
    </row>
    <row r="1387" spans="1:17" x14ac:dyDescent="0.25">
      <c r="A1387" s="247" t="s">
        <v>646</v>
      </c>
      <c r="B1387" s="247" t="s">
        <v>265</v>
      </c>
      <c r="C1387" s="247" t="s">
        <v>1283</v>
      </c>
      <c r="D1387" s="247" t="s">
        <v>569</v>
      </c>
      <c r="E1387" s="247" t="s">
        <v>1311</v>
      </c>
      <c r="F1387" s="247" t="s">
        <v>2012</v>
      </c>
      <c r="G1387" s="247" t="s">
        <v>1287</v>
      </c>
      <c r="H1387" s="247" t="s">
        <v>2010</v>
      </c>
      <c r="I1387" s="247" t="s">
        <v>2013</v>
      </c>
      <c r="J1387" s="247">
        <v>85</v>
      </c>
      <c r="K1387" s="247">
        <v>85.2</v>
      </c>
      <c r="L1387" s="249" t="s">
        <v>937</v>
      </c>
      <c r="M1387" s="249" t="s">
        <v>929</v>
      </c>
      <c r="N1387" s="248">
        <v>191.4</v>
      </c>
      <c r="O1387" s="248">
        <v>1389.49</v>
      </c>
      <c r="P1387" s="247" t="s">
        <v>1313</v>
      </c>
      <c r="Q1387" s="247" t="s">
        <v>91</v>
      </c>
    </row>
    <row r="1388" spans="1:17" x14ac:dyDescent="0.25">
      <c r="A1388" s="247" t="s">
        <v>646</v>
      </c>
      <c r="B1388" s="247" t="s">
        <v>265</v>
      </c>
      <c r="C1388" s="247" t="s">
        <v>1283</v>
      </c>
      <c r="D1388" s="247" t="s">
        <v>569</v>
      </c>
      <c r="E1388" s="247" t="s">
        <v>1311</v>
      </c>
      <c r="F1388" s="247" t="s">
        <v>2012</v>
      </c>
      <c r="G1388" s="247" t="s">
        <v>1287</v>
      </c>
      <c r="H1388" s="247" t="s">
        <v>2010</v>
      </c>
      <c r="I1388" s="247" t="s">
        <v>2013</v>
      </c>
      <c r="J1388" s="247">
        <v>85</v>
      </c>
      <c r="K1388" s="247">
        <v>85.2</v>
      </c>
      <c r="L1388" s="249" t="s">
        <v>938</v>
      </c>
      <c r="M1388" s="249" t="s">
        <v>929</v>
      </c>
      <c r="N1388" s="248">
        <v>251.97</v>
      </c>
      <c r="O1388" s="248">
        <v>1641.46</v>
      </c>
      <c r="P1388" s="247" t="s">
        <v>1313</v>
      </c>
      <c r="Q1388" s="247" t="s">
        <v>92</v>
      </c>
    </row>
    <row r="1389" spans="1:17" x14ac:dyDescent="0.25">
      <c r="A1389" s="247" t="s">
        <v>646</v>
      </c>
      <c r="B1389" s="247" t="s">
        <v>265</v>
      </c>
      <c r="C1389" s="247" t="s">
        <v>1283</v>
      </c>
      <c r="D1389" s="247" t="s">
        <v>569</v>
      </c>
      <c r="E1389" s="247" t="s">
        <v>1311</v>
      </c>
      <c r="F1389" s="247" t="s">
        <v>2012</v>
      </c>
      <c r="G1389" s="247" t="s">
        <v>1287</v>
      </c>
      <c r="H1389" s="247" t="s">
        <v>2010</v>
      </c>
      <c r="I1389" s="247" t="s">
        <v>2013</v>
      </c>
      <c r="J1389" s="247">
        <v>85</v>
      </c>
      <c r="K1389" s="247">
        <v>85.2</v>
      </c>
      <c r="L1389" s="249" t="s">
        <v>939</v>
      </c>
      <c r="M1389" s="249" t="s">
        <v>929</v>
      </c>
      <c r="N1389" s="248">
        <v>73.900000000000006</v>
      </c>
      <c r="O1389" s="248">
        <v>1715.36</v>
      </c>
      <c r="P1389" s="247" t="s">
        <v>1313</v>
      </c>
      <c r="Q1389" s="247" t="s">
        <v>93</v>
      </c>
    </row>
    <row r="1390" spans="1:17" x14ac:dyDescent="0.25">
      <c r="A1390" s="247" t="s">
        <v>646</v>
      </c>
      <c r="B1390" s="247" t="s">
        <v>265</v>
      </c>
      <c r="C1390" s="247" t="s">
        <v>1283</v>
      </c>
      <c r="D1390" s="247" t="s">
        <v>569</v>
      </c>
      <c r="E1390" s="247" t="s">
        <v>1311</v>
      </c>
      <c r="F1390" s="247" t="s">
        <v>2012</v>
      </c>
      <c r="G1390" s="247" t="s">
        <v>1287</v>
      </c>
      <c r="H1390" s="247" t="s">
        <v>2010</v>
      </c>
      <c r="I1390" s="247" t="s">
        <v>2013</v>
      </c>
      <c r="J1390" s="247">
        <v>85</v>
      </c>
      <c r="K1390" s="247">
        <v>85.2</v>
      </c>
      <c r="L1390" s="249" t="s">
        <v>940</v>
      </c>
      <c r="M1390" s="249" t="s">
        <v>929</v>
      </c>
      <c r="N1390" s="248">
        <v>489.41</v>
      </c>
      <c r="O1390" s="248">
        <v>2204.77</v>
      </c>
      <c r="P1390" s="247" t="s">
        <v>1313</v>
      </c>
      <c r="Q1390" s="247" t="s">
        <v>94</v>
      </c>
    </row>
    <row r="1391" spans="1:17" x14ac:dyDescent="0.25">
      <c r="A1391" s="247" t="s">
        <v>646</v>
      </c>
      <c r="B1391" s="247" t="s">
        <v>265</v>
      </c>
      <c r="C1391" s="247" t="s">
        <v>1283</v>
      </c>
      <c r="D1391" s="247" t="s">
        <v>569</v>
      </c>
      <c r="E1391" s="247" t="s">
        <v>1311</v>
      </c>
      <c r="F1391" s="247" t="s">
        <v>2012</v>
      </c>
      <c r="G1391" s="247" t="s">
        <v>1287</v>
      </c>
      <c r="H1391" s="247" t="s">
        <v>2010</v>
      </c>
      <c r="I1391" s="247" t="s">
        <v>2013</v>
      </c>
      <c r="J1391" s="247">
        <v>85</v>
      </c>
      <c r="K1391" s="247">
        <v>85.2</v>
      </c>
      <c r="L1391" s="249" t="s">
        <v>642</v>
      </c>
      <c r="M1391" s="249" t="s">
        <v>929</v>
      </c>
      <c r="N1391" s="248">
        <v>457</v>
      </c>
      <c r="O1391" s="248">
        <v>2661.77</v>
      </c>
      <c r="P1391" s="247" t="s">
        <v>1313</v>
      </c>
      <c r="Q1391" s="247" t="s">
        <v>95</v>
      </c>
    </row>
    <row r="1392" spans="1:17" x14ac:dyDescent="0.25">
      <c r="A1392" s="247" t="s">
        <v>646</v>
      </c>
      <c r="B1392" s="247" t="s">
        <v>265</v>
      </c>
      <c r="C1392" s="247" t="s">
        <v>1283</v>
      </c>
      <c r="D1392" s="247" t="s">
        <v>926</v>
      </c>
      <c r="E1392" s="247" t="s">
        <v>1314</v>
      </c>
      <c r="F1392" s="247" t="s">
        <v>2014</v>
      </c>
      <c r="G1392" s="247" t="s">
        <v>1292</v>
      </c>
      <c r="H1392" s="247" t="s">
        <v>2015</v>
      </c>
      <c r="I1392" s="247" t="s">
        <v>2016</v>
      </c>
      <c r="J1392" s="247">
        <v>85</v>
      </c>
      <c r="K1392" s="247">
        <v>85.2</v>
      </c>
      <c r="L1392" s="249" t="s">
        <v>646</v>
      </c>
      <c r="M1392" s="249" t="s">
        <v>933</v>
      </c>
      <c r="N1392" s="248">
        <v>18054.650000000001</v>
      </c>
      <c r="O1392" s="248">
        <v>18054.650000000001</v>
      </c>
      <c r="P1392" s="247" t="s">
        <v>1315</v>
      </c>
      <c r="Q1392" s="247" t="s">
        <v>84</v>
      </c>
    </row>
    <row r="1393" spans="1:17" x14ac:dyDescent="0.25">
      <c r="A1393" s="247" t="s">
        <v>646</v>
      </c>
      <c r="B1393" s="247" t="s">
        <v>265</v>
      </c>
      <c r="C1393" s="247" t="s">
        <v>1283</v>
      </c>
      <c r="D1393" s="247" t="s">
        <v>926</v>
      </c>
      <c r="E1393" s="247" t="s">
        <v>1314</v>
      </c>
      <c r="F1393" s="247" t="s">
        <v>2014</v>
      </c>
      <c r="G1393" s="247" t="s">
        <v>1292</v>
      </c>
      <c r="H1393" s="247" t="s">
        <v>2015</v>
      </c>
      <c r="I1393" s="247" t="s">
        <v>2016</v>
      </c>
      <c r="J1393" s="247">
        <v>85</v>
      </c>
      <c r="K1393" s="247">
        <v>85.2</v>
      </c>
      <c r="L1393" s="249" t="s">
        <v>650</v>
      </c>
      <c r="M1393" s="249" t="s">
        <v>933</v>
      </c>
      <c r="N1393" s="248">
        <v>13750</v>
      </c>
      <c r="O1393" s="248">
        <v>31804.65</v>
      </c>
      <c r="P1393" s="247" t="s">
        <v>1315</v>
      </c>
      <c r="Q1393" s="247" t="s">
        <v>85</v>
      </c>
    </row>
    <row r="1394" spans="1:17" x14ac:dyDescent="0.25">
      <c r="A1394" s="247" t="s">
        <v>646</v>
      </c>
      <c r="B1394" s="247" t="s">
        <v>265</v>
      </c>
      <c r="C1394" s="247" t="s">
        <v>1283</v>
      </c>
      <c r="D1394" s="247" t="s">
        <v>926</v>
      </c>
      <c r="E1394" s="247" t="s">
        <v>1314</v>
      </c>
      <c r="F1394" s="247" t="s">
        <v>2014</v>
      </c>
      <c r="G1394" s="247" t="s">
        <v>1292</v>
      </c>
      <c r="H1394" s="247" t="s">
        <v>2015</v>
      </c>
      <c r="I1394" s="247" t="s">
        <v>2016</v>
      </c>
      <c r="J1394" s="247">
        <v>85</v>
      </c>
      <c r="K1394" s="247">
        <v>85.2</v>
      </c>
      <c r="L1394" s="249" t="s">
        <v>652</v>
      </c>
      <c r="M1394" s="249" t="s">
        <v>933</v>
      </c>
      <c r="N1394" s="248">
        <v>16750</v>
      </c>
      <c r="O1394" s="248">
        <v>48554.65</v>
      </c>
      <c r="P1394" s="247" t="s">
        <v>1315</v>
      </c>
      <c r="Q1394" s="247" t="s">
        <v>86</v>
      </c>
    </row>
    <row r="1395" spans="1:17" x14ac:dyDescent="0.25">
      <c r="A1395" s="247" t="s">
        <v>646</v>
      </c>
      <c r="B1395" s="247" t="s">
        <v>265</v>
      </c>
      <c r="C1395" s="247" t="s">
        <v>1283</v>
      </c>
      <c r="D1395" s="247" t="s">
        <v>926</v>
      </c>
      <c r="E1395" s="247" t="s">
        <v>1314</v>
      </c>
      <c r="F1395" s="247" t="s">
        <v>2014</v>
      </c>
      <c r="G1395" s="247" t="s">
        <v>1292</v>
      </c>
      <c r="H1395" s="247" t="s">
        <v>2015</v>
      </c>
      <c r="I1395" s="247" t="s">
        <v>2016</v>
      </c>
      <c r="J1395" s="247">
        <v>85</v>
      </c>
      <c r="K1395" s="247">
        <v>85.2</v>
      </c>
      <c r="L1395" s="249" t="s">
        <v>789</v>
      </c>
      <c r="M1395" s="249" t="s">
        <v>929</v>
      </c>
      <c r="N1395" s="248">
        <v>11425.16</v>
      </c>
      <c r="O1395" s="248">
        <v>11425.16</v>
      </c>
      <c r="P1395" s="247" t="s">
        <v>1315</v>
      </c>
      <c r="Q1395" s="247" t="s">
        <v>87</v>
      </c>
    </row>
    <row r="1396" spans="1:17" x14ac:dyDescent="0.25">
      <c r="A1396" s="247" t="s">
        <v>646</v>
      </c>
      <c r="B1396" s="247" t="s">
        <v>265</v>
      </c>
      <c r="C1396" s="247" t="s">
        <v>1283</v>
      </c>
      <c r="D1396" s="247" t="s">
        <v>926</v>
      </c>
      <c r="E1396" s="247" t="s">
        <v>1314</v>
      </c>
      <c r="F1396" s="247" t="s">
        <v>2014</v>
      </c>
      <c r="G1396" s="247" t="s">
        <v>1292</v>
      </c>
      <c r="H1396" s="247" t="s">
        <v>2015</v>
      </c>
      <c r="I1396" s="247" t="s">
        <v>2016</v>
      </c>
      <c r="J1396" s="247">
        <v>85</v>
      </c>
      <c r="K1396" s="247">
        <v>85.2</v>
      </c>
      <c r="L1396" s="249" t="s">
        <v>791</v>
      </c>
      <c r="M1396" s="249" t="s">
        <v>929</v>
      </c>
      <c r="N1396" s="248">
        <v>14092.8</v>
      </c>
      <c r="O1396" s="248">
        <v>25517.96</v>
      </c>
      <c r="P1396" s="247" t="s">
        <v>1315</v>
      </c>
      <c r="Q1396" s="247" t="s">
        <v>88</v>
      </c>
    </row>
    <row r="1397" spans="1:17" x14ac:dyDescent="0.25">
      <c r="A1397" s="247" t="s">
        <v>646</v>
      </c>
      <c r="B1397" s="247" t="s">
        <v>265</v>
      </c>
      <c r="C1397" s="247" t="s">
        <v>1283</v>
      </c>
      <c r="D1397" s="247" t="s">
        <v>926</v>
      </c>
      <c r="E1397" s="247" t="s">
        <v>1314</v>
      </c>
      <c r="F1397" s="247" t="s">
        <v>2014</v>
      </c>
      <c r="G1397" s="247" t="s">
        <v>1292</v>
      </c>
      <c r="H1397" s="247" t="s">
        <v>2015</v>
      </c>
      <c r="I1397" s="247" t="s">
        <v>2016</v>
      </c>
      <c r="J1397" s="247">
        <v>85</v>
      </c>
      <c r="K1397" s="247">
        <v>85.2</v>
      </c>
      <c r="L1397" s="249" t="s">
        <v>935</v>
      </c>
      <c r="M1397" s="249" t="s">
        <v>929</v>
      </c>
      <c r="N1397" s="248">
        <v>13214.76</v>
      </c>
      <c r="O1397" s="248">
        <v>38732.720000000001</v>
      </c>
      <c r="P1397" s="247" t="s">
        <v>1315</v>
      </c>
      <c r="Q1397" s="247" t="s">
        <v>89</v>
      </c>
    </row>
    <row r="1398" spans="1:17" x14ac:dyDescent="0.25">
      <c r="A1398" s="247" t="s">
        <v>646</v>
      </c>
      <c r="B1398" s="247" t="s">
        <v>265</v>
      </c>
      <c r="C1398" s="247" t="s">
        <v>1283</v>
      </c>
      <c r="D1398" s="247" t="s">
        <v>926</v>
      </c>
      <c r="E1398" s="247" t="s">
        <v>1314</v>
      </c>
      <c r="F1398" s="247" t="s">
        <v>2014</v>
      </c>
      <c r="G1398" s="247" t="s">
        <v>1292</v>
      </c>
      <c r="H1398" s="247" t="s">
        <v>2015</v>
      </c>
      <c r="I1398" s="247" t="s">
        <v>2016</v>
      </c>
      <c r="J1398" s="247">
        <v>85</v>
      </c>
      <c r="K1398" s="247">
        <v>85.2</v>
      </c>
      <c r="L1398" s="249" t="s">
        <v>936</v>
      </c>
      <c r="M1398" s="249" t="s">
        <v>929</v>
      </c>
      <c r="N1398" s="248">
        <v>21106.68</v>
      </c>
      <c r="O1398" s="248">
        <v>59839.4</v>
      </c>
      <c r="P1398" s="247" t="s">
        <v>1315</v>
      </c>
      <c r="Q1398" s="247" t="s">
        <v>90</v>
      </c>
    </row>
    <row r="1399" spans="1:17" x14ac:dyDescent="0.25">
      <c r="A1399" s="247" t="s">
        <v>646</v>
      </c>
      <c r="B1399" s="247" t="s">
        <v>265</v>
      </c>
      <c r="C1399" s="247" t="s">
        <v>1283</v>
      </c>
      <c r="D1399" s="247" t="s">
        <v>926</v>
      </c>
      <c r="E1399" s="247" t="s">
        <v>1314</v>
      </c>
      <c r="F1399" s="247" t="s">
        <v>2014</v>
      </c>
      <c r="G1399" s="247" t="s">
        <v>1292</v>
      </c>
      <c r="H1399" s="247" t="s">
        <v>2015</v>
      </c>
      <c r="I1399" s="247" t="s">
        <v>2016</v>
      </c>
      <c r="J1399" s="247">
        <v>85</v>
      </c>
      <c r="K1399" s="247">
        <v>85.2</v>
      </c>
      <c r="L1399" s="249" t="s">
        <v>937</v>
      </c>
      <c r="M1399" s="249" t="s">
        <v>929</v>
      </c>
      <c r="N1399" s="248">
        <v>15150.49</v>
      </c>
      <c r="O1399" s="248">
        <v>74989.89</v>
      </c>
      <c r="P1399" s="247" t="s">
        <v>1315</v>
      </c>
      <c r="Q1399" s="247" t="s">
        <v>91</v>
      </c>
    </row>
    <row r="1400" spans="1:17" x14ac:dyDescent="0.25">
      <c r="A1400" s="247" t="s">
        <v>646</v>
      </c>
      <c r="B1400" s="247" t="s">
        <v>265</v>
      </c>
      <c r="C1400" s="247" t="s">
        <v>1283</v>
      </c>
      <c r="D1400" s="247" t="s">
        <v>926</v>
      </c>
      <c r="E1400" s="247" t="s">
        <v>1314</v>
      </c>
      <c r="F1400" s="247" t="s">
        <v>2014</v>
      </c>
      <c r="G1400" s="247" t="s">
        <v>1292</v>
      </c>
      <c r="H1400" s="247" t="s">
        <v>2015</v>
      </c>
      <c r="I1400" s="247" t="s">
        <v>2016</v>
      </c>
      <c r="J1400" s="247">
        <v>85</v>
      </c>
      <c r="K1400" s="247">
        <v>85.2</v>
      </c>
      <c r="L1400" s="249" t="s">
        <v>938</v>
      </c>
      <c r="M1400" s="249" t="s">
        <v>929</v>
      </c>
      <c r="N1400" s="248">
        <v>20708.22</v>
      </c>
      <c r="O1400" s="248">
        <v>95698.11</v>
      </c>
      <c r="P1400" s="247" t="s">
        <v>1315</v>
      </c>
      <c r="Q1400" s="247" t="s">
        <v>92</v>
      </c>
    </row>
    <row r="1401" spans="1:17" x14ac:dyDescent="0.25">
      <c r="A1401" s="247" t="s">
        <v>646</v>
      </c>
      <c r="B1401" s="247" t="s">
        <v>265</v>
      </c>
      <c r="C1401" s="247" t="s">
        <v>1283</v>
      </c>
      <c r="D1401" s="247" t="s">
        <v>926</v>
      </c>
      <c r="E1401" s="247" t="s">
        <v>1314</v>
      </c>
      <c r="F1401" s="247" t="s">
        <v>2014</v>
      </c>
      <c r="G1401" s="247" t="s">
        <v>1292</v>
      </c>
      <c r="H1401" s="247" t="s">
        <v>2015</v>
      </c>
      <c r="I1401" s="247" t="s">
        <v>2016</v>
      </c>
      <c r="J1401" s="247">
        <v>85</v>
      </c>
      <c r="K1401" s="247">
        <v>85.2</v>
      </c>
      <c r="L1401" s="249" t="s">
        <v>939</v>
      </c>
      <c r="M1401" s="249" t="s">
        <v>929</v>
      </c>
      <c r="N1401" s="248">
        <v>24116.75</v>
      </c>
      <c r="O1401" s="248">
        <v>119814.86</v>
      </c>
      <c r="P1401" s="247" t="s">
        <v>1315</v>
      </c>
      <c r="Q1401" s="247" t="s">
        <v>93</v>
      </c>
    </row>
    <row r="1402" spans="1:17" x14ac:dyDescent="0.25">
      <c r="A1402" s="247" t="s">
        <v>646</v>
      </c>
      <c r="B1402" s="247" t="s">
        <v>265</v>
      </c>
      <c r="C1402" s="247" t="s">
        <v>1283</v>
      </c>
      <c r="D1402" s="247" t="s">
        <v>926</v>
      </c>
      <c r="E1402" s="247" t="s">
        <v>1314</v>
      </c>
      <c r="F1402" s="247" t="s">
        <v>2014</v>
      </c>
      <c r="G1402" s="247" t="s">
        <v>1292</v>
      </c>
      <c r="H1402" s="247" t="s">
        <v>2015</v>
      </c>
      <c r="I1402" s="247" t="s">
        <v>2016</v>
      </c>
      <c r="J1402" s="247">
        <v>85</v>
      </c>
      <c r="K1402" s="247">
        <v>85.2</v>
      </c>
      <c r="L1402" s="249" t="s">
        <v>940</v>
      </c>
      <c r="M1402" s="249" t="s">
        <v>929</v>
      </c>
      <c r="N1402" s="248">
        <v>24958.77</v>
      </c>
      <c r="O1402" s="248">
        <v>144773.63</v>
      </c>
      <c r="P1402" s="247" t="s">
        <v>1315</v>
      </c>
      <c r="Q1402" s="247" t="s">
        <v>94</v>
      </c>
    </row>
    <row r="1403" spans="1:17" x14ac:dyDescent="0.25">
      <c r="A1403" s="247" t="s">
        <v>646</v>
      </c>
      <c r="B1403" s="247" t="s">
        <v>265</v>
      </c>
      <c r="C1403" s="247" t="s">
        <v>1283</v>
      </c>
      <c r="D1403" s="247" t="s">
        <v>926</v>
      </c>
      <c r="E1403" s="247" t="s">
        <v>1314</v>
      </c>
      <c r="F1403" s="247" t="s">
        <v>2014</v>
      </c>
      <c r="G1403" s="247" t="s">
        <v>1292</v>
      </c>
      <c r="H1403" s="247" t="s">
        <v>2015</v>
      </c>
      <c r="I1403" s="247" t="s">
        <v>2016</v>
      </c>
      <c r="J1403" s="247">
        <v>85</v>
      </c>
      <c r="K1403" s="247">
        <v>85.2</v>
      </c>
      <c r="L1403" s="249" t="s">
        <v>642</v>
      </c>
      <c r="M1403" s="249" t="s">
        <v>929</v>
      </c>
      <c r="N1403" s="248">
        <v>33037.22</v>
      </c>
      <c r="O1403" s="248">
        <v>177810.85</v>
      </c>
      <c r="P1403" s="247" t="s">
        <v>1315</v>
      </c>
      <c r="Q1403" s="247" t="s">
        <v>95</v>
      </c>
    </row>
    <row r="1404" spans="1:17" x14ac:dyDescent="0.25">
      <c r="A1404" s="247" t="s">
        <v>646</v>
      </c>
      <c r="B1404" s="247" t="s">
        <v>265</v>
      </c>
      <c r="C1404" s="247" t="s">
        <v>1283</v>
      </c>
      <c r="D1404" s="247" t="s">
        <v>711</v>
      </c>
      <c r="E1404" s="247" t="s">
        <v>1314</v>
      </c>
      <c r="F1404" s="247" t="s">
        <v>2017</v>
      </c>
      <c r="G1404" s="247" t="s">
        <v>1316</v>
      </c>
      <c r="H1404" s="247" t="s">
        <v>2015</v>
      </c>
      <c r="I1404" s="247" t="s">
        <v>2018</v>
      </c>
      <c r="J1404" s="247">
        <v>85</v>
      </c>
      <c r="K1404" s="247">
        <v>85.2</v>
      </c>
      <c r="L1404" s="249" t="s">
        <v>940</v>
      </c>
      <c r="M1404" s="249" t="s">
        <v>929</v>
      </c>
      <c r="N1404" s="248">
        <v>3252.89</v>
      </c>
      <c r="O1404" s="248">
        <v>3252.89</v>
      </c>
      <c r="P1404" s="247" t="s">
        <v>1317</v>
      </c>
      <c r="Q1404" s="247" t="s">
        <v>94</v>
      </c>
    </row>
    <row r="1405" spans="1:17" x14ac:dyDescent="0.25">
      <c r="A1405" s="247" t="s">
        <v>646</v>
      </c>
      <c r="B1405" s="247" t="s">
        <v>265</v>
      </c>
      <c r="C1405" s="247" t="s">
        <v>1283</v>
      </c>
      <c r="D1405" s="247" t="s">
        <v>711</v>
      </c>
      <c r="E1405" s="247" t="s">
        <v>1314</v>
      </c>
      <c r="F1405" s="247" t="s">
        <v>2017</v>
      </c>
      <c r="G1405" s="247" t="s">
        <v>1316</v>
      </c>
      <c r="H1405" s="247" t="s">
        <v>2015</v>
      </c>
      <c r="I1405" s="247" t="s">
        <v>2018</v>
      </c>
      <c r="J1405" s="247">
        <v>85</v>
      </c>
      <c r="K1405" s="247">
        <v>85.2</v>
      </c>
      <c r="L1405" s="249" t="s">
        <v>642</v>
      </c>
      <c r="M1405" s="249" t="s">
        <v>929</v>
      </c>
      <c r="N1405" s="248">
        <v>5571.75</v>
      </c>
      <c r="O1405" s="248">
        <v>8824.64</v>
      </c>
      <c r="P1405" s="247" t="s">
        <v>1317</v>
      </c>
      <c r="Q1405" s="247" t="s">
        <v>95</v>
      </c>
    </row>
    <row r="1406" spans="1:17" x14ac:dyDescent="0.25">
      <c r="A1406" s="247" t="s">
        <v>646</v>
      </c>
      <c r="B1406" s="247" t="s">
        <v>265</v>
      </c>
      <c r="C1406" s="247" t="s">
        <v>1283</v>
      </c>
      <c r="D1406" s="247" t="s">
        <v>569</v>
      </c>
      <c r="E1406" s="247" t="s">
        <v>1314</v>
      </c>
      <c r="F1406" s="247" t="s">
        <v>2019</v>
      </c>
      <c r="G1406" s="247" t="s">
        <v>1318</v>
      </c>
      <c r="H1406" s="247" t="s">
        <v>2015</v>
      </c>
      <c r="I1406" s="247" t="s">
        <v>2020</v>
      </c>
      <c r="J1406" s="247">
        <v>85</v>
      </c>
      <c r="K1406" s="247">
        <v>85.2</v>
      </c>
      <c r="L1406" s="249" t="s">
        <v>940</v>
      </c>
      <c r="M1406" s="249" t="s">
        <v>929</v>
      </c>
      <c r="N1406" s="248">
        <v>54.51</v>
      </c>
      <c r="O1406" s="248">
        <v>54.51</v>
      </c>
      <c r="P1406" s="247" t="s">
        <v>1319</v>
      </c>
      <c r="Q1406" s="247" t="s">
        <v>94</v>
      </c>
    </row>
    <row r="1407" spans="1:17" x14ac:dyDescent="0.25">
      <c r="A1407" s="247" t="s">
        <v>646</v>
      </c>
      <c r="B1407" s="247" t="s">
        <v>265</v>
      </c>
      <c r="C1407" s="247" t="s">
        <v>1283</v>
      </c>
      <c r="D1407" s="247" t="s">
        <v>569</v>
      </c>
      <c r="E1407" s="247" t="s">
        <v>1314</v>
      </c>
      <c r="F1407" s="247" t="s">
        <v>2019</v>
      </c>
      <c r="G1407" s="247" t="s">
        <v>1318</v>
      </c>
      <c r="H1407" s="247" t="s">
        <v>2015</v>
      </c>
      <c r="I1407" s="247" t="s">
        <v>2020</v>
      </c>
      <c r="J1407" s="247">
        <v>85</v>
      </c>
      <c r="K1407" s="247">
        <v>85.2</v>
      </c>
      <c r="L1407" s="249" t="s">
        <v>642</v>
      </c>
      <c r="M1407" s="249" t="s">
        <v>929</v>
      </c>
      <c r="N1407" s="248">
        <v>13.8</v>
      </c>
      <c r="O1407" s="248">
        <v>68.31</v>
      </c>
      <c r="P1407" s="247" t="s">
        <v>1319</v>
      </c>
      <c r="Q1407" s="247" t="s">
        <v>95</v>
      </c>
    </row>
    <row r="1408" spans="1:17" x14ac:dyDescent="0.25">
      <c r="A1408" s="247" t="s">
        <v>646</v>
      </c>
      <c r="B1408" s="247" t="s">
        <v>265</v>
      </c>
      <c r="C1408" s="247" t="s">
        <v>1283</v>
      </c>
      <c r="D1408" s="247" t="s">
        <v>926</v>
      </c>
      <c r="E1408" s="247" t="s">
        <v>1320</v>
      </c>
      <c r="F1408" s="247" t="s">
        <v>2021</v>
      </c>
      <c r="G1408" s="247" t="s">
        <v>1292</v>
      </c>
      <c r="H1408" s="247" t="s">
        <v>2022</v>
      </c>
      <c r="I1408" s="247" t="s">
        <v>2023</v>
      </c>
      <c r="J1408" s="247">
        <v>77</v>
      </c>
      <c r="K1408" s="247">
        <v>77</v>
      </c>
      <c r="L1408" s="249" t="s">
        <v>646</v>
      </c>
      <c r="M1408" s="249" t="s">
        <v>933</v>
      </c>
      <c r="N1408" s="248">
        <v>68029.740000000005</v>
      </c>
      <c r="O1408" s="248">
        <v>498331.67</v>
      </c>
      <c r="P1408" s="247" t="s">
        <v>1321</v>
      </c>
      <c r="Q1408" s="247" t="s">
        <v>84</v>
      </c>
    </row>
    <row r="1409" spans="1:17" x14ac:dyDescent="0.25">
      <c r="A1409" s="247" t="s">
        <v>646</v>
      </c>
      <c r="B1409" s="247" t="s">
        <v>265</v>
      </c>
      <c r="C1409" s="247" t="s">
        <v>1283</v>
      </c>
      <c r="D1409" s="247" t="s">
        <v>926</v>
      </c>
      <c r="E1409" s="247" t="s">
        <v>1320</v>
      </c>
      <c r="F1409" s="247" t="s">
        <v>2021</v>
      </c>
      <c r="G1409" s="247" t="s">
        <v>1292</v>
      </c>
      <c r="H1409" s="247" t="s">
        <v>2022</v>
      </c>
      <c r="I1409" s="247" t="s">
        <v>2023</v>
      </c>
      <c r="J1409" s="247">
        <v>77</v>
      </c>
      <c r="K1409" s="247">
        <v>77</v>
      </c>
      <c r="L1409" s="249" t="s">
        <v>650</v>
      </c>
      <c r="M1409" s="249" t="s">
        <v>933</v>
      </c>
      <c r="N1409" s="248">
        <v>45353.16</v>
      </c>
      <c r="O1409" s="248">
        <v>543684.82999999996</v>
      </c>
      <c r="P1409" s="247" t="s">
        <v>1321</v>
      </c>
      <c r="Q1409" s="247" t="s">
        <v>85</v>
      </c>
    </row>
    <row r="1410" spans="1:17" x14ac:dyDescent="0.25">
      <c r="A1410" s="247" t="s">
        <v>646</v>
      </c>
      <c r="B1410" s="247" t="s">
        <v>265</v>
      </c>
      <c r="C1410" s="247" t="s">
        <v>1283</v>
      </c>
      <c r="D1410" s="247" t="s">
        <v>926</v>
      </c>
      <c r="E1410" s="247" t="s">
        <v>1320</v>
      </c>
      <c r="F1410" s="247" t="s">
        <v>2021</v>
      </c>
      <c r="G1410" s="247" t="s">
        <v>1292</v>
      </c>
      <c r="H1410" s="247" t="s">
        <v>2022</v>
      </c>
      <c r="I1410" s="247" t="s">
        <v>2023</v>
      </c>
      <c r="J1410" s="247">
        <v>77</v>
      </c>
      <c r="K1410" s="247">
        <v>77</v>
      </c>
      <c r="L1410" s="249" t="s">
        <v>652</v>
      </c>
      <c r="M1410" s="249" t="s">
        <v>933</v>
      </c>
      <c r="N1410" s="248">
        <v>45353.16</v>
      </c>
      <c r="O1410" s="248">
        <v>589037.99</v>
      </c>
      <c r="P1410" s="247" t="s">
        <v>1321</v>
      </c>
      <c r="Q1410" s="247" t="s">
        <v>86</v>
      </c>
    </row>
    <row r="1411" spans="1:17" x14ac:dyDescent="0.25">
      <c r="A1411" s="247" t="s">
        <v>646</v>
      </c>
      <c r="B1411" s="247" t="s">
        <v>265</v>
      </c>
      <c r="C1411" s="247" t="s">
        <v>1283</v>
      </c>
      <c r="D1411" s="247" t="s">
        <v>926</v>
      </c>
      <c r="E1411" s="247" t="s">
        <v>1320</v>
      </c>
      <c r="F1411" s="247" t="s">
        <v>2021</v>
      </c>
      <c r="G1411" s="247" t="s">
        <v>1292</v>
      </c>
      <c r="H1411" s="247" t="s">
        <v>2022</v>
      </c>
      <c r="I1411" s="247" t="s">
        <v>2023</v>
      </c>
      <c r="J1411" s="247">
        <v>77</v>
      </c>
      <c r="K1411" s="247">
        <v>77</v>
      </c>
      <c r="L1411" s="249" t="s">
        <v>789</v>
      </c>
      <c r="M1411" s="249" t="s">
        <v>929</v>
      </c>
      <c r="N1411" s="248">
        <v>45353.16</v>
      </c>
      <c r="O1411" s="248">
        <v>45353.16</v>
      </c>
      <c r="P1411" s="247" t="s">
        <v>1321</v>
      </c>
      <c r="Q1411" s="247" t="s">
        <v>87</v>
      </c>
    </row>
    <row r="1412" spans="1:17" x14ac:dyDescent="0.25">
      <c r="A1412" s="247" t="s">
        <v>646</v>
      </c>
      <c r="B1412" s="247" t="s">
        <v>265</v>
      </c>
      <c r="C1412" s="247" t="s">
        <v>1283</v>
      </c>
      <c r="D1412" s="247" t="s">
        <v>926</v>
      </c>
      <c r="E1412" s="247" t="s">
        <v>1320</v>
      </c>
      <c r="F1412" s="247" t="s">
        <v>2021</v>
      </c>
      <c r="G1412" s="247" t="s">
        <v>1292</v>
      </c>
      <c r="H1412" s="247" t="s">
        <v>2022</v>
      </c>
      <c r="I1412" s="247" t="s">
        <v>2023</v>
      </c>
      <c r="J1412" s="247">
        <v>77</v>
      </c>
      <c r="K1412" s="247">
        <v>77</v>
      </c>
      <c r="L1412" s="249" t="s">
        <v>791</v>
      </c>
      <c r="M1412" s="249" t="s">
        <v>929</v>
      </c>
      <c r="N1412" s="248">
        <v>47620.82</v>
      </c>
      <c r="O1412" s="248">
        <v>92973.98</v>
      </c>
      <c r="P1412" s="247" t="s">
        <v>1321</v>
      </c>
      <c r="Q1412" s="247" t="s">
        <v>88</v>
      </c>
    </row>
    <row r="1413" spans="1:17" x14ac:dyDescent="0.25">
      <c r="A1413" s="247" t="s">
        <v>646</v>
      </c>
      <c r="B1413" s="247" t="s">
        <v>265</v>
      </c>
      <c r="C1413" s="247" t="s">
        <v>1283</v>
      </c>
      <c r="D1413" s="247" t="s">
        <v>926</v>
      </c>
      <c r="E1413" s="247" t="s">
        <v>1320</v>
      </c>
      <c r="F1413" s="247" t="s">
        <v>2021</v>
      </c>
      <c r="G1413" s="247" t="s">
        <v>1292</v>
      </c>
      <c r="H1413" s="247" t="s">
        <v>2022</v>
      </c>
      <c r="I1413" s="247" t="s">
        <v>2023</v>
      </c>
      <c r="J1413" s="247">
        <v>77</v>
      </c>
      <c r="K1413" s="247">
        <v>77</v>
      </c>
      <c r="L1413" s="249" t="s">
        <v>935</v>
      </c>
      <c r="M1413" s="249" t="s">
        <v>929</v>
      </c>
      <c r="N1413" s="248">
        <v>52156.14</v>
      </c>
      <c r="O1413" s="248">
        <v>145130.12</v>
      </c>
      <c r="P1413" s="247" t="s">
        <v>1321</v>
      </c>
      <c r="Q1413" s="247" t="s">
        <v>89</v>
      </c>
    </row>
    <row r="1414" spans="1:17" x14ac:dyDescent="0.25">
      <c r="A1414" s="247" t="s">
        <v>646</v>
      </c>
      <c r="B1414" s="247" t="s">
        <v>265</v>
      </c>
      <c r="C1414" s="247" t="s">
        <v>1283</v>
      </c>
      <c r="D1414" s="247" t="s">
        <v>926</v>
      </c>
      <c r="E1414" s="247" t="s">
        <v>1320</v>
      </c>
      <c r="F1414" s="247" t="s">
        <v>2021</v>
      </c>
      <c r="G1414" s="247" t="s">
        <v>1292</v>
      </c>
      <c r="H1414" s="247" t="s">
        <v>2022</v>
      </c>
      <c r="I1414" s="247" t="s">
        <v>2023</v>
      </c>
      <c r="J1414" s="247">
        <v>77</v>
      </c>
      <c r="K1414" s="247">
        <v>77</v>
      </c>
      <c r="L1414" s="249" t="s">
        <v>936</v>
      </c>
      <c r="M1414" s="249" t="s">
        <v>929</v>
      </c>
      <c r="N1414" s="248">
        <v>69355.8</v>
      </c>
      <c r="O1414" s="248">
        <v>214485.92</v>
      </c>
      <c r="P1414" s="247" t="s">
        <v>1321</v>
      </c>
      <c r="Q1414" s="247" t="s">
        <v>90</v>
      </c>
    </row>
    <row r="1415" spans="1:17" x14ac:dyDescent="0.25">
      <c r="A1415" s="247" t="s">
        <v>646</v>
      </c>
      <c r="B1415" s="247" t="s">
        <v>265</v>
      </c>
      <c r="C1415" s="247" t="s">
        <v>1283</v>
      </c>
      <c r="D1415" s="247" t="s">
        <v>926</v>
      </c>
      <c r="E1415" s="247" t="s">
        <v>1320</v>
      </c>
      <c r="F1415" s="247" t="s">
        <v>2021</v>
      </c>
      <c r="G1415" s="247" t="s">
        <v>1292</v>
      </c>
      <c r="H1415" s="247" t="s">
        <v>2022</v>
      </c>
      <c r="I1415" s="247" t="s">
        <v>2023</v>
      </c>
      <c r="J1415" s="247">
        <v>77</v>
      </c>
      <c r="K1415" s="247">
        <v>77</v>
      </c>
      <c r="L1415" s="249" t="s">
        <v>937</v>
      </c>
      <c r="M1415" s="249" t="s">
        <v>929</v>
      </c>
      <c r="N1415" s="248">
        <v>69355.820000000007</v>
      </c>
      <c r="O1415" s="248">
        <v>283841.74</v>
      </c>
      <c r="P1415" s="247" t="s">
        <v>1321</v>
      </c>
      <c r="Q1415" s="247" t="s">
        <v>91</v>
      </c>
    </row>
    <row r="1416" spans="1:17" x14ac:dyDescent="0.25">
      <c r="A1416" s="247" t="s">
        <v>646</v>
      </c>
      <c r="B1416" s="247" t="s">
        <v>265</v>
      </c>
      <c r="C1416" s="247" t="s">
        <v>1283</v>
      </c>
      <c r="D1416" s="247" t="s">
        <v>926</v>
      </c>
      <c r="E1416" s="247" t="s">
        <v>1320</v>
      </c>
      <c r="F1416" s="247" t="s">
        <v>2021</v>
      </c>
      <c r="G1416" s="247" t="s">
        <v>1292</v>
      </c>
      <c r="H1416" s="247" t="s">
        <v>2022</v>
      </c>
      <c r="I1416" s="247" t="s">
        <v>2023</v>
      </c>
      <c r="J1416" s="247">
        <v>77</v>
      </c>
      <c r="K1416" s="247">
        <v>77</v>
      </c>
      <c r="L1416" s="249" t="s">
        <v>938</v>
      </c>
      <c r="M1416" s="249" t="s">
        <v>929</v>
      </c>
      <c r="N1416" s="248">
        <v>69025.58</v>
      </c>
      <c r="O1416" s="248">
        <v>352867.32</v>
      </c>
      <c r="P1416" s="247" t="s">
        <v>1321</v>
      </c>
      <c r="Q1416" s="247" t="s">
        <v>92</v>
      </c>
    </row>
    <row r="1417" spans="1:17" x14ac:dyDescent="0.25">
      <c r="A1417" s="247" t="s">
        <v>646</v>
      </c>
      <c r="B1417" s="247" t="s">
        <v>265</v>
      </c>
      <c r="C1417" s="247" t="s">
        <v>1283</v>
      </c>
      <c r="D1417" s="247" t="s">
        <v>926</v>
      </c>
      <c r="E1417" s="247" t="s">
        <v>1320</v>
      </c>
      <c r="F1417" s="247" t="s">
        <v>2021</v>
      </c>
      <c r="G1417" s="247" t="s">
        <v>1292</v>
      </c>
      <c r="H1417" s="247" t="s">
        <v>2022</v>
      </c>
      <c r="I1417" s="247" t="s">
        <v>2023</v>
      </c>
      <c r="J1417" s="247">
        <v>77</v>
      </c>
      <c r="K1417" s="247">
        <v>77</v>
      </c>
      <c r="L1417" s="249" t="s">
        <v>939</v>
      </c>
      <c r="M1417" s="249" t="s">
        <v>929</v>
      </c>
      <c r="N1417" s="248">
        <v>0</v>
      </c>
      <c r="O1417" s="248">
        <v>352867.32</v>
      </c>
      <c r="P1417" s="247" t="s">
        <v>1321</v>
      </c>
      <c r="Q1417" s="247" t="s">
        <v>93</v>
      </c>
    </row>
    <row r="1418" spans="1:17" x14ac:dyDescent="0.25">
      <c r="A1418" s="247" t="s">
        <v>646</v>
      </c>
      <c r="B1418" s="247" t="s">
        <v>265</v>
      </c>
      <c r="C1418" s="247" t="s">
        <v>1283</v>
      </c>
      <c r="D1418" s="247" t="s">
        <v>926</v>
      </c>
      <c r="E1418" s="247" t="s">
        <v>1320</v>
      </c>
      <c r="F1418" s="247" t="s">
        <v>2021</v>
      </c>
      <c r="G1418" s="247" t="s">
        <v>1292</v>
      </c>
      <c r="H1418" s="247" t="s">
        <v>2022</v>
      </c>
      <c r="I1418" s="247" t="s">
        <v>2023</v>
      </c>
      <c r="J1418" s="247">
        <v>77</v>
      </c>
      <c r="K1418" s="247">
        <v>77</v>
      </c>
      <c r="L1418" s="249" t="s">
        <v>940</v>
      </c>
      <c r="M1418" s="249" t="s">
        <v>929</v>
      </c>
      <c r="N1418" s="248">
        <v>0</v>
      </c>
      <c r="O1418" s="248">
        <v>352867.32</v>
      </c>
      <c r="P1418" s="247" t="s">
        <v>1321</v>
      </c>
      <c r="Q1418" s="247" t="s">
        <v>94</v>
      </c>
    </row>
    <row r="1419" spans="1:17" x14ac:dyDescent="0.25">
      <c r="A1419" s="247" t="s">
        <v>646</v>
      </c>
      <c r="B1419" s="247" t="s">
        <v>265</v>
      </c>
      <c r="C1419" s="247" t="s">
        <v>1283</v>
      </c>
      <c r="D1419" s="247" t="s">
        <v>926</v>
      </c>
      <c r="E1419" s="247" t="s">
        <v>1320</v>
      </c>
      <c r="F1419" s="247" t="s">
        <v>2021</v>
      </c>
      <c r="G1419" s="247" t="s">
        <v>1292</v>
      </c>
      <c r="H1419" s="247" t="s">
        <v>2022</v>
      </c>
      <c r="I1419" s="247" t="s">
        <v>2023</v>
      </c>
      <c r="J1419" s="247">
        <v>77</v>
      </c>
      <c r="K1419" s="247">
        <v>77</v>
      </c>
      <c r="L1419" s="249" t="s">
        <v>642</v>
      </c>
      <c r="M1419" s="249" t="s">
        <v>929</v>
      </c>
      <c r="N1419" s="248">
        <v>0</v>
      </c>
      <c r="O1419" s="248">
        <v>352867.32</v>
      </c>
      <c r="P1419" s="247" t="s">
        <v>1321</v>
      </c>
      <c r="Q1419" s="247" t="s">
        <v>95</v>
      </c>
    </row>
    <row r="1420" spans="1:17" x14ac:dyDescent="0.25">
      <c r="A1420" s="247" t="s">
        <v>646</v>
      </c>
      <c r="B1420" s="247" t="s">
        <v>265</v>
      </c>
      <c r="C1420" s="247" t="s">
        <v>1283</v>
      </c>
      <c r="D1420" s="247" t="s">
        <v>1049</v>
      </c>
      <c r="E1420" s="247" t="s">
        <v>1320</v>
      </c>
      <c r="F1420" s="247" t="s">
        <v>2024</v>
      </c>
      <c r="G1420" s="247" t="s">
        <v>1322</v>
      </c>
      <c r="H1420" s="247" t="s">
        <v>2022</v>
      </c>
      <c r="I1420" s="247" t="s">
        <v>2025</v>
      </c>
      <c r="J1420" s="247">
        <v>78</v>
      </c>
      <c r="K1420" s="247">
        <v>78</v>
      </c>
      <c r="L1420" s="249" t="s">
        <v>646</v>
      </c>
      <c r="M1420" s="249" t="s">
        <v>933</v>
      </c>
      <c r="N1420" s="248">
        <v>-17422.830000000002</v>
      </c>
      <c r="O1420" s="248">
        <v>-127767.42</v>
      </c>
      <c r="P1420" s="247" t="s">
        <v>1323</v>
      </c>
      <c r="Q1420" s="247" t="s">
        <v>84</v>
      </c>
    </row>
    <row r="1421" spans="1:17" x14ac:dyDescent="0.25">
      <c r="A1421" s="247" t="s">
        <v>646</v>
      </c>
      <c r="B1421" s="247" t="s">
        <v>265</v>
      </c>
      <c r="C1421" s="247" t="s">
        <v>1283</v>
      </c>
      <c r="D1421" s="247" t="s">
        <v>1049</v>
      </c>
      <c r="E1421" s="247" t="s">
        <v>1320</v>
      </c>
      <c r="F1421" s="247" t="s">
        <v>2024</v>
      </c>
      <c r="G1421" s="247" t="s">
        <v>1322</v>
      </c>
      <c r="H1421" s="247" t="s">
        <v>2022</v>
      </c>
      <c r="I1421" s="247" t="s">
        <v>2025</v>
      </c>
      <c r="J1421" s="247">
        <v>78</v>
      </c>
      <c r="K1421" s="247">
        <v>78</v>
      </c>
      <c r="L1421" s="249" t="s">
        <v>650</v>
      </c>
      <c r="M1421" s="249" t="s">
        <v>933</v>
      </c>
      <c r="N1421" s="248">
        <v>-11615.22</v>
      </c>
      <c r="O1421" s="248">
        <v>-139382.64000000001</v>
      </c>
      <c r="P1421" s="247" t="s">
        <v>1323</v>
      </c>
      <c r="Q1421" s="247" t="s">
        <v>85</v>
      </c>
    </row>
    <row r="1422" spans="1:17" x14ac:dyDescent="0.25">
      <c r="A1422" s="247" t="s">
        <v>646</v>
      </c>
      <c r="B1422" s="247" t="s">
        <v>265</v>
      </c>
      <c r="C1422" s="247" t="s">
        <v>1283</v>
      </c>
      <c r="D1422" s="247" t="s">
        <v>1049</v>
      </c>
      <c r="E1422" s="247" t="s">
        <v>1320</v>
      </c>
      <c r="F1422" s="247" t="s">
        <v>2024</v>
      </c>
      <c r="G1422" s="247" t="s">
        <v>1322</v>
      </c>
      <c r="H1422" s="247" t="s">
        <v>2022</v>
      </c>
      <c r="I1422" s="247" t="s">
        <v>2025</v>
      </c>
      <c r="J1422" s="247">
        <v>78</v>
      </c>
      <c r="K1422" s="247">
        <v>78</v>
      </c>
      <c r="L1422" s="249" t="s">
        <v>652</v>
      </c>
      <c r="M1422" s="249" t="s">
        <v>933</v>
      </c>
      <c r="N1422" s="248">
        <v>-11615.22</v>
      </c>
      <c r="O1422" s="248">
        <v>-150997.85999999999</v>
      </c>
      <c r="P1422" s="247" t="s">
        <v>1323</v>
      </c>
      <c r="Q1422" s="247" t="s">
        <v>86</v>
      </c>
    </row>
    <row r="1423" spans="1:17" x14ac:dyDescent="0.25">
      <c r="A1423" s="247" t="s">
        <v>646</v>
      </c>
      <c r="B1423" s="247" t="s">
        <v>265</v>
      </c>
      <c r="C1423" s="247" t="s">
        <v>1283</v>
      </c>
      <c r="D1423" s="247" t="s">
        <v>1049</v>
      </c>
      <c r="E1423" s="247" t="s">
        <v>1320</v>
      </c>
      <c r="F1423" s="247" t="s">
        <v>2024</v>
      </c>
      <c r="G1423" s="247" t="s">
        <v>1322</v>
      </c>
      <c r="H1423" s="247" t="s">
        <v>2022</v>
      </c>
      <c r="I1423" s="247" t="s">
        <v>2025</v>
      </c>
      <c r="J1423" s="247">
        <v>78</v>
      </c>
      <c r="K1423" s="247">
        <v>78</v>
      </c>
      <c r="L1423" s="249" t="s">
        <v>789</v>
      </c>
      <c r="M1423" s="249" t="s">
        <v>929</v>
      </c>
      <c r="N1423" s="248">
        <v>-11615.22</v>
      </c>
      <c r="O1423" s="248">
        <v>-11615.22</v>
      </c>
      <c r="P1423" s="247" t="s">
        <v>1323</v>
      </c>
      <c r="Q1423" s="247" t="s">
        <v>87</v>
      </c>
    </row>
    <row r="1424" spans="1:17" x14ac:dyDescent="0.25">
      <c r="A1424" s="247" t="s">
        <v>646</v>
      </c>
      <c r="B1424" s="247" t="s">
        <v>265</v>
      </c>
      <c r="C1424" s="247" t="s">
        <v>1283</v>
      </c>
      <c r="D1424" s="247" t="s">
        <v>1049</v>
      </c>
      <c r="E1424" s="247" t="s">
        <v>1320</v>
      </c>
      <c r="F1424" s="247" t="s">
        <v>2024</v>
      </c>
      <c r="G1424" s="247" t="s">
        <v>1322</v>
      </c>
      <c r="H1424" s="247" t="s">
        <v>2022</v>
      </c>
      <c r="I1424" s="247" t="s">
        <v>2025</v>
      </c>
      <c r="J1424" s="247">
        <v>78</v>
      </c>
      <c r="K1424" s="247">
        <v>78</v>
      </c>
      <c r="L1424" s="249" t="s">
        <v>791</v>
      </c>
      <c r="M1424" s="249" t="s">
        <v>929</v>
      </c>
      <c r="N1424" s="248">
        <v>-11615.22</v>
      </c>
      <c r="O1424" s="248">
        <v>-23230.44</v>
      </c>
      <c r="P1424" s="247" t="s">
        <v>1323</v>
      </c>
      <c r="Q1424" s="247" t="s">
        <v>88</v>
      </c>
    </row>
    <row r="1425" spans="1:17" x14ac:dyDescent="0.25">
      <c r="A1425" s="247" t="s">
        <v>646</v>
      </c>
      <c r="B1425" s="247" t="s">
        <v>265</v>
      </c>
      <c r="C1425" s="247" t="s">
        <v>1283</v>
      </c>
      <c r="D1425" s="247" t="s">
        <v>1049</v>
      </c>
      <c r="E1425" s="247" t="s">
        <v>1320</v>
      </c>
      <c r="F1425" s="247" t="s">
        <v>2024</v>
      </c>
      <c r="G1425" s="247" t="s">
        <v>1322</v>
      </c>
      <c r="H1425" s="247" t="s">
        <v>2022</v>
      </c>
      <c r="I1425" s="247" t="s">
        <v>2025</v>
      </c>
      <c r="J1425" s="247">
        <v>78</v>
      </c>
      <c r="K1425" s="247">
        <v>78</v>
      </c>
      <c r="L1425" s="249" t="s">
        <v>935</v>
      </c>
      <c r="M1425" s="249" t="s">
        <v>929</v>
      </c>
      <c r="N1425" s="248">
        <v>-11615.22</v>
      </c>
      <c r="O1425" s="248">
        <v>-34845.660000000003</v>
      </c>
      <c r="P1425" s="247" t="s">
        <v>1323</v>
      </c>
      <c r="Q1425" s="247" t="s">
        <v>89</v>
      </c>
    </row>
    <row r="1426" spans="1:17" x14ac:dyDescent="0.25">
      <c r="A1426" s="247" t="s">
        <v>646</v>
      </c>
      <c r="B1426" s="247" t="s">
        <v>265</v>
      </c>
      <c r="C1426" s="247" t="s">
        <v>1283</v>
      </c>
      <c r="D1426" s="247" t="s">
        <v>1049</v>
      </c>
      <c r="E1426" s="247" t="s">
        <v>1320</v>
      </c>
      <c r="F1426" s="247" t="s">
        <v>2024</v>
      </c>
      <c r="G1426" s="247" t="s">
        <v>1322</v>
      </c>
      <c r="H1426" s="247" t="s">
        <v>2022</v>
      </c>
      <c r="I1426" s="247" t="s">
        <v>2025</v>
      </c>
      <c r="J1426" s="247">
        <v>78</v>
      </c>
      <c r="K1426" s="247">
        <v>78</v>
      </c>
      <c r="L1426" s="249" t="s">
        <v>936</v>
      </c>
      <c r="M1426" s="249" t="s">
        <v>929</v>
      </c>
      <c r="N1426" s="248">
        <v>-11615.22</v>
      </c>
      <c r="O1426" s="248">
        <v>-46460.88</v>
      </c>
      <c r="P1426" s="247" t="s">
        <v>1323</v>
      </c>
      <c r="Q1426" s="247" t="s">
        <v>90</v>
      </c>
    </row>
    <row r="1427" spans="1:17" x14ac:dyDescent="0.25">
      <c r="A1427" s="247" t="s">
        <v>646</v>
      </c>
      <c r="B1427" s="247" t="s">
        <v>265</v>
      </c>
      <c r="C1427" s="247" t="s">
        <v>1283</v>
      </c>
      <c r="D1427" s="247" t="s">
        <v>1049</v>
      </c>
      <c r="E1427" s="247" t="s">
        <v>1320</v>
      </c>
      <c r="F1427" s="247" t="s">
        <v>2024</v>
      </c>
      <c r="G1427" s="247" t="s">
        <v>1322</v>
      </c>
      <c r="H1427" s="247" t="s">
        <v>2022</v>
      </c>
      <c r="I1427" s="247" t="s">
        <v>2025</v>
      </c>
      <c r="J1427" s="247">
        <v>78</v>
      </c>
      <c r="K1427" s="247">
        <v>78</v>
      </c>
      <c r="L1427" s="249" t="s">
        <v>937</v>
      </c>
      <c r="M1427" s="249" t="s">
        <v>929</v>
      </c>
      <c r="N1427" s="248">
        <v>-11615.22</v>
      </c>
      <c r="O1427" s="248">
        <v>-58076.1</v>
      </c>
      <c r="P1427" s="247" t="s">
        <v>1323</v>
      </c>
      <c r="Q1427" s="247" t="s">
        <v>91</v>
      </c>
    </row>
    <row r="1428" spans="1:17" x14ac:dyDescent="0.25">
      <c r="A1428" s="247" t="s">
        <v>646</v>
      </c>
      <c r="B1428" s="247" t="s">
        <v>265</v>
      </c>
      <c r="C1428" s="247" t="s">
        <v>1283</v>
      </c>
      <c r="D1428" s="247" t="s">
        <v>1049</v>
      </c>
      <c r="E1428" s="247" t="s">
        <v>1320</v>
      </c>
      <c r="F1428" s="247" t="s">
        <v>2024</v>
      </c>
      <c r="G1428" s="247" t="s">
        <v>1322</v>
      </c>
      <c r="H1428" s="247" t="s">
        <v>2022</v>
      </c>
      <c r="I1428" s="247" t="s">
        <v>2025</v>
      </c>
      <c r="J1428" s="247">
        <v>78</v>
      </c>
      <c r="K1428" s="247">
        <v>78</v>
      </c>
      <c r="L1428" s="249" t="s">
        <v>938</v>
      </c>
      <c r="M1428" s="249" t="s">
        <v>929</v>
      </c>
      <c r="N1428" s="248">
        <v>-11615.22</v>
      </c>
      <c r="O1428" s="248">
        <v>-69691.320000000007</v>
      </c>
      <c r="P1428" s="247" t="s">
        <v>1323</v>
      </c>
      <c r="Q1428" s="247" t="s">
        <v>92</v>
      </c>
    </row>
    <row r="1429" spans="1:17" x14ac:dyDescent="0.25">
      <c r="A1429" s="247" t="s">
        <v>646</v>
      </c>
      <c r="B1429" s="247" t="s">
        <v>265</v>
      </c>
      <c r="C1429" s="247" t="s">
        <v>1283</v>
      </c>
      <c r="D1429" s="247" t="s">
        <v>1049</v>
      </c>
      <c r="E1429" s="247" t="s">
        <v>1320</v>
      </c>
      <c r="F1429" s="247" t="s">
        <v>2024</v>
      </c>
      <c r="G1429" s="247" t="s">
        <v>1322</v>
      </c>
      <c r="H1429" s="247" t="s">
        <v>2022</v>
      </c>
      <c r="I1429" s="247" t="s">
        <v>2025</v>
      </c>
      <c r="J1429" s="247">
        <v>78</v>
      </c>
      <c r="K1429" s="247">
        <v>78</v>
      </c>
      <c r="L1429" s="249" t="s">
        <v>939</v>
      </c>
      <c r="M1429" s="249" t="s">
        <v>929</v>
      </c>
      <c r="N1429" s="248">
        <v>0</v>
      </c>
      <c r="O1429" s="248">
        <v>-69691.320000000007</v>
      </c>
      <c r="P1429" s="247" t="s">
        <v>1323</v>
      </c>
      <c r="Q1429" s="247" t="s">
        <v>93</v>
      </c>
    </row>
    <row r="1430" spans="1:17" x14ac:dyDescent="0.25">
      <c r="A1430" s="247" t="s">
        <v>646</v>
      </c>
      <c r="B1430" s="247" t="s">
        <v>265</v>
      </c>
      <c r="C1430" s="247" t="s">
        <v>1283</v>
      </c>
      <c r="D1430" s="247" t="s">
        <v>1049</v>
      </c>
      <c r="E1430" s="247" t="s">
        <v>1320</v>
      </c>
      <c r="F1430" s="247" t="s">
        <v>2024</v>
      </c>
      <c r="G1430" s="247" t="s">
        <v>1322</v>
      </c>
      <c r="H1430" s="247" t="s">
        <v>2022</v>
      </c>
      <c r="I1430" s="247" t="s">
        <v>2025</v>
      </c>
      <c r="J1430" s="247">
        <v>78</v>
      </c>
      <c r="K1430" s="247">
        <v>78</v>
      </c>
      <c r="L1430" s="249" t="s">
        <v>940</v>
      </c>
      <c r="M1430" s="249" t="s">
        <v>929</v>
      </c>
      <c r="N1430" s="248">
        <v>0</v>
      </c>
      <c r="O1430" s="248">
        <v>-69691.320000000007</v>
      </c>
      <c r="P1430" s="247" t="s">
        <v>1323</v>
      </c>
      <c r="Q1430" s="247" t="s">
        <v>94</v>
      </c>
    </row>
    <row r="1431" spans="1:17" x14ac:dyDescent="0.25">
      <c r="A1431" s="247" t="s">
        <v>646</v>
      </c>
      <c r="B1431" s="247" t="s">
        <v>265</v>
      </c>
      <c r="C1431" s="247" t="s">
        <v>1283</v>
      </c>
      <c r="D1431" s="247" t="s">
        <v>1049</v>
      </c>
      <c r="E1431" s="247" t="s">
        <v>1320</v>
      </c>
      <c r="F1431" s="247" t="s">
        <v>2024</v>
      </c>
      <c r="G1431" s="247" t="s">
        <v>1322</v>
      </c>
      <c r="H1431" s="247" t="s">
        <v>2022</v>
      </c>
      <c r="I1431" s="247" t="s">
        <v>2025</v>
      </c>
      <c r="J1431" s="247">
        <v>78</v>
      </c>
      <c r="K1431" s="247">
        <v>78</v>
      </c>
      <c r="L1431" s="249" t="s">
        <v>642</v>
      </c>
      <c r="M1431" s="249" t="s">
        <v>929</v>
      </c>
      <c r="N1431" s="248">
        <v>0</v>
      </c>
      <c r="O1431" s="248">
        <v>-69691.320000000007</v>
      </c>
      <c r="P1431" s="247" t="s">
        <v>1323</v>
      </c>
      <c r="Q1431" s="247" t="s">
        <v>95</v>
      </c>
    </row>
    <row r="1432" spans="1:17" x14ac:dyDescent="0.25">
      <c r="A1432" s="247" t="s">
        <v>646</v>
      </c>
      <c r="B1432" s="247" t="s">
        <v>265</v>
      </c>
      <c r="C1432" s="247" t="s">
        <v>1283</v>
      </c>
      <c r="D1432" s="247" t="s">
        <v>711</v>
      </c>
      <c r="E1432" s="247" t="s">
        <v>1324</v>
      </c>
      <c r="F1432" s="247" t="s">
        <v>2026</v>
      </c>
      <c r="G1432" s="247" t="s">
        <v>1285</v>
      </c>
      <c r="H1432" s="247" t="s">
        <v>396</v>
      </c>
      <c r="I1432" s="247" t="s">
        <v>2027</v>
      </c>
      <c r="J1432" s="247">
        <v>69</v>
      </c>
      <c r="K1432" s="247">
        <v>69</v>
      </c>
      <c r="L1432" s="249" t="s">
        <v>646</v>
      </c>
      <c r="M1432" s="249" t="s">
        <v>933</v>
      </c>
      <c r="N1432" s="248">
        <v>7196.81</v>
      </c>
      <c r="O1432" s="248">
        <v>7196.81</v>
      </c>
      <c r="P1432" s="247" t="s">
        <v>1325</v>
      </c>
      <c r="Q1432" s="247" t="s">
        <v>84</v>
      </c>
    </row>
    <row r="1433" spans="1:17" x14ac:dyDescent="0.25">
      <c r="A1433" s="247" t="s">
        <v>646</v>
      </c>
      <c r="B1433" s="247" t="s">
        <v>265</v>
      </c>
      <c r="C1433" s="247" t="s">
        <v>1283</v>
      </c>
      <c r="D1433" s="247" t="s">
        <v>711</v>
      </c>
      <c r="E1433" s="247" t="s">
        <v>1324</v>
      </c>
      <c r="F1433" s="247" t="s">
        <v>2026</v>
      </c>
      <c r="G1433" s="247" t="s">
        <v>1285</v>
      </c>
      <c r="H1433" s="247" t="s">
        <v>396</v>
      </c>
      <c r="I1433" s="247" t="s">
        <v>2027</v>
      </c>
      <c r="J1433" s="247">
        <v>69</v>
      </c>
      <c r="K1433" s="247">
        <v>69</v>
      </c>
      <c r="L1433" s="249" t="s">
        <v>650</v>
      </c>
      <c r="M1433" s="249" t="s">
        <v>933</v>
      </c>
      <c r="N1433" s="248">
        <v>4342.3500000000004</v>
      </c>
      <c r="O1433" s="248">
        <v>11539.16</v>
      </c>
      <c r="P1433" s="247" t="s">
        <v>1325</v>
      </c>
      <c r="Q1433" s="247" t="s">
        <v>85</v>
      </c>
    </row>
    <row r="1434" spans="1:17" x14ac:dyDescent="0.25">
      <c r="A1434" s="247" t="s">
        <v>646</v>
      </c>
      <c r="B1434" s="247" t="s">
        <v>265</v>
      </c>
      <c r="C1434" s="247" t="s">
        <v>1283</v>
      </c>
      <c r="D1434" s="247" t="s">
        <v>711</v>
      </c>
      <c r="E1434" s="247" t="s">
        <v>1324</v>
      </c>
      <c r="F1434" s="247" t="s">
        <v>2026</v>
      </c>
      <c r="G1434" s="247" t="s">
        <v>1285</v>
      </c>
      <c r="H1434" s="247" t="s">
        <v>396</v>
      </c>
      <c r="I1434" s="247" t="s">
        <v>2027</v>
      </c>
      <c r="J1434" s="247">
        <v>69</v>
      </c>
      <c r="K1434" s="247">
        <v>69</v>
      </c>
      <c r="L1434" s="249" t="s">
        <v>652</v>
      </c>
      <c r="M1434" s="249" t="s">
        <v>933</v>
      </c>
      <c r="N1434" s="248">
        <v>4524.63</v>
      </c>
      <c r="O1434" s="248">
        <v>16063.79</v>
      </c>
      <c r="P1434" s="247" t="s">
        <v>1325</v>
      </c>
      <c r="Q1434" s="247" t="s">
        <v>86</v>
      </c>
    </row>
    <row r="1435" spans="1:17" x14ac:dyDescent="0.25">
      <c r="A1435" s="247" t="s">
        <v>646</v>
      </c>
      <c r="B1435" s="247" t="s">
        <v>265</v>
      </c>
      <c r="C1435" s="247" t="s">
        <v>1283</v>
      </c>
      <c r="D1435" s="247" t="s">
        <v>711</v>
      </c>
      <c r="E1435" s="247" t="s">
        <v>1324</v>
      </c>
      <c r="F1435" s="247" t="s">
        <v>2026</v>
      </c>
      <c r="G1435" s="247" t="s">
        <v>1285</v>
      </c>
      <c r="H1435" s="247" t="s">
        <v>396</v>
      </c>
      <c r="I1435" s="247" t="s">
        <v>2027</v>
      </c>
      <c r="J1435" s="247">
        <v>69</v>
      </c>
      <c r="K1435" s="247">
        <v>69</v>
      </c>
      <c r="L1435" s="249" t="s">
        <v>789</v>
      </c>
      <c r="M1435" s="249" t="s">
        <v>929</v>
      </c>
      <c r="N1435" s="248">
        <v>4297.92</v>
      </c>
      <c r="O1435" s="248">
        <v>4297.92</v>
      </c>
      <c r="P1435" s="247" t="s">
        <v>1325</v>
      </c>
      <c r="Q1435" s="247" t="s">
        <v>87</v>
      </c>
    </row>
    <row r="1436" spans="1:17" x14ac:dyDescent="0.25">
      <c r="A1436" s="247" t="s">
        <v>646</v>
      </c>
      <c r="B1436" s="247" t="s">
        <v>265</v>
      </c>
      <c r="C1436" s="247" t="s">
        <v>1283</v>
      </c>
      <c r="D1436" s="247" t="s">
        <v>711</v>
      </c>
      <c r="E1436" s="247" t="s">
        <v>1324</v>
      </c>
      <c r="F1436" s="247" t="s">
        <v>2026</v>
      </c>
      <c r="G1436" s="247" t="s">
        <v>1285</v>
      </c>
      <c r="H1436" s="247" t="s">
        <v>396</v>
      </c>
      <c r="I1436" s="247" t="s">
        <v>2027</v>
      </c>
      <c r="J1436" s="247">
        <v>69</v>
      </c>
      <c r="K1436" s="247">
        <v>69</v>
      </c>
      <c r="L1436" s="249" t="s">
        <v>791</v>
      </c>
      <c r="M1436" s="249" t="s">
        <v>929</v>
      </c>
      <c r="N1436" s="248">
        <v>6102.48</v>
      </c>
      <c r="O1436" s="248">
        <v>10400.4</v>
      </c>
      <c r="P1436" s="247" t="s">
        <v>1325</v>
      </c>
      <c r="Q1436" s="247" t="s">
        <v>88</v>
      </c>
    </row>
    <row r="1437" spans="1:17" x14ac:dyDescent="0.25">
      <c r="A1437" s="247" t="s">
        <v>646</v>
      </c>
      <c r="B1437" s="247" t="s">
        <v>265</v>
      </c>
      <c r="C1437" s="247" t="s">
        <v>1283</v>
      </c>
      <c r="D1437" s="247" t="s">
        <v>711</v>
      </c>
      <c r="E1437" s="247" t="s">
        <v>1324</v>
      </c>
      <c r="F1437" s="247" t="s">
        <v>2026</v>
      </c>
      <c r="G1437" s="247" t="s">
        <v>1285</v>
      </c>
      <c r="H1437" s="247" t="s">
        <v>396</v>
      </c>
      <c r="I1437" s="247" t="s">
        <v>2027</v>
      </c>
      <c r="J1437" s="247">
        <v>69</v>
      </c>
      <c r="K1437" s="247">
        <v>69</v>
      </c>
      <c r="L1437" s="249" t="s">
        <v>935</v>
      </c>
      <c r="M1437" s="249" t="s">
        <v>929</v>
      </c>
      <c r="N1437" s="248">
        <v>6546</v>
      </c>
      <c r="O1437" s="248">
        <v>16946.400000000001</v>
      </c>
      <c r="P1437" s="247" t="s">
        <v>1325</v>
      </c>
      <c r="Q1437" s="247" t="s">
        <v>89</v>
      </c>
    </row>
    <row r="1438" spans="1:17" x14ac:dyDescent="0.25">
      <c r="A1438" s="247" t="s">
        <v>646</v>
      </c>
      <c r="B1438" s="247" t="s">
        <v>265</v>
      </c>
      <c r="C1438" s="247" t="s">
        <v>1283</v>
      </c>
      <c r="D1438" s="247" t="s">
        <v>711</v>
      </c>
      <c r="E1438" s="247" t="s">
        <v>1324</v>
      </c>
      <c r="F1438" s="247" t="s">
        <v>2026</v>
      </c>
      <c r="G1438" s="247" t="s">
        <v>1285</v>
      </c>
      <c r="H1438" s="247" t="s">
        <v>396</v>
      </c>
      <c r="I1438" s="247" t="s">
        <v>2027</v>
      </c>
      <c r="J1438" s="247">
        <v>69</v>
      </c>
      <c r="K1438" s="247">
        <v>69</v>
      </c>
      <c r="L1438" s="249" t="s">
        <v>936</v>
      </c>
      <c r="M1438" s="249" t="s">
        <v>929</v>
      </c>
      <c r="N1438" s="248">
        <v>4430.54</v>
      </c>
      <c r="O1438" s="248">
        <v>21376.94</v>
      </c>
      <c r="P1438" s="247" t="s">
        <v>1325</v>
      </c>
      <c r="Q1438" s="247" t="s">
        <v>90</v>
      </c>
    </row>
    <row r="1439" spans="1:17" x14ac:dyDescent="0.25">
      <c r="A1439" s="247" t="s">
        <v>646</v>
      </c>
      <c r="B1439" s="247" t="s">
        <v>265</v>
      </c>
      <c r="C1439" s="247" t="s">
        <v>1283</v>
      </c>
      <c r="D1439" s="247" t="s">
        <v>711</v>
      </c>
      <c r="E1439" s="247" t="s">
        <v>1324</v>
      </c>
      <c r="F1439" s="247" t="s">
        <v>2026</v>
      </c>
      <c r="G1439" s="247" t="s">
        <v>1285</v>
      </c>
      <c r="H1439" s="247" t="s">
        <v>396</v>
      </c>
      <c r="I1439" s="247" t="s">
        <v>2027</v>
      </c>
      <c r="J1439" s="247">
        <v>69</v>
      </c>
      <c r="K1439" s="247">
        <v>69</v>
      </c>
      <c r="L1439" s="249" t="s">
        <v>937</v>
      </c>
      <c r="M1439" s="249" t="s">
        <v>929</v>
      </c>
      <c r="N1439" s="248">
        <v>2399.91</v>
      </c>
      <c r="O1439" s="248">
        <v>23776.85</v>
      </c>
      <c r="P1439" s="247" t="s">
        <v>1325</v>
      </c>
      <c r="Q1439" s="247" t="s">
        <v>91</v>
      </c>
    </row>
    <row r="1440" spans="1:17" x14ac:dyDescent="0.25">
      <c r="A1440" s="247" t="s">
        <v>646</v>
      </c>
      <c r="B1440" s="247" t="s">
        <v>265</v>
      </c>
      <c r="C1440" s="247" t="s">
        <v>1283</v>
      </c>
      <c r="D1440" s="247" t="s">
        <v>711</v>
      </c>
      <c r="E1440" s="247" t="s">
        <v>1324</v>
      </c>
      <c r="F1440" s="247" t="s">
        <v>2026</v>
      </c>
      <c r="G1440" s="247" t="s">
        <v>1285</v>
      </c>
      <c r="H1440" s="247" t="s">
        <v>396</v>
      </c>
      <c r="I1440" s="247" t="s">
        <v>2027</v>
      </c>
      <c r="J1440" s="247">
        <v>69</v>
      </c>
      <c r="K1440" s="247">
        <v>69</v>
      </c>
      <c r="L1440" s="249" t="s">
        <v>938</v>
      </c>
      <c r="M1440" s="249" t="s">
        <v>929</v>
      </c>
      <c r="N1440" s="248">
        <v>5299.62</v>
      </c>
      <c r="O1440" s="248">
        <v>29076.47</v>
      </c>
      <c r="P1440" s="247" t="s">
        <v>1325</v>
      </c>
      <c r="Q1440" s="247" t="s">
        <v>92</v>
      </c>
    </row>
    <row r="1441" spans="1:17" x14ac:dyDescent="0.25">
      <c r="A1441" s="247" t="s">
        <v>646</v>
      </c>
      <c r="B1441" s="247" t="s">
        <v>265</v>
      </c>
      <c r="C1441" s="247" t="s">
        <v>1283</v>
      </c>
      <c r="D1441" s="247" t="s">
        <v>711</v>
      </c>
      <c r="E1441" s="247" t="s">
        <v>1324</v>
      </c>
      <c r="F1441" s="247" t="s">
        <v>2026</v>
      </c>
      <c r="G1441" s="247" t="s">
        <v>1285</v>
      </c>
      <c r="H1441" s="247" t="s">
        <v>396</v>
      </c>
      <c r="I1441" s="247" t="s">
        <v>2027</v>
      </c>
      <c r="J1441" s="247">
        <v>69</v>
      </c>
      <c r="K1441" s="247">
        <v>69</v>
      </c>
      <c r="L1441" s="249" t="s">
        <v>939</v>
      </c>
      <c r="M1441" s="249" t="s">
        <v>929</v>
      </c>
      <c r="N1441" s="248">
        <v>4801.6099999999997</v>
      </c>
      <c r="O1441" s="248">
        <v>33878.080000000002</v>
      </c>
      <c r="P1441" s="247" t="s">
        <v>1325</v>
      </c>
      <c r="Q1441" s="247" t="s">
        <v>93</v>
      </c>
    </row>
    <row r="1442" spans="1:17" x14ac:dyDescent="0.25">
      <c r="A1442" s="247" t="s">
        <v>646</v>
      </c>
      <c r="B1442" s="247" t="s">
        <v>265</v>
      </c>
      <c r="C1442" s="247" t="s">
        <v>1283</v>
      </c>
      <c r="D1442" s="247" t="s">
        <v>711</v>
      </c>
      <c r="E1442" s="247" t="s">
        <v>1324</v>
      </c>
      <c r="F1442" s="247" t="s">
        <v>2026</v>
      </c>
      <c r="G1442" s="247" t="s">
        <v>1285</v>
      </c>
      <c r="H1442" s="247" t="s">
        <v>396</v>
      </c>
      <c r="I1442" s="247" t="s">
        <v>2027</v>
      </c>
      <c r="J1442" s="247">
        <v>69</v>
      </c>
      <c r="K1442" s="247">
        <v>69</v>
      </c>
      <c r="L1442" s="249" t="s">
        <v>940</v>
      </c>
      <c r="M1442" s="249" t="s">
        <v>929</v>
      </c>
      <c r="N1442" s="248">
        <v>5366.77</v>
      </c>
      <c r="O1442" s="248">
        <v>39244.85</v>
      </c>
      <c r="P1442" s="247" t="s">
        <v>1325</v>
      </c>
      <c r="Q1442" s="247" t="s">
        <v>94</v>
      </c>
    </row>
    <row r="1443" spans="1:17" x14ac:dyDescent="0.25">
      <c r="A1443" s="247" t="s">
        <v>646</v>
      </c>
      <c r="B1443" s="247" t="s">
        <v>265</v>
      </c>
      <c r="C1443" s="247" t="s">
        <v>1283</v>
      </c>
      <c r="D1443" s="247" t="s">
        <v>711</v>
      </c>
      <c r="E1443" s="247" t="s">
        <v>1324</v>
      </c>
      <c r="F1443" s="247" t="s">
        <v>2026</v>
      </c>
      <c r="G1443" s="247" t="s">
        <v>1285</v>
      </c>
      <c r="H1443" s="247" t="s">
        <v>396</v>
      </c>
      <c r="I1443" s="247" t="s">
        <v>2027</v>
      </c>
      <c r="J1443" s="247">
        <v>69</v>
      </c>
      <c r="K1443" s="247">
        <v>69</v>
      </c>
      <c r="L1443" s="249" t="s">
        <v>642</v>
      </c>
      <c r="M1443" s="249" t="s">
        <v>929</v>
      </c>
      <c r="N1443" s="248">
        <v>5183.41</v>
      </c>
      <c r="O1443" s="248">
        <v>44428.26</v>
      </c>
      <c r="P1443" s="247" t="s">
        <v>1325</v>
      </c>
      <c r="Q1443" s="247" t="s">
        <v>95</v>
      </c>
    </row>
    <row r="1444" spans="1:17" x14ac:dyDescent="0.25">
      <c r="A1444" s="247" t="s">
        <v>646</v>
      </c>
      <c r="B1444" s="247" t="s">
        <v>265</v>
      </c>
      <c r="C1444" s="247" t="s">
        <v>1283</v>
      </c>
      <c r="D1444" s="247" t="s">
        <v>569</v>
      </c>
      <c r="E1444" s="247" t="s">
        <v>1324</v>
      </c>
      <c r="F1444" s="247" t="s">
        <v>2028</v>
      </c>
      <c r="G1444" s="247" t="s">
        <v>1287</v>
      </c>
      <c r="H1444" s="247" t="s">
        <v>396</v>
      </c>
      <c r="I1444" s="247" t="s">
        <v>2029</v>
      </c>
      <c r="J1444" s="247">
        <v>69</v>
      </c>
      <c r="K1444" s="247">
        <v>69</v>
      </c>
      <c r="L1444" s="249" t="s">
        <v>646</v>
      </c>
      <c r="M1444" s="249" t="s">
        <v>933</v>
      </c>
      <c r="N1444" s="248">
        <v>507.01</v>
      </c>
      <c r="O1444" s="248">
        <v>507.01</v>
      </c>
      <c r="P1444" s="247" t="s">
        <v>1326</v>
      </c>
      <c r="Q1444" s="247" t="s">
        <v>84</v>
      </c>
    </row>
    <row r="1445" spans="1:17" x14ac:dyDescent="0.25">
      <c r="A1445" s="247" t="s">
        <v>646</v>
      </c>
      <c r="B1445" s="247" t="s">
        <v>265</v>
      </c>
      <c r="C1445" s="247" t="s">
        <v>1283</v>
      </c>
      <c r="D1445" s="247" t="s">
        <v>569</v>
      </c>
      <c r="E1445" s="247" t="s">
        <v>1324</v>
      </c>
      <c r="F1445" s="247" t="s">
        <v>2028</v>
      </c>
      <c r="G1445" s="247" t="s">
        <v>1287</v>
      </c>
      <c r="H1445" s="247" t="s">
        <v>396</v>
      </c>
      <c r="I1445" s="247" t="s">
        <v>2029</v>
      </c>
      <c r="J1445" s="247">
        <v>69</v>
      </c>
      <c r="K1445" s="247">
        <v>69</v>
      </c>
      <c r="L1445" s="249" t="s">
        <v>650</v>
      </c>
      <c r="M1445" s="249" t="s">
        <v>933</v>
      </c>
      <c r="N1445" s="248">
        <v>560.36</v>
      </c>
      <c r="O1445" s="248">
        <v>1067.3699999999999</v>
      </c>
      <c r="P1445" s="247" t="s">
        <v>1326</v>
      </c>
      <c r="Q1445" s="247" t="s">
        <v>85</v>
      </c>
    </row>
    <row r="1446" spans="1:17" x14ac:dyDescent="0.25">
      <c r="A1446" s="247" t="s">
        <v>646</v>
      </c>
      <c r="B1446" s="247" t="s">
        <v>265</v>
      </c>
      <c r="C1446" s="247" t="s">
        <v>1283</v>
      </c>
      <c r="D1446" s="247" t="s">
        <v>569</v>
      </c>
      <c r="E1446" s="247" t="s">
        <v>1324</v>
      </c>
      <c r="F1446" s="247" t="s">
        <v>2028</v>
      </c>
      <c r="G1446" s="247" t="s">
        <v>1287</v>
      </c>
      <c r="H1446" s="247" t="s">
        <v>396</v>
      </c>
      <c r="I1446" s="247" t="s">
        <v>2029</v>
      </c>
      <c r="J1446" s="247">
        <v>69</v>
      </c>
      <c r="K1446" s="247">
        <v>69</v>
      </c>
      <c r="L1446" s="249" t="s">
        <v>652</v>
      </c>
      <c r="M1446" s="249" t="s">
        <v>933</v>
      </c>
      <c r="N1446" s="248">
        <v>23.02</v>
      </c>
      <c r="O1446" s="248">
        <v>1090.3900000000001</v>
      </c>
      <c r="P1446" s="247" t="s">
        <v>1326</v>
      </c>
      <c r="Q1446" s="247" t="s">
        <v>86</v>
      </c>
    </row>
    <row r="1447" spans="1:17" x14ac:dyDescent="0.25">
      <c r="A1447" s="247" t="s">
        <v>646</v>
      </c>
      <c r="B1447" s="247" t="s">
        <v>265</v>
      </c>
      <c r="C1447" s="247" t="s">
        <v>1283</v>
      </c>
      <c r="D1447" s="247" t="s">
        <v>569</v>
      </c>
      <c r="E1447" s="247" t="s">
        <v>1324</v>
      </c>
      <c r="F1447" s="247" t="s">
        <v>2028</v>
      </c>
      <c r="G1447" s="247" t="s">
        <v>1287</v>
      </c>
      <c r="H1447" s="247" t="s">
        <v>396</v>
      </c>
      <c r="I1447" s="247" t="s">
        <v>2029</v>
      </c>
      <c r="J1447" s="247">
        <v>69</v>
      </c>
      <c r="K1447" s="247">
        <v>69</v>
      </c>
      <c r="L1447" s="249" t="s">
        <v>789</v>
      </c>
      <c r="M1447" s="249" t="s">
        <v>929</v>
      </c>
      <c r="N1447" s="248">
        <v>603.87</v>
      </c>
      <c r="O1447" s="248">
        <v>603.87</v>
      </c>
      <c r="P1447" s="247" t="s">
        <v>1326</v>
      </c>
      <c r="Q1447" s="247" t="s">
        <v>87</v>
      </c>
    </row>
    <row r="1448" spans="1:17" x14ac:dyDescent="0.25">
      <c r="A1448" s="247" t="s">
        <v>646</v>
      </c>
      <c r="B1448" s="247" t="s">
        <v>265</v>
      </c>
      <c r="C1448" s="247" t="s">
        <v>1283</v>
      </c>
      <c r="D1448" s="247" t="s">
        <v>569</v>
      </c>
      <c r="E1448" s="247" t="s">
        <v>1324</v>
      </c>
      <c r="F1448" s="247" t="s">
        <v>2028</v>
      </c>
      <c r="G1448" s="247" t="s">
        <v>1287</v>
      </c>
      <c r="H1448" s="247" t="s">
        <v>396</v>
      </c>
      <c r="I1448" s="247" t="s">
        <v>2029</v>
      </c>
      <c r="J1448" s="247">
        <v>69</v>
      </c>
      <c r="K1448" s="247">
        <v>69</v>
      </c>
      <c r="L1448" s="249" t="s">
        <v>791</v>
      </c>
      <c r="M1448" s="249" t="s">
        <v>929</v>
      </c>
      <c r="N1448" s="248">
        <v>180.04</v>
      </c>
      <c r="O1448" s="248">
        <v>783.91</v>
      </c>
      <c r="P1448" s="247" t="s">
        <v>1326</v>
      </c>
      <c r="Q1448" s="247" t="s">
        <v>88</v>
      </c>
    </row>
    <row r="1449" spans="1:17" x14ac:dyDescent="0.25">
      <c r="A1449" s="247" t="s">
        <v>646</v>
      </c>
      <c r="B1449" s="247" t="s">
        <v>265</v>
      </c>
      <c r="C1449" s="247" t="s">
        <v>1283</v>
      </c>
      <c r="D1449" s="247" t="s">
        <v>569</v>
      </c>
      <c r="E1449" s="247" t="s">
        <v>1324</v>
      </c>
      <c r="F1449" s="247" t="s">
        <v>2028</v>
      </c>
      <c r="G1449" s="247" t="s">
        <v>1287</v>
      </c>
      <c r="H1449" s="247" t="s">
        <v>396</v>
      </c>
      <c r="I1449" s="247" t="s">
        <v>2029</v>
      </c>
      <c r="J1449" s="247">
        <v>69</v>
      </c>
      <c r="K1449" s="247">
        <v>69</v>
      </c>
      <c r="L1449" s="249" t="s">
        <v>935</v>
      </c>
      <c r="M1449" s="249" t="s">
        <v>929</v>
      </c>
      <c r="N1449" s="248">
        <v>188.36</v>
      </c>
      <c r="O1449" s="248">
        <v>972.27</v>
      </c>
      <c r="P1449" s="247" t="s">
        <v>1326</v>
      </c>
      <c r="Q1449" s="247" t="s">
        <v>89</v>
      </c>
    </row>
    <row r="1450" spans="1:17" x14ac:dyDescent="0.25">
      <c r="A1450" s="247" t="s">
        <v>646</v>
      </c>
      <c r="B1450" s="247" t="s">
        <v>265</v>
      </c>
      <c r="C1450" s="247" t="s">
        <v>1283</v>
      </c>
      <c r="D1450" s="247" t="s">
        <v>569</v>
      </c>
      <c r="E1450" s="247" t="s">
        <v>1324</v>
      </c>
      <c r="F1450" s="247" t="s">
        <v>2028</v>
      </c>
      <c r="G1450" s="247" t="s">
        <v>1287</v>
      </c>
      <c r="H1450" s="247" t="s">
        <v>396</v>
      </c>
      <c r="I1450" s="247" t="s">
        <v>2029</v>
      </c>
      <c r="J1450" s="247">
        <v>69</v>
      </c>
      <c r="K1450" s="247">
        <v>69</v>
      </c>
      <c r="L1450" s="249" t="s">
        <v>936</v>
      </c>
      <c r="M1450" s="249" t="s">
        <v>929</v>
      </c>
      <c r="N1450" s="248">
        <v>584.22</v>
      </c>
      <c r="O1450" s="248">
        <v>1556.49</v>
      </c>
      <c r="P1450" s="247" t="s">
        <v>1326</v>
      </c>
      <c r="Q1450" s="247" t="s">
        <v>90</v>
      </c>
    </row>
    <row r="1451" spans="1:17" x14ac:dyDescent="0.25">
      <c r="A1451" s="247" t="s">
        <v>646</v>
      </c>
      <c r="B1451" s="247" t="s">
        <v>265</v>
      </c>
      <c r="C1451" s="247" t="s">
        <v>1283</v>
      </c>
      <c r="D1451" s="247" t="s">
        <v>569</v>
      </c>
      <c r="E1451" s="247" t="s">
        <v>1324</v>
      </c>
      <c r="F1451" s="247" t="s">
        <v>2028</v>
      </c>
      <c r="G1451" s="247" t="s">
        <v>1287</v>
      </c>
      <c r="H1451" s="247" t="s">
        <v>396</v>
      </c>
      <c r="I1451" s="247" t="s">
        <v>2029</v>
      </c>
      <c r="J1451" s="247">
        <v>69</v>
      </c>
      <c r="K1451" s="247">
        <v>69</v>
      </c>
      <c r="L1451" s="249" t="s">
        <v>937</v>
      </c>
      <c r="M1451" s="249" t="s">
        <v>929</v>
      </c>
      <c r="N1451" s="248">
        <v>60.71</v>
      </c>
      <c r="O1451" s="248">
        <v>1617.2</v>
      </c>
      <c r="P1451" s="247" t="s">
        <v>1326</v>
      </c>
      <c r="Q1451" s="247" t="s">
        <v>91</v>
      </c>
    </row>
    <row r="1452" spans="1:17" x14ac:dyDescent="0.25">
      <c r="A1452" s="247" t="s">
        <v>646</v>
      </c>
      <c r="B1452" s="247" t="s">
        <v>265</v>
      </c>
      <c r="C1452" s="247" t="s">
        <v>1283</v>
      </c>
      <c r="D1452" s="247" t="s">
        <v>569</v>
      </c>
      <c r="E1452" s="247" t="s">
        <v>1324</v>
      </c>
      <c r="F1452" s="247" t="s">
        <v>2028</v>
      </c>
      <c r="G1452" s="247" t="s">
        <v>1287</v>
      </c>
      <c r="H1452" s="247" t="s">
        <v>396</v>
      </c>
      <c r="I1452" s="247" t="s">
        <v>2029</v>
      </c>
      <c r="J1452" s="247">
        <v>69</v>
      </c>
      <c r="K1452" s="247">
        <v>69</v>
      </c>
      <c r="L1452" s="249" t="s">
        <v>938</v>
      </c>
      <c r="M1452" s="249" t="s">
        <v>929</v>
      </c>
      <c r="N1452" s="248">
        <v>318.51</v>
      </c>
      <c r="O1452" s="248">
        <v>1935.71</v>
      </c>
      <c r="P1452" s="247" t="s">
        <v>1326</v>
      </c>
      <c r="Q1452" s="247" t="s">
        <v>92</v>
      </c>
    </row>
    <row r="1453" spans="1:17" x14ac:dyDescent="0.25">
      <c r="A1453" s="247" t="s">
        <v>646</v>
      </c>
      <c r="B1453" s="247" t="s">
        <v>265</v>
      </c>
      <c r="C1453" s="247" t="s">
        <v>1283</v>
      </c>
      <c r="D1453" s="247" t="s">
        <v>569</v>
      </c>
      <c r="E1453" s="247" t="s">
        <v>1324</v>
      </c>
      <c r="F1453" s="247" t="s">
        <v>2028</v>
      </c>
      <c r="G1453" s="247" t="s">
        <v>1287</v>
      </c>
      <c r="H1453" s="247" t="s">
        <v>396</v>
      </c>
      <c r="I1453" s="247" t="s">
        <v>2029</v>
      </c>
      <c r="J1453" s="247">
        <v>69</v>
      </c>
      <c r="K1453" s="247">
        <v>69</v>
      </c>
      <c r="L1453" s="249" t="s">
        <v>939</v>
      </c>
      <c r="M1453" s="249" t="s">
        <v>929</v>
      </c>
      <c r="N1453" s="248">
        <v>434.72</v>
      </c>
      <c r="O1453" s="248">
        <v>2370.4299999999998</v>
      </c>
      <c r="P1453" s="247" t="s">
        <v>1326</v>
      </c>
      <c r="Q1453" s="247" t="s">
        <v>93</v>
      </c>
    </row>
    <row r="1454" spans="1:17" x14ac:dyDescent="0.25">
      <c r="A1454" s="247" t="s">
        <v>646</v>
      </c>
      <c r="B1454" s="247" t="s">
        <v>265</v>
      </c>
      <c r="C1454" s="247" t="s">
        <v>1283</v>
      </c>
      <c r="D1454" s="247" t="s">
        <v>569</v>
      </c>
      <c r="E1454" s="247" t="s">
        <v>1324</v>
      </c>
      <c r="F1454" s="247" t="s">
        <v>2028</v>
      </c>
      <c r="G1454" s="247" t="s">
        <v>1287</v>
      </c>
      <c r="H1454" s="247" t="s">
        <v>396</v>
      </c>
      <c r="I1454" s="247" t="s">
        <v>2029</v>
      </c>
      <c r="J1454" s="247">
        <v>69</v>
      </c>
      <c r="K1454" s="247">
        <v>69</v>
      </c>
      <c r="L1454" s="249" t="s">
        <v>940</v>
      </c>
      <c r="M1454" s="249" t="s">
        <v>929</v>
      </c>
      <c r="N1454" s="248">
        <v>171.22</v>
      </c>
      <c r="O1454" s="248">
        <v>2541.65</v>
      </c>
      <c r="P1454" s="247" t="s">
        <v>1326</v>
      </c>
      <c r="Q1454" s="247" t="s">
        <v>94</v>
      </c>
    </row>
    <row r="1455" spans="1:17" x14ac:dyDescent="0.25">
      <c r="A1455" s="247" t="s">
        <v>646</v>
      </c>
      <c r="B1455" s="247" t="s">
        <v>265</v>
      </c>
      <c r="C1455" s="247" t="s">
        <v>1283</v>
      </c>
      <c r="D1455" s="247" t="s">
        <v>569</v>
      </c>
      <c r="E1455" s="247" t="s">
        <v>1324</v>
      </c>
      <c r="F1455" s="247" t="s">
        <v>2028</v>
      </c>
      <c r="G1455" s="247" t="s">
        <v>1287</v>
      </c>
      <c r="H1455" s="247" t="s">
        <v>396</v>
      </c>
      <c r="I1455" s="247" t="s">
        <v>2029</v>
      </c>
      <c r="J1455" s="247">
        <v>69</v>
      </c>
      <c r="K1455" s="247">
        <v>69</v>
      </c>
      <c r="L1455" s="249" t="s">
        <v>642</v>
      </c>
      <c r="M1455" s="249" t="s">
        <v>929</v>
      </c>
      <c r="N1455" s="248">
        <v>779.74</v>
      </c>
      <c r="O1455" s="248">
        <v>3321.39</v>
      </c>
      <c r="P1455" s="247" t="s">
        <v>1326</v>
      </c>
      <c r="Q1455" s="247" t="s">
        <v>95</v>
      </c>
    </row>
    <row r="1456" spans="1:17" x14ac:dyDescent="0.25">
      <c r="A1456" s="247" t="s">
        <v>646</v>
      </c>
      <c r="B1456" s="247" t="s">
        <v>265</v>
      </c>
      <c r="C1456" s="247" t="s">
        <v>1283</v>
      </c>
      <c r="D1456" s="247" t="s">
        <v>1049</v>
      </c>
      <c r="E1456" s="247" t="s">
        <v>1324</v>
      </c>
      <c r="F1456" s="247" t="s">
        <v>2030</v>
      </c>
      <c r="G1456" s="247" t="s">
        <v>1327</v>
      </c>
      <c r="H1456" s="247" t="s">
        <v>396</v>
      </c>
      <c r="I1456" s="247" t="s">
        <v>2031</v>
      </c>
      <c r="J1456" s="247">
        <v>69</v>
      </c>
      <c r="K1456" s="247">
        <v>69</v>
      </c>
      <c r="L1456" s="249" t="s">
        <v>642</v>
      </c>
      <c r="M1456" s="249" t="s">
        <v>929</v>
      </c>
      <c r="N1456" s="248">
        <v>3305.74</v>
      </c>
      <c r="O1456" s="248">
        <v>3305.74</v>
      </c>
      <c r="P1456" s="247" t="s">
        <v>1328</v>
      </c>
      <c r="Q1456" s="247" t="s">
        <v>95</v>
      </c>
    </row>
    <row r="1457" spans="1:17" x14ac:dyDescent="0.25">
      <c r="A1457" s="247" t="s">
        <v>646</v>
      </c>
      <c r="B1457" s="247" t="s">
        <v>265</v>
      </c>
      <c r="C1457" s="247" t="s">
        <v>1283</v>
      </c>
      <c r="D1457" s="247" t="s">
        <v>711</v>
      </c>
      <c r="E1457" s="247" t="s">
        <v>711</v>
      </c>
      <c r="F1457" s="247" t="s">
        <v>2032</v>
      </c>
      <c r="G1457" s="247" t="s">
        <v>1285</v>
      </c>
      <c r="H1457" s="247" t="s">
        <v>392</v>
      </c>
      <c r="I1457" s="247" t="s">
        <v>2033</v>
      </c>
      <c r="J1457" s="247">
        <v>26</v>
      </c>
      <c r="K1457" s="247">
        <v>26</v>
      </c>
      <c r="L1457" s="249" t="s">
        <v>646</v>
      </c>
      <c r="M1457" s="249" t="s">
        <v>933</v>
      </c>
      <c r="N1457" s="248">
        <v>58060.42</v>
      </c>
      <c r="O1457" s="248">
        <v>690631.28</v>
      </c>
      <c r="P1457" s="247" t="s">
        <v>1329</v>
      </c>
      <c r="Q1457" s="247" t="s">
        <v>84</v>
      </c>
    </row>
    <row r="1458" spans="1:17" x14ac:dyDescent="0.25">
      <c r="A1458" s="247" t="s">
        <v>646</v>
      </c>
      <c r="B1458" s="247" t="s">
        <v>265</v>
      </c>
      <c r="C1458" s="247" t="s">
        <v>1283</v>
      </c>
      <c r="D1458" s="247" t="s">
        <v>711</v>
      </c>
      <c r="E1458" s="247" t="s">
        <v>711</v>
      </c>
      <c r="F1458" s="247" t="s">
        <v>2032</v>
      </c>
      <c r="G1458" s="247" t="s">
        <v>1285</v>
      </c>
      <c r="H1458" s="247" t="s">
        <v>392</v>
      </c>
      <c r="I1458" s="247" t="s">
        <v>2033</v>
      </c>
      <c r="J1458" s="247">
        <v>26</v>
      </c>
      <c r="K1458" s="247">
        <v>26</v>
      </c>
      <c r="L1458" s="249" t="s">
        <v>650</v>
      </c>
      <c r="M1458" s="249" t="s">
        <v>933</v>
      </c>
      <c r="N1458" s="248">
        <v>41766.300000000003</v>
      </c>
      <c r="O1458" s="248">
        <v>732397.58</v>
      </c>
      <c r="P1458" s="247" t="s">
        <v>1329</v>
      </c>
      <c r="Q1458" s="247" t="s">
        <v>85</v>
      </c>
    </row>
    <row r="1459" spans="1:17" x14ac:dyDescent="0.25">
      <c r="A1459" s="247" t="s">
        <v>646</v>
      </c>
      <c r="B1459" s="247" t="s">
        <v>265</v>
      </c>
      <c r="C1459" s="247" t="s">
        <v>1283</v>
      </c>
      <c r="D1459" s="247" t="s">
        <v>711</v>
      </c>
      <c r="E1459" s="247" t="s">
        <v>711</v>
      </c>
      <c r="F1459" s="247" t="s">
        <v>2032</v>
      </c>
      <c r="G1459" s="247" t="s">
        <v>1285</v>
      </c>
      <c r="H1459" s="247" t="s">
        <v>392</v>
      </c>
      <c r="I1459" s="247" t="s">
        <v>2033</v>
      </c>
      <c r="J1459" s="247">
        <v>26</v>
      </c>
      <c r="K1459" s="247">
        <v>26</v>
      </c>
      <c r="L1459" s="249" t="s">
        <v>652</v>
      </c>
      <c r="M1459" s="249" t="s">
        <v>933</v>
      </c>
      <c r="N1459" s="248">
        <v>37816.06</v>
      </c>
      <c r="O1459" s="248">
        <v>770213.64</v>
      </c>
      <c r="P1459" s="247" t="s">
        <v>1329</v>
      </c>
      <c r="Q1459" s="247" t="s">
        <v>86</v>
      </c>
    </row>
    <row r="1460" spans="1:17" x14ac:dyDescent="0.25">
      <c r="A1460" s="247" t="s">
        <v>646</v>
      </c>
      <c r="B1460" s="247" t="s">
        <v>265</v>
      </c>
      <c r="C1460" s="247" t="s">
        <v>1283</v>
      </c>
      <c r="D1460" s="247" t="s">
        <v>711</v>
      </c>
      <c r="E1460" s="247" t="s">
        <v>711</v>
      </c>
      <c r="F1460" s="247" t="s">
        <v>2032</v>
      </c>
      <c r="G1460" s="247" t="s">
        <v>1285</v>
      </c>
      <c r="H1460" s="247" t="s">
        <v>392</v>
      </c>
      <c r="I1460" s="247" t="s">
        <v>2033</v>
      </c>
      <c r="J1460" s="247">
        <v>26</v>
      </c>
      <c r="K1460" s="247">
        <v>26</v>
      </c>
      <c r="L1460" s="249" t="s">
        <v>789</v>
      </c>
      <c r="M1460" s="249" t="s">
        <v>929</v>
      </c>
      <c r="N1460" s="248">
        <v>38552.6</v>
      </c>
      <c r="O1460" s="248">
        <v>38552.6</v>
      </c>
      <c r="P1460" s="247" t="s">
        <v>1329</v>
      </c>
      <c r="Q1460" s="247" t="s">
        <v>87</v>
      </c>
    </row>
    <row r="1461" spans="1:17" x14ac:dyDescent="0.25">
      <c r="A1461" s="247" t="s">
        <v>646</v>
      </c>
      <c r="B1461" s="247" t="s">
        <v>265</v>
      </c>
      <c r="C1461" s="247" t="s">
        <v>1283</v>
      </c>
      <c r="D1461" s="247" t="s">
        <v>711</v>
      </c>
      <c r="E1461" s="247" t="s">
        <v>711</v>
      </c>
      <c r="F1461" s="247" t="s">
        <v>2032</v>
      </c>
      <c r="G1461" s="247" t="s">
        <v>1285</v>
      </c>
      <c r="H1461" s="247" t="s">
        <v>392</v>
      </c>
      <c r="I1461" s="247" t="s">
        <v>2033</v>
      </c>
      <c r="J1461" s="247">
        <v>26</v>
      </c>
      <c r="K1461" s="247">
        <v>26</v>
      </c>
      <c r="L1461" s="249" t="s">
        <v>791</v>
      </c>
      <c r="M1461" s="249" t="s">
        <v>929</v>
      </c>
      <c r="N1461" s="248">
        <v>36840.97</v>
      </c>
      <c r="O1461" s="248">
        <v>75393.570000000007</v>
      </c>
      <c r="P1461" s="247" t="s">
        <v>1329</v>
      </c>
      <c r="Q1461" s="247" t="s">
        <v>88</v>
      </c>
    </row>
    <row r="1462" spans="1:17" x14ac:dyDescent="0.25">
      <c r="A1462" s="247" t="s">
        <v>646</v>
      </c>
      <c r="B1462" s="247" t="s">
        <v>265</v>
      </c>
      <c r="C1462" s="247" t="s">
        <v>1283</v>
      </c>
      <c r="D1462" s="247" t="s">
        <v>711</v>
      </c>
      <c r="E1462" s="247" t="s">
        <v>711</v>
      </c>
      <c r="F1462" s="247" t="s">
        <v>2032</v>
      </c>
      <c r="G1462" s="247" t="s">
        <v>1285</v>
      </c>
      <c r="H1462" s="247" t="s">
        <v>392</v>
      </c>
      <c r="I1462" s="247" t="s">
        <v>2033</v>
      </c>
      <c r="J1462" s="247">
        <v>26</v>
      </c>
      <c r="K1462" s="247">
        <v>26</v>
      </c>
      <c r="L1462" s="249" t="s">
        <v>935</v>
      </c>
      <c r="M1462" s="249" t="s">
        <v>929</v>
      </c>
      <c r="N1462" s="248">
        <v>39764.97</v>
      </c>
      <c r="O1462" s="248">
        <v>115158.54</v>
      </c>
      <c r="P1462" s="247" t="s">
        <v>1329</v>
      </c>
      <c r="Q1462" s="247" t="s">
        <v>89</v>
      </c>
    </row>
    <row r="1463" spans="1:17" x14ac:dyDescent="0.25">
      <c r="A1463" s="247" t="s">
        <v>646</v>
      </c>
      <c r="B1463" s="247" t="s">
        <v>265</v>
      </c>
      <c r="C1463" s="247" t="s">
        <v>1283</v>
      </c>
      <c r="D1463" s="247" t="s">
        <v>711</v>
      </c>
      <c r="E1463" s="247" t="s">
        <v>711</v>
      </c>
      <c r="F1463" s="247" t="s">
        <v>2032</v>
      </c>
      <c r="G1463" s="247" t="s">
        <v>1285</v>
      </c>
      <c r="H1463" s="247" t="s">
        <v>392</v>
      </c>
      <c r="I1463" s="247" t="s">
        <v>2033</v>
      </c>
      <c r="J1463" s="247">
        <v>26</v>
      </c>
      <c r="K1463" s="247">
        <v>26</v>
      </c>
      <c r="L1463" s="249" t="s">
        <v>936</v>
      </c>
      <c r="M1463" s="249" t="s">
        <v>929</v>
      </c>
      <c r="N1463" s="248">
        <v>41035.1</v>
      </c>
      <c r="O1463" s="248">
        <v>156193.64000000001</v>
      </c>
      <c r="P1463" s="247" t="s">
        <v>1329</v>
      </c>
      <c r="Q1463" s="247" t="s">
        <v>90</v>
      </c>
    </row>
    <row r="1464" spans="1:17" x14ac:dyDescent="0.25">
      <c r="A1464" s="247" t="s">
        <v>646</v>
      </c>
      <c r="B1464" s="247" t="s">
        <v>265</v>
      </c>
      <c r="C1464" s="247" t="s">
        <v>1283</v>
      </c>
      <c r="D1464" s="247" t="s">
        <v>711</v>
      </c>
      <c r="E1464" s="247" t="s">
        <v>711</v>
      </c>
      <c r="F1464" s="247" t="s">
        <v>2032</v>
      </c>
      <c r="G1464" s="247" t="s">
        <v>1285</v>
      </c>
      <c r="H1464" s="247" t="s">
        <v>392</v>
      </c>
      <c r="I1464" s="247" t="s">
        <v>2033</v>
      </c>
      <c r="J1464" s="247">
        <v>26</v>
      </c>
      <c r="K1464" s="247">
        <v>26</v>
      </c>
      <c r="L1464" s="249" t="s">
        <v>937</v>
      </c>
      <c r="M1464" s="249" t="s">
        <v>929</v>
      </c>
      <c r="N1464" s="248">
        <v>44941.96</v>
      </c>
      <c r="O1464" s="248">
        <v>201135.6</v>
      </c>
      <c r="P1464" s="247" t="s">
        <v>1329</v>
      </c>
      <c r="Q1464" s="247" t="s">
        <v>91</v>
      </c>
    </row>
    <row r="1465" spans="1:17" x14ac:dyDescent="0.25">
      <c r="A1465" s="247" t="s">
        <v>646</v>
      </c>
      <c r="B1465" s="247" t="s">
        <v>265</v>
      </c>
      <c r="C1465" s="247" t="s">
        <v>1283</v>
      </c>
      <c r="D1465" s="247" t="s">
        <v>711</v>
      </c>
      <c r="E1465" s="247" t="s">
        <v>711</v>
      </c>
      <c r="F1465" s="247" t="s">
        <v>2032</v>
      </c>
      <c r="G1465" s="247" t="s">
        <v>1285</v>
      </c>
      <c r="H1465" s="247" t="s">
        <v>392</v>
      </c>
      <c r="I1465" s="247" t="s">
        <v>2033</v>
      </c>
      <c r="J1465" s="247">
        <v>26</v>
      </c>
      <c r="K1465" s="247">
        <v>26</v>
      </c>
      <c r="L1465" s="249" t="s">
        <v>938</v>
      </c>
      <c r="M1465" s="249" t="s">
        <v>929</v>
      </c>
      <c r="N1465" s="248">
        <v>44772.800000000003</v>
      </c>
      <c r="O1465" s="248">
        <v>245908.4</v>
      </c>
      <c r="P1465" s="247" t="s">
        <v>1329</v>
      </c>
      <c r="Q1465" s="247" t="s">
        <v>92</v>
      </c>
    </row>
    <row r="1466" spans="1:17" x14ac:dyDescent="0.25">
      <c r="A1466" s="247" t="s">
        <v>646</v>
      </c>
      <c r="B1466" s="247" t="s">
        <v>265</v>
      </c>
      <c r="C1466" s="247" t="s">
        <v>1283</v>
      </c>
      <c r="D1466" s="247" t="s">
        <v>711</v>
      </c>
      <c r="E1466" s="247" t="s">
        <v>711</v>
      </c>
      <c r="F1466" s="247" t="s">
        <v>2032</v>
      </c>
      <c r="G1466" s="247" t="s">
        <v>1285</v>
      </c>
      <c r="H1466" s="247" t="s">
        <v>392</v>
      </c>
      <c r="I1466" s="247" t="s">
        <v>2033</v>
      </c>
      <c r="J1466" s="247">
        <v>26</v>
      </c>
      <c r="K1466" s="247">
        <v>26</v>
      </c>
      <c r="L1466" s="249" t="s">
        <v>939</v>
      </c>
      <c r="M1466" s="249" t="s">
        <v>929</v>
      </c>
      <c r="N1466" s="248">
        <v>42975.62</v>
      </c>
      <c r="O1466" s="248">
        <v>288884.02</v>
      </c>
      <c r="P1466" s="247" t="s">
        <v>1329</v>
      </c>
      <c r="Q1466" s="247" t="s">
        <v>93</v>
      </c>
    </row>
    <row r="1467" spans="1:17" x14ac:dyDescent="0.25">
      <c r="A1467" s="247" t="s">
        <v>646</v>
      </c>
      <c r="B1467" s="247" t="s">
        <v>265</v>
      </c>
      <c r="C1467" s="247" t="s">
        <v>1283</v>
      </c>
      <c r="D1467" s="247" t="s">
        <v>711</v>
      </c>
      <c r="E1467" s="247" t="s">
        <v>711</v>
      </c>
      <c r="F1467" s="247" t="s">
        <v>2032</v>
      </c>
      <c r="G1467" s="247" t="s">
        <v>1285</v>
      </c>
      <c r="H1467" s="247" t="s">
        <v>392</v>
      </c>
      <c r="I1467" s="247" t="s">
        <v>2033</v>
      </c>
      <c r="J1467" s="247">
        <v>26</v>
      </c>
      <c r="K1467" s="247">
        <v>26</v>
      </c>
      <c r="L1467" s="249" t="s">
        <v>940</v>
      </c>
      <c r="M1467" s="249" t="s">
        <v>929</v>
      </c>
      <c r="N1467" s="248">
        <v>45211.41</v>
      </c>
      <c r="O1467" s="248">
        <v>334095.43</v>
      </c>
      <c r="P1467" s="247" t="s">
        <v>1329</v>
      </c>
      <c r="Q1467" s="247" t="s">
        <v>94</v>
      </c>
    </row>
    <row r="1468" spans="1:17" x14ac:dyDescent="0.25">
      <c r="A1468" s="247" t="s">
        <v>646</v>
      </c>
      <c r="B1468" s="247" t="s">
        <v>265</v>
      </c>
      <c r="C1468" s="247" t="s">
        <v>1283</v>
      </c>
      <c r="D1468" s="247" t="s">
        <v>711</v>
      </c>
      <c r="E1468" s="247" t="s">
        <v>711</v>
      </c>
      <c r="F1468" s="247" t="s">
        <v>2032</v>
      </c>
      <c r="G1468" s="247" t="s">
        <v>1285</v>
      </c>
      <c r="H1468" s="247" t="s">
        <v>392</v>
      </c>
      <c r="I1468" s="247" t="s">
        <v>2033</v>
      </c>
      <c r="J1468" s="247">
        <v>26</v>
      </c>
      <c r="K1468" s="247">
        <v>26</v>
      </c>
      <c r="L1468" s="249" t="s">
        <v>642</v>
      </c>
      <c r="M1468" s="249" t="s">
        <v>929</v>
      </c>
      <c r="N1468" s="248">
        <v>46439.7</v>
      </c>
      <c r="O1468" s="248">
        <v>380535.13</v>
      </c>
      <c r="P1468" s="247" t="s">
        <v>1329</v>
      </c>
      <c r="Q1468" s="247" t="s">
        <v>95</v>
      </c>
    </row>
    <row r="1469" spans="1:17" x14ac:dyDescent="0.25">
      <c r="A1469" s="247" t="s">
        <v>646</v>
      </c>
      <c r="B1469" s="247" t="s">
        <v>265</v>
      </c>
      <c r="C1469" s="247" t="s">
        <v>1283</v>
      </c>
      <c r="D1469" s="247" t="s">
        <v>569</v>
      </c>
      <c r="E1469" s="247" t="s">
        <v>711</v>
      </c>
      <c r="F1469" s="247" t="s">
        <v>2034</v>
      </c>
      <c r="G1469" s="247" t="s">
        <v>1287</v>
      </c>
      <c r="H1469" s="247" t="s">
        <v>392</v>
      </c>
      <c r="I1469" s="247" t="s">
        <v>2035</v>
      </c>
      <c r="J1469" s="247">
        <v>27</v>
      </c>
      <c r="K1469" s="247">
        <v>27</v>
      </c>
      <c r="L1469" s="249" t="s">
        <v>646</v>
      </c>
      <c r="M1469" s="249" t="s">
        <v>933</v>
      </c>
      <c r="N1469" s="248">
        <v>4879.22</v>
      </c>
      <c r="O1469" s="248">
        <v>55056.55</v>
      </c>
      <c r="P1469" s="247" t="s">
        <v>1330</v>
      </c>
      <c r="Q1469" s="247" t="s">
        <v>84</v>
      </c>
    </row>
    <row r="1470" spans="1:17" x14ac:dyDescent="0.25">
      <c r="A1470" s="247" t="s">
        <v>646</v>
      </c>
      <c r="B1470" s="247" t="s">
        <v>265</v>
      </c>
      <c r="C1470" s="247" t="s">
        <v>1283</v>
      </c>
      <c r="D1470" s="247" t="s">
        <v>569</v>
      </c>
      <c r="E1470" s="247" t="s">
        <v>711</v>
      </c>
      <c r="F1470" s="247" t="s">
        <v>2034</v>
      </c>
      <c r="G1470" s="247" t="s">
        <v>1287</v>
      </c>
      <c r="H1470" s="247" t="s">
        <v>392</v>
      </c>
      <c r="I1470" s="247" t="s">
        <v>2035</v>
      </c>
      <c r="J1470" s="247">
        <v>27</v>
      </c>
      <c r="K1470" s="247">
        <v>27</v>
      </c>
      <c r="L1470" s="249" t="s">
        <v>650</v>
      </c>
      <c r="M1470" s="249" t="s">
        <v>933</v>
      </c>
      <c r="N1470" s="248">
        <v>2231.65</v>
      </c>
      <c r="O1470" s="248">
        <v>57288.2</v>
      </c>
      <c r="P1470" s="247" t="s">
        <v>1330</v>
      </c>
      <c r="Q1470" s="247" t="s">
        <v>85</v>
      </c>
    </row>
    <row r="1471" spans="1:17" x14ac:dyDescent="0.25">
      <c r="A1471" s="247" t="s">
        <v>646</v>
      </c>
      <c r="B1471" s="247" t="s">
        <v>265</v>
      </c>
      <c r="C1471" s="247" t="s">
        <v>1283</v>
      </c>
      <c r="D1471" s="247" t="s">
        <v>569</v>
      </c>
      <c r="E1471" s="247" t="s">
        <v>711</v>
      </c>
      <c r="F1471" s="247" t="s">
        <v>2034</v>
      </c>
      <c r="G1471" s="247" t="s">
        <v>1287</v>
      </c>
      <c r="H1471" s="247" t="s">
        <v>392</v>
      </c>
      <c r="I1471" s="247" t="s">
        <v>2035</v>
      </c>
      <c r="J1471" s="247">
        <v>27</v>
      </c>
      <c r="K1471" s="247">
        <v>27</v>
      </c>
      <c r="L1471" s="249" t="s">
        <v>652</v>
      </c>
      <c r="M1471" s="249" t="s">
        <v>933</v>
      </c>
      <c r="N1471" s="248">
        <v>1661.82</v>
      </c>
      <c r="O1471" s="248">
        <v>58950.02</v>
      </c>
      <c r="P1471" s="247" t="s">
        <v>1330</v>
      </c>
      <c r="Q1471" s="247" t="s">
        <v>86</v>
      </c>
    </row>
    <row r="1472" spans="1:17" x14ac:dyDescent="0.25">
      <c r="A1472" s="247" t="s">
        <v>646</v>
      </c>
      <c r="B1472" s="247" t="s">
        <v>265</v>
      </c>
      <c r="C1472" s="247" t="s">
        <v>1283</v>
      </c>
      <c r="D1472" s="247" t="s">
        <v>569</v>
      </c>
      <c r="E1472" s="247" t="s">
        <v>711</v>
      </c>
      <c r="F1472" s="247" t="s">
        <v>2034</v>
      </c>
      <c r="G1472" s="247" t="s">
        <v>1287</v>
      </c>
      <c r="H1472" s="247" t="s">
        <v>392</v>
      </c>
      <c r="I1472" s="247" t="s">
        <v>2035</v>
      </c>
      <c r="J1472" s="247">
        <v>27</v>
      </c>
      <c r="K1472" s="247">
        <v>27</v>
      </c>
      <c r="L1472" s="249" t="s">
        <v>789</v>
      </c>
      <c r="M1472" s="249" t="s">
        <v>929</v>
      </c>
      <c r="N1472" s="248">
        <v>994.53</v>
      </c>
      <c r="O1472" s="248">
        <v>994.53</v>
      </c>
      <c r="P1472" s="247" t="s">
        <v>1330</v>
      </c>
      <c r="Q1472" s="247" t="s">
        <v>87</v>
      </c>
    </row>
    <row r="1473" spans="1:17" x14ac:dyDescent="0.25">
      <c r="A1473" s="247" t="s">
        <v>646</v>
      </c>
      <c r="B1473" s="247" t="s">
        <v>265</v>
      </c>
      <c r="C1473" s="247" t="s">
        <v>1283</v>
      </c>
      <c r="D1473" s="247" t="s">
        <v>569</v>
      </c>
      <c r="E1473" s="247" t="s">
        <v>711</v>
      </c>
      <c r="F1473" s="247" t="s">
        <v>2034</v>
      </c>
      <c r="G1473" s="247" t="s">
        <v>1287</v>
      </c>
      <c r="H1473" s="247" t="s">
        <v>392</v>
      </c>
      <c r="I1473" s="247" t="s">
        <v>2035</v>
      </c>
      <c r="J1473" s="247">
        <v>27</v>
      </c>
      <c r="K1473" s="247">
        <v>27</v>
      </c>
      <c r="L1473" s="249" t="s">
        <v>791</v>
      </c>
      <c r="M1473" s="249" t="s">
        <v>929</v>
      </c>
      <c r="N1473" s="248">
        <v>1063.71</v>
      </c>
      <c r="O1473" s="248">
        <v>2058.2399999999998</v>
      </c>
      <c r="P1473" s="247" t="s">
        <v>1330</v>
      </c>
      <c r="Q1473" s="247" t="s">
        <v>88</v>
      </c>
    </row>
    <row r="1474" spans="1:17" x14ac:dyDescent="0.25">
      <c r="A1474" s="247" t="s">
        <v>646</v>
      </c>
      <c r="B1474" s="247" t="s">
        <v>265</v>
      </c>
      <c r="C1474" s="247" t="s">
        <v>1283</v>
      </c>
      <c r="D1474" s="247" t="s">
        <v>569</v>
      </c>
      <c r="E1474" s="247" t="s">
        <v>711</v>
      </c>
      <c r="F1474" s="247" t="s">
        <v>2034</v>
      </c>
      <c r="G1474" s="247" t="s">
        <v>1287</v>
      </c>
      <c r="H1474" s="247" t="s">
        <v>392</v>
      </c>
      <c r="I1474" s="247" t="s">
        <v>2035</v>
      </c>
      <c r="J1474" s="247">
        <v>27</v>
      </c>
      <c r="K1474" s="247">
        <v>27</v>
      </c>
      <c r="L1474" s="249" t="s">
        <v>935</v>
      </c>
      <c r="M1474" s="249" t="s">
        <v>929</v>
      </c>
      <c r="N1474" s="248">
        <v>1128.96</v>
      </c>
      <c r="O1474" s="248">
        <v>3187.2</v>
      </c>
      <c r="P1474" s="247" t="s">
        <v>1330</v>
      </c>
      <c r="Q1474" s="247" t="s">
        <v>89</v>
      </c>
    </row>
    <row r="1475" spans="1:17" x14ac:dyDescent="0.25">
      <c r="A1475" s="247" t="s">
        <v>646</v>
      </c>
      <c r="B1475" s="247" t="s">
        <v>265</v>
      </c>
      <c r="C1475" s="247" t="s">
        <v>1283</v>
      </c>
      <c r="D1475" s="247" t="s">
        <v>569</v>
      </c>
      <c r="E1475" s="247" t="s">
        <v>711</v>
      </c>
      <c r="F1475" s="247" t="s">
        <v>2034</v>
      </c>
      <c r="G1475" s="247" t="s">
        <v>1287</v>
      </c>
      <c r="H1475" s="247" t="s">
        <v>392</v>
      </c>
      <c r="I1475" s="247" t="s">
        <v>2035</v>
      </c>
      <c r="J1475" s="247">
        <v>27</v>
      </c>
      <c r="K1475" s="247">
        <v>27</v>
      </c>
      <c r="L1475" s="249" t="s">
        <v>936</v>
      </c>
      <c r="M1475" s="249" t="s">
        <v>929</v>
      </c>
      <c r="N1475" s="248">
        <v>5807.68</v>
      </c>
      <c r="O1475" s="248">
        <v>8994.8799999999992</v>
      </c>
      <c r="P1475" s="247" t="s">
        <v>1330</v>
      </c>
      <c r="Q1475" s="247" t="s">
        <v>90</v>
      </c>
    </row>
    <row r="1476" spans="1:17" x14ac:dyDescent="0.25">
      <c r="A1476" s="247" t="s">
        <v>646</v>
      </c>
      <c r="B1476" s="247" t="s">
        <v>265</v>
      </c>
      <c r="C1476" s="247" t="s">
        <v>1283</v>
      </c>
      <c r="D1476" s="247" t="s">
        <v>569</v>
      </c>
      <c r="E1476" s="247" t="s">
        <v>711</v>
      </c>
      <c r="F1476" s="247" t="s">
        <v>2034</v>
      </c>
      <c r="G1476" s="247" t="s">
        <v>1287</v>
      </c>
      <c r="H1476" s="247" t="s">
        <v>392</v>
      </c>
      <c r="I1476" s="247" t="s">
        <v>2035</v>
      </c>
      <c r="J1476" s="247">
        <v>27</v>
      </c>
      <c r="K1476" s="247">
        <v>27</v>
      </c>
      <c r="L1476" s="249" t="s">
        <v>937</v>
      </c>
      <c r="M1476" s="249" t="s">
        <v>929</v>
      </c>
      <c r="N1476" s="248">
        <v>3279.94</v>
      </c>
      <c r="O1476" s="248">
        <v>12274.82</v>
      </c>
      <c r="P1476" s="247" t="s">
        <v>1330</v>
      </c>
      <c r="Q1476" s="247" t="s">
        <v>91</v>
      </c>
    </row>
    <row r="1477" spans="1:17" x14ac:dyDescent="0.25">
      <c r="A1477" s="247" t="s">
        <v>646</v>
      </c>
      <c r="B1477" s="247" t="s">
        <v>265</v>
      </c>
      <c r="C1477" s="247" t="s">
        <v>1283</v>
      </c>
      <c r="D1477" s="247" t="s">
        <v>569</v>
      </c>
      <c r="E1477" s="247" t="s">
        <v>711</v>
      </c>
      <c r="F1477" s="247" t="s">
        <v>2034</v>
      </c>
      <c r="G1477" s="247" t="s">
        <v>1287</v>
      </c>
      <c r="H1477" s="247" t="s">
        <v>392</v>
      </c>
      <c r="I1477" s="247" t="s">
        <v>2035</v>
      </c>
      <c r="J1477" s="247">
        <v>27</v>
      </c>
      <c r="K1477" s="247">
        <v>27</v>
      </c>
      <c r="L1477" s="249" t="s">
        <v>938</v>
      </c>
      <c r="M1477" s="249" t="s">
        <v>929</v>
      </c>
      <c r="N1477" s="248">
        <v>3617.52</v>
      </c>
      <c r="O1477" s="248">
        <v>15892.34</v>
      </c>
      <c r="P1477" s="247" t="s">
        <v>1330</v>
      </c>
      <c r="Q1477" s="247" t="s">
        <v>92</v>
      </c>
    </row>
    <row r="1478" spans="1:17" x14ac:dyDescent="0.25">
      <c r="A1478" s="247" t="s">
        <v>646</v>
      </c>
      <c r="B1478" s="247" t="s">
        <v>265</v>
      </c>
      <c r="C1478" s="247" t="s">
        <v>1283</v>
      </c>
      <c r="D1478" s="247" t="s">
        <v>569</v>
      </c>
      <c r="E1478" s="247" t="s">
        <v>711</v>
      </c>
      <c r="F1478" s="247" t="s">
        <v>2034</v>
      </c>
      <c r="G1478" s="247" t="s">
        <v>1287</v>
      </c>
      <c r="H1478" s="247" t="s">
        <v>392</v>
      </c>
      <c r="I1478" s="247" t="s">
        <v>2035</v>
      </c>
      <c r="J1478" s="247">
        <v>27</v>
      </c>
      <c r="K1478" s="247">
        <v>27</v>
      </c>
      <c r="L1478" s="249" t="s">
        <v>939</v>
      </c>
      <c r="M1478" s="249" t="s">
        <v>929</v>
      </c>
      <c r="N1478" s="248">
        <v>3707.75</v>
      </c>
      <c r="O1478" s="248">
        <v>19600.09</v>
      </c>
      <c r="P1478" s="247" t="s">
        <v>1330</v>
      </c>
      <c r="Q1478" s="247" t="s">
        <v>93</v>
      </c>
    </row>
    <row r="1479" spans="1:17" x14ac:dyDescent="0.25">
      <c r="A1479" s="247" t="s">
        <v>646</v>
      </c>
      <c r="B1479" s="247" t="s">
        <v>265</v>
      </c>
      <c r="C1479" s="247" t="s">
        <v>1283</v>
      </c>
      <c r="D1479" s="247" t="s">
        <v>569</v>
      </c>
      <c r="E1479" s="247" t="s">
        <v>711</v>
      </c>
      <c r="F1479" s="247" t="s">
        <v>2034</v>
      </c>
      <c r="G1479" s="247" t="s">
        <v>1287</v>
      </c>
      <c r="H1479" s="247" t="s">
        <v>392</v>
      </c>
      <c r="I1479" s="247" t="s">
        <v>2035</v>
      </c>
      <c r="J1479" s="247">
        <v>27</v>
      </c>
      <c r="K1479" s="247">
        <v>27</v>
      </c>
      <c r="L1479" s="249" t="s">
        <v>940</v>
      </c>
      <c r="M1479" s="249" t="s">
        <v>929</v>
      </c>
      <c r="N1479" s="248">
        <v>4056.2</v>
      </c>
      <c r="O1479" s="248">
        <v>23656.29</v>
      </c>
      <c r="P1479" s="247" t="s">
        <v>1330</v>
      </c>
      <c r="Q1479" s="247" t="s">
        <v>94</v>
      </c>
    </row>
    <row r="1480" spans="1:17" x14ac:dyDescent="0.25">
      <c r="A1480" s="247" t="s">
        <v>646</v>
      </c>
      <c r="B1480" s="247" t="s">
        <v>265</v>
      </c>
      <c r="C1480" s="247" t="s">
        <v>1283</v>
      </c>
      <c r="D1480" s="247" t="s">
        <v>569</v>
      </c>
      <c r="E1480" s="247" t="s">
        <v>711</v>
      </c>
      <c r="F1480" s="247" t="s">
        <v>2034</v>
      </c>
      <c r="G1480" s="247" t="s">
        <v>1287</v>
      </c>
      <c r="H1480" s="247" t="s">
        <v>392</v>
      </c>
      <c r="I1480" s="247" t="s">
        <v>2035</v>
      </c>
      <c r="J1480" s="247">
        <v>27</v>
      </c>
      <c r="K1480" s="247">
        <v>27</v>
      </c>
      <c r="L1480" s="249" t="s">
        <v>642</v>
      </c>
      <c r="M1480" s="249" t="s">
        <v>929</v>
      </c>
      <c r="N1480" s="248">
        <v>5020.4799999999996</v>
      </c>
      <c r="O1480" s="248">
        <v>28676.77</v>
      </c>
      <c r="P1480" s="247" t="s">
        <v>1330</v>
      </c>
      <c r="Q1480" s="247" t="s">
        <v>95</v>
      </c>
    </row>
    <row r="1481" spans="1:17" x14ac:dyDescent="0.25">
      <c r="A1481" s="247" t="s">
        <v>646</v>
      </c>
      <c r="B1481" s="247" t="s">
        <v>265</v>
      </c>
      <c r="C1481" s="247" t="s">
        <v>1283</v>
      </c>
      <c r="D1481" s="247" t="s">
        <v>1049</v>
      </c>
      <c r="E1481" s="247" t="s">
        <v>711</v>
      </c>
      <c r="F1481" s="247" t="s">
        <v>2036</v>
      </c>
      <c r="G1481" s="247" t="s">
        <v>1331</v>
      </c>
      <c r="H1481" s="247" t="s">
        <v>392</v>
      </c>
      <c r="I1481" s="247" t="s">
        <v>2037</v>
      </c>
      <c r="J1481" s="247">
        <v>26</v>
      </c>
      <c r="K1481" s="247">
        <v>26</v>
      </c>
      <c r="L1481" s="249" t="s">
        <v>646</v>
      </c>
      <c r="M1481" s="249" t="s">
        <v>933</v>
      </c>
      <c r="N1481" s="248">
        <v>-1709.24</v>
      </c>
      <c r="O1481" s="248">
        <v>-20899.490000000002</v>
      </c>
      <c r="P1481" s="247" t="s">
        <v>1332</v>
      </c>
      <c r="Q1481" s="247" t="s">
        <v>84</v>
      </c>
    </row>
    <row r="1482" spans="1:17" x14ac:dyDescent="0.25">
      <c r="A1482" s="247" t="s">
        <v>646</v>
      </c>
      <c r="B1482" s="247" t="s">
        <v>265</v>
      </c>
      <c r="C1482" s="247" t="s">
        <v>1283</v>
      </c>
      <c r="D1482" s="247" t="s">
        <v>1049</v>
      </c>
      <c r="E1482" s="247" t="s">
        <v>711</v>
      </c>
      <c r="F1482" s="247" t="s">
        <v>2036</v>
      </c>
      <c r="G1482" s="247" t="s">
        <v>1331</v>
      </c>
      <c r="H1482" s="247" t="s">
        <v>392</v>
      </c>
      <c r="I1482" s="247" t="s">
        <v>2037</v>
      </c>
      <c r="J1482" s="247">
        <v>26</v>
      </c>
      <c r="K1482" s="247">
        <v>26</v>
      </c>
      <c r="L1482" s="249" t="s">
        <v>650</v>
      </c>
      <c r="M1482" s="249" t="s">
        <v>933</v>
      </c>
      <c r="N1482" s="248">
        <v>-1723.96</v>
      </c>
      <c r="O1482" s="248">
        <v>-22623.45</v>
      </c>
      <c r="P1482" s="247" t="s">
        <v>1332</v>
      </c>
      <c r="Q1482" s="247" t="s">
        <v>85</v>
      </c>
    </row>
    <row r="1483" spans="1:17" x14ac:dyDescent="0.25">
      <c r="A1483" s="247" t="s">
        <v>646</v>
      </c>
      <c r="B1483" s="247" t="s">
        <v>265</v>
      </c>
      <c r="C1483" s="247" t="s">
        <v>1283</v>
      </c>
      <c r="D1483" s="247" t="s">
        <v>1049</v>
      </c>
      <c r="E1483" s="247" t="s">
        <v>711</v>
      </c>
      <c r="F1483" s="247" t="s">
        <v>2036</v>
      </c>
      <c r="G1483" s="247" t="s">
        <v>1331</v>
      </c>
      <c r="H1483" s="247" t="s">
        <v>392</v>
      </c>
      <c r="I1483" s="247" t="s">
        <v>2037</v>
      </c>
      <c r="J1483" s="247">
        <v>26</v>
      </c>
      <c r="K1483" s="247">
        <v>26</v>
      </c>
      <c r="L1483" s="249" t="s">
        <v>652</v>
      </c>
      <c r="M1483" s="249" t="s">
        <v>933</v>
      </c>
      <c r="N1483" s="248">
        <v>-1973.63</v>
      </c>
      <c r="O1483" s="248">
        <v>-24597.08</v>
      </c>
      <c r="P1483" s="247" t="s">
        <v>1332</v>
      </c>
      <c r="Q1483" s="247" t="s">
        <v>86</v>
      </c>
    </row>
    <row r="1484" spans="1:17" x14ac:dyDescent="0.25">
      <c r="A1484" s="247" t="s">
        <v>646</v>
      </c>
      <c r="B1484" s="247" t="s">
        <v>265</v>
      </c>
      <c r="C1484" s="247" t="s">
        <v>1283</v>
      </c>
      <c r="D1484" s="247" t="s">
        <v>1049</v>
      </c>
      <c r="E1484" s="247" t="s">
        <v>711</v>
      </c>
      <c r="F1484" s="247" t="s">
        <v>2036</v>
      </c>
      <c r="G1484" s="247" t="s">
        <v>1331</v>
      </c>
      <c r="H1484" s="247" t="s">
        <v>392</v>
      </c>
      <c r="I1484" s="247" t="s">
        <v>2037</v>
      </c>
      <c r="J1484" s="247">
        <v>26</v>
      </c>
      <c r="K1484" s="247">
        <v>26</v>
      </c>
      <c r="L1484" s="249" t="s">
        <v>789</v>
      </c>
      <c r="M1484" s="249" t="s">
        <v>929</v>
      </c>
      <c r="N1484" s="248">
        <v>-1973.63</v>
      </c>
      <c r="O1484" s="248">
        <v>-1973.63</v>
      </c>
      <c r="P1484" s="247" t="s">
        <v>1332</v>
      </c>
      <c r="Q1484" s="247" t="s">
        <v>87</v>
      </c>
    </row>
    <row r="1485" spans="1:17" x14ac:dyDescent="0.25">
      <c r="A1485" s="247" t="s">
        <v>646</v>
      </c>
      <c r="B1485" s="247" t="s">
        <v>265</v>
      </c>
      <c r="C1485" s="247" t="s">
        <v>1283</v>
      </c>
      <c r="D1485" s="247" t="s">
        <v>1049</v>
      </c>
      <c r="E1485" s="247" t="s">
        <v>711</v>
      </c>
      <c r="F1485" s="247" t="s">
        <v>2036</v>
      </c>
      <c r="G1485" s="247" t="s">
        <v>1331</v>
      </c>
      <c r="H1485" s="247" t="s">
        <v>392</v>
      </c>
      <c r="I1485" s="247" t="s">
        <v>2037</v>
      </c>
      <c r="J1485" s="247">
        <v>26</v>
      </c>
      <c r="K1485" s="247">
        <v>26</v>
      </c>
      <c r="L1485" s="249" t="s">
        <v>791</v>
      </c>
      <c r="M1485" s="249" t="s">
        <v>929</v>
      </c>
      <c r="N1485" s="248">
        <v>-1973.63</v>
      </c>
      <c r="O1485" s="248">
        <v>-3947.26</v>
      </c>
      <c r="P1485" s="247" t="s">
        <v>1332</v>
      </c>
      <c r="Q1485" s="247" t="s">
        <v>88</v>
      </c>
    </row>
    <row r="1486" spans="1:17" x14ac:dyDescent="0.25">
      <c r="A1486" s="247" t="s">
        <v>646</v>
      </c>
      <c r="B1486" s="247" t="s">
        <v>265</v>
      </c>
      <c r="C1486" s="247" t="s">
        <v>1283</v>
      </c>
      <c r="D1486" s="247" t="s">
        <v>1049</v>
      </c>
      <c r="E1486" s="247" t="s">
        <v>711</v>
      </c>
      <c r="F1486" s="247" t="s">
        <v>2036</v>
      </c>
      <c r="G1486" s="247" t="s">
        <v>1331</v>
      </c>
      <c r="H1486" s="247" t="s">
        <v>392</v>
      </c>
      <c r="I1486" s="247" t="s">
        <v>2037</v>
      </c>
      <c r="J1486" s="247">
        <v>26</v>
      </c>
      <c r="K1486" s="247">
        <v>26</v>
      </c>
      <c r="L1486" s="249" t="s">
        <v>935</v>
      </c>
      <c r="M1486" s="249" t="s">
        <v>929</v>
      </c>
      <c r="N1486" s="248">
        <v>-1973.63</v>
      </c>
      <c r="O1486" s="248">
        <v>-5920.89</v>
      </c>
      <c r="P1486" s="247" t="s">
        <v>1332</v>
      </c>
      <c r="Q1486" s="247" t="s">
        <v>89</v>
      </c>
    </row>
    <row r="1487" spans="1:17" x14ac:dyDescent="0.25">
      <c r="A1487" s="247" t="s">
        <v>646</v>
      </c>
      <c r="B1487" s="247" t="s">
        <v>265</v>
      </c>
      <c r="C1487" s="247" t="s">
        <v>1283</v>
      </c>
      <c r="D1487" s="247" t="s">
        <v>1049</v>
      </c>
      <c r="E1487" s="247" t="s">
        <v>711</v>
      </c>
      <c r="F1487" s="247" t="s">
        <v>2036</v>
      </c>
      <c r="G1487" s="247" t="s">
        <v>1331</v>
      </c>
      <c r="H1487" s="247" t="s">
        <v>392</v>
      </c>
      <c r="I1487" s="247" t="s">
        <v>2037</v>
      </c>
      <c r="J1487" s="247">
        <v>26</v>
      </c>
      <c r="K1487" s="247">
        <v>26</v>
      </c>
      <c r="L1487" s="249" t="s">
        <v>936</v>
      </c>
      <c r="M1487" s="249" t="s">
        <v>929</v>
      </c>
      <c r="N1487" s="248">
        <v>-1973.63</v>
      </c>
      <c r="O1487" s="248">
        <v>-7894.52</v>
      </c>
      <c r="P1487" s="247" t="s">
        <v>1332</v>
      </c>
      <c r="Q1487" s="247" t="s">
        <v>90</v>
      </c>
    </row>
    <row r="1488" spans="1:17" x14ac:dyDescent="0.25">
      <c r="A1488" s="247" t="s">
        <v>646</v>
      </c>
      <c r="B1488" s="247" t="s">
        <v>265</v>
      </c>
      <c r="C1488" s="247" t="s">
        <v>1283</v>
      </c>
      <c r="D1488" s="247" t="s">
        <v>1049</v>
      </c>
      <c r="E1488" s="247" t="s">
        <v>711</v>
      </c>
      <c r="F1488" s="247" t="s">
        <v>2036</v>
      </c>
      <c r="G1488" s="247" t="s">
        <v>1331</v>
      </c>
      <c r="H1488" s="247" t="s">
        <v>392</v>
      </c>
      <c r="I1488" s="247" t="s">
        <v>2037</v>
      </c>
      <c r="J1488" s="247">
        <v>26</v>
      </c>
      <c r="K1488" s="247">
        <v>26</v>
      </c>
      <c r="L1488" s="249" t="s">
        <v>937</v>
      </c>
      <c r="M1488" s="249" t="s">
        <v>929</v>
      </c>
      <c r="N1488" s="248">
        <v>-1973.63</v>
      </c>
      <c r="O1488" s="248">
        <v>-9868.15</v>
      </c>
      <c r="P1488" s="247" t="s">
        <v>1332</v>
      </c>
      <c r="Q1488" s="247" t="s">
        <v>91</v>
      </c>
    </row>
    <row r="1489" spans="1:17" x14ac:dyDescent="0.25">
      <c r="A1489" s="247" t="s">
        <v>646</v>
      </c>
      <c r="B1489" s="247" t="s">
        <v>265</v>
      </c>
      <c r="C1489" s="247" t="s">
        <v>1283</v>
      </c>
      <c r="D1489" s="247" t="s">
        <v>1049</v>
      </c>
      <c r="E1489" s="247" t="s">
        <v>711</v>
      </c>
      <c r="F1489" s="247" t="s">
        <v>2036</v>
      </c>
      <c r="G1489" s="247" t="s">
        <v>1331</v>
      </c>
      <c r="H1489" s="247" t="s">
        <v>392</v>
      </c>
      <c r="I1489" s="247" t="s">
        <v>2037</v>
      </c>
      <c r="J1489" s="247">
        <v>26</v>
      </c>
      <c r="K1489" s="247">
        <v>26</v>
      </c>
      <c r="L1489" s="249" t="s">
        <v>938</v>
      </c>
      <c r="M1489" s="249" t="s">
        <v>929</v>
      </c>
      <c r="N1489" s="248">
        <v>-1973.63</v>
      </c>
      <c r="O1489" s="248">
        <v>-11841.78</v>
      </c>
      <c r="P1489" s="247" t="s">
        <v>1332</v>
      </c>
      <c r="Q1489" s="247" t="s">
        <v>92</v>
      </c>
    </row>
    <row r="1490" spans="1:17" x14ac:dyDescent="0.25">
      <c r="A1490" s="247" t="s">
        <v>646</v>
      </c>
      <c r="B1490" s="247" t="s">
        <v>265</v>
      </c>
      <c r="C1490" s="247" t="s">
        <v>1283</v>
      </c>
      <c r="D1490" s="247" t="s">
        <v>1049</v>
      </c>
      <c r="E1490" s="247" t="s">
        <v>711</v>
      </c>
      <c r="F1490" s="247" t="s">
        <v>2036</v>
      </c>
      <c r="G1490" s="247" t="s">
        <v>1331</v>
      </c>
      <c r="H1490" s="247" t="s">
        <v>392</v>
      </c>
      <c r="I1490" s="247" t="s">
        <v>2037</v>
      </c>
      <c r="J1490" s="247">
        <v>26</v>
      </c>
      <c r="K1490" s="247">
        <v>26</v>
      </c>
      <c r="L1490" s="249" t="s">
        <v>939</v>
      </c>
      <c r="M1490" s="249" t="s">
        <v>929</v>
      </c>
      <c r="N1490" s="248">
        <v>-1973.63</v>
      </c>
      <c r="O1490" s="248">
        <v>-13815.41</v>
      </c>
      <c r="P1490" s="247" t="s">
        <v>1332</v>
      </c>
      <c r="Q1490" s="247" t="s">
        <v>93</v>
      </c>
    </row>
    <row r="1491" spans="1:17" x14ac:dyDescent="0.25">
      <c r="A1491" s="247" t="s">
        <v>646</v>
      </c>
      <c r="B1491" s="247" t="s">
        <v>265</v>
      </c>
      <c r="C1491" s="247" t="s">
        <v>1283</v>
      </c>
      <c r="D1491" s="247" t="s">
        <v>1049</v>
      </c>
      <c r="E1491" s="247" t="s">
        <v>711</v>
      </c>
      <c r="F1491" s="247" t="s">
        <v>2036</v>
      </c>
      <c r="G1491" s="247" t="s">
        <v>1331</v>
      </c>
      <c r="H1491" s="247" t="s">
        <v>392</v>
      </c>
      <c r="I1491" s="247" t="s">
        <v>2037</v>
      </c>
      <c r="J1491" s="247">
        <v>26</v>
      </c>
      <c r="K1491" s="247">
        <v>26</v>
      </c>
      <c r="L1491" s="249" t="s">
        <v>940</v>
      </c>
      <c r="M1491" s="249" t="s">
        <v>929</v>
      </c>
      <c r="N1491" s="248">
        <v>-1973.63</v>
      </c>
      <c r="O1491" s="248">
        <v>-15789.04</v>
      </c>
      <c r="P1491" s="247" t="s">
        <v>1332</v>
      </c>
      <c r="Q1491" s="247" t="s">
        <v>94</v>
      </c>
    </row>
    <row r="1492" spans="1:17" x14ac:dyDescent="0.25">
      <c r="A1492" s="247" t="s">
        <v>646</v>
      </c>
      <c r="B1492" s="247" t="s">
        <v>265</v>
      </c>
      <c r="C1492" s="247" t="s">
        <v>1283</v>
      </c>
      <c r="D1492" s="247" t="s">
        <v>1049</v>
      </c>
      <c r="E1492" s="247" t="s">
        <v>711</v>
      </c>
      <c r="F1492" s="247" t="s">
        <v>2036</v>
      </c>
      <c r="G1492" s="247" t="s">
        <v>1331</v>
      </c>
      <c r="H1492" s="247" t="s">
        <v>392</v>
      </c>
      <c r="I1492" s="247" t="s">
        <v>2037</v>
      </c>
      <c r="J1492" s="247">
        <v>26</v>
      </c>
      <c r="K1492" s="247">
        <v>26</v>
      </c>
      <c r="L1492" s="249" t="s">
        <v>642</v>
      </c>
      <c r="M1492" s="249" t="s">
        <v>929</v>
      </c>
      <c r="N1492" s="248">
        <v>-1973.63</v>
      </c>
      <c r="O1492" s="248">
        <v>-17762.669999999998</v>
      </c>
      <c r="P1492" s="247" t="s">
        <v>1332</v>
      </c>
      <c r="Q1492" s="247" t="s">
        <v>95</v>
      </c>
    </row>
    <row r="1493" spans="1:17" x14ac:dyDescent="0.25">
      <c r="A1493" s="247" t="s">
        <v>646</v>
      </c>
      <c r="B1493" s="247" t="s">
        <v>265</v>
      </c>
      <c r="C1493" s="247" t="s">
        <v>1283</v>
      </c>
      <c r="D1493" s="247" t="s">
        <v>1025</v>
      </c>
      <c r="E1493" s="247" t="s">
        <v>711</v>
      </c>
      <c r="F1493" s="247" t="s">
        <v>2038</v>
      </c>
      <c r="G1493" s="247" t="s">
        <v>1333</v>
      </c>
      <c r="H1493" s="247" t="s">
        <v>392</v>
      </c>
      <c r="I1493" s="247" t="s">
        <v>2039</v>
      </c>
      <c r="J1493" s="247">
        <v>57</v>
      </c>
      <c r="K1493" s="247">
        <v>57</v>
      </c>
      <c r="L1493" s="249" t="s">
        <v>646</v>
      </c>
      <c r="M1493" s="249" t="s">
        <v>933</v>
      </c>
      <c r="N1493" s="248">
        <v>2400</v>
      </c>
      <c r="O1493" s="248">
        <v>14400</v>
      </c>
      <c r="P1493" s="247" t="s">
        <v>1334</v>
      </c>
      <c r="Q1493" s="247" t="s">
        <v>84</v>
      </c>
    </row>
    <row r="1494" spans="1:17" x14ac:dyDescent="0.25">
      <c r="A1494" s="247" t="s">
        <v>646</v>
      </c>
      <c r="B1494" s="247" t="s">
        <v>265</v>
      </c>
      <c r="C1494" s="247" t="s">
        <v>1283</v>
      </c>
      <c r="D1494" s="247" t="s">
        <v>1025</v>
      </c>
      <c r="E1494" s="247" t="s">
        <v>711</v>
      </c>
      <c r="F1494" s="247" t="s">
        <v>2038</v>
      </c>
      <c r="G1494" s="247" t="s">
        <v>1333</v>
      </c>
      <c r="H1494" s="247" t="s">
        <v>392</v>
      </c>
      <c r="I1494" s="247" t="s">
        <v>2039</v>
      </c>
      <c r="J1494" s="247">
        <v>57</v>
      </c>
      <c r="K1494" s="247">
        <v>57</v>
      </c>
      <c r="L1494" s="249" t="s">
        <v>650</v>
      </c>
      <c r="M1494" s="249" t="s">
        <v>933</v>
      </c>
      <c r="N1494" s="248">
        <v>800</v>
      </c>
      <c r="O1494" s="248">
        <v>15200</v>
      </c>
      <c r="P1494" s="247" t="s">
        <v>1334</v>
      </c>
      <c r="Q1494" s="247" t="s">
        <v>85</v>
      </c>
    </row>
    <row r="1495" spans="1:17" x14ac:dyDescent="0.25">
      <c r="A1495" s="247" t="s">
        <v>646</v>
      </c>
      <c r="B1495" s="247" t="s">
        <v>265</v>
      </c>
      <c r="C1495" s="247" t="s">
        <v>1283</v>
      </c>
      <c r="D1495" s="247" t="s">
        <v>1025</v>
      </c>
      <c r="E1495" s="247" t="s">
        <v>711</v>
      </c>
      <c r="F1495" s="247" t="s">
        <v>2038</v>
      </c>
      <c r="G1495" s="247" t="s">
        <v>1333</v>
      </c>
      <c r="H1495" s="247" t="s">
        <v>392</v>
      </c>
      <c r="I1495" s="247" t="s">
        <v>2039</v>
      </c>
      <c r="J1495" s="247">
        <v>57</v>
      </c>
      <c r="K1495" s="247">
        <v>57</v>
      </c>
      <c r="L1495" s="249" t="s">
        <v>652</v>
      </c>
      <c r="M1495" s="249" t="s">
        <v>933</v>
      </c>
      <c r="N1495" s="248">
        <v>800</v>
      </c>
      <c r="O1495" s="248">
        <v>16000</v>
      </c>
      <c r="P1495" s="247" t="s">
        <v>1334</v>
      </c>
      <c r="Q1495" s="247" t="s">
        <v>86</v>
      </c>
    </row>
    <row r="1496" spans="1:17" x14ac:dyDescent="0.25">
      <c r="A1496" s="247" t="s">
        <v>646</v>
      </c>
      <c r="B1496" s="247" t="s">
        <v>265</v>
      </c>
      <c r="C1496" s="247" t="s">
        <v>1283</v>
      </c>
      <c r="D1496" s="247" t="s">
        <v>711</v>
      </c>
      <c r="E1496" s="247" t="s">
        <v>755</v>
      </c>
      <c r="F1496" s="247" t="s">
        <v>2040</v>
      </c>
      <c r="G1496" s="247" t="s">
        <v>1285</v>
      </c>
      <c r="H1496" s="247" t="s">
        <v>402</v>
      </c>
      <c r="I1496" s="247" t="s">
        <v>2041</v>
      </c>
      <c r="J1496" s="247">
        <v>26</v>
      </c>
      <c r="K1496" s="247">
        <v>26</v>
      </c>
      <c r="L1496" s="249" t="s">
        <v>646</v>
      </c>
      <c r="M1496" s="249" t="s">
        <v>933</v>
      </c>
      <c r="N1496" s="248">
        <v>7887.72</v>
      </c>
      <c r="O1496" s="248">
        <v>7887.72</v>
      </c>
      <c r="P1496" s="247" t="s">
        <v>1335</v>
      </c>
      <c r="Q1496" s="247" t="s">
        <v>84</v>
      </c>
    </row>
    <row r="1497" spans="1:17" x14ac:dyDescent="0.25">
      <c r="A1497" s="247" t="s">
        <v>646</v>
      </c>
      <c r="B1497" s="247" t="s">
        <v>265</v>
      </c>
      <c r="C1497" s="247" t="s">
        <v>1283</v>
      </c>
      <c r="D1497" s="247" t="s">
        <v>711</v>
      </c>
      <c r="E1497" s="247" t="s">
        <v>755</v>
      </c>
      <c r="F1497" s="247" t="s">
        <v>2040</v>
      </c>
      <c r="G1497" s="247" t="s">
        <v>1285</v>
      </c>
      <c r="H1497" s="247" t="s">
        <v>402</v>
      </c>
      <c r="I1497" s="247" t="s">
        <v>2041</v>
      </c>
      <c r="J1497" s="247">
        <v>26</v>
      </c>
      <c r="K1497" s="247">
        <v>26</v>
      </c>
      <c r="L1497" s="249" t="s">
        <v>650</v>
      </c>
      <c r="M1497" s="249" t="s">
        <v>933</v>
      </c>
      <c r="N1497" s="248">
        <v>5337.25</v>
      </c>
      <c r="O1497" s="248">
        <v>13224.97</v>
      </c>
      <c r="P1497" s="247" t="s">
        <v>1335</v>
      </c>
      <c r="Q1497" s="247" t="s">
        <v>85</v>
      </c>
    </row>
    <row r="1498" spans="1:17" x14ac:dyDescent="0.25">
      <c r="A1498" s="247" t="s">
        <v>646</v>
      </c>
      <c r="B1498" s="247" t="s">
        <v>265</v>
      </c>
      <c r="C1498" s="247" t="s">
        <v>1283</v>
      </c>
      <c r="D1498" s="247" t="s">
        <v>711</v>
      </c>
      <c r="E1498" s="247" t="s">
        <v>755</v>
      </c>
      <c r="F1498" s="247" t="s">
        <v>2040</v>
      </c>
      <c r="G1498" s="247" t="s">
        <v>1285</v>
      </c>
      <c r="H1498" s="247" t="s">
        <v>402</v>
      </c>
      <c r="I1498" s="247" t="s">
        <v>2041</v>
      </c>
      <c r="J1498" s="247">
        <v>26</v>
      </c>
      <c r="K1498" s="247">
        <v>26</v>
      </c>
      <c r="L1498" s="249" t="s">
        <v>652</v>
      </c>
      <c r="M1498" s="249" t="s">
        <v>933</v>
      </c>
      <c r="N1498" s="248">
        <v>5486.82</v>
      </c>
      <c r="O1498" s="248">
        <v>18711.79</v>
      </c>
      <c r="P1498" s="247" t="s">
        <v>1335</v>
      </c>
      <c r="Q1498" s="247" t="s">
        <v>86</v>
      </c>
    </row>
    <row r="1499" spans="1:17" x14ac:dyDescent="0.25">
      <c r="A1499" s="247" t="s">
        <v>646</v>
      </c>
      <c r="B1499" s="247" t="s">
        <v>265</v>
      </c>
      <c r="C1499" s="247" t="s">
        <v>1283</v>
      </c>
      <c r="D1499" s="247" t="s">
        <v>711</v>
      </c>
      <c r="E1499" s="247" t="s">
        <v>755</v>
      </c>
      <c r="F1499" s="247" t="s">
        <v>2040</v>
      </c>
      <c r="G1499" s="247" t="s">
        <v>1285</v>
      </c>
      <c r="H1499" s="247" t="s">
        <v>402</v>
      </c>
      <c r="I1499" s="247" t="s">
        <v>2041</v>
      </c>
      <c r="J1499" s="247">
        <v>26</v>
      </c>
      <c r="K1499" s="247">
        <v>26</v>
      </c>
      <c r="L1499" s="249" t="s">
        <v>789</v>
      </c>
      <c r="M1499" s="249" t="s">
        <v>929</v>
      </c>
      <c r="N1499" s="248">
        <v>6152.6</v>
      </c>
      <c r="O1499" s="248">
        <v>6152.6</v>
      </c>
      <c r="P1499" s="247" t="s">
        <v>1335</v>
      </c>
      <c r="Q1499" s="247" t="s">
        <v>87</v>
      </c>
    </row>
    <row r="1500" spans="1:17" x14ac:dyDescent="0.25">
      <c r="A1500" s="247" t="s">
        <v>646</v>
      </c>
      <c r="B1500" s="247" t="s">
        <v>265</v>
      </c>
      <c r="C1500" s="247" t="s">
        <v>1283</v>
      </c>
      <c r="D1500" s="247" t="s">
        <v>711</v>
      </c>
      <c r="E1500" s="247" t="s">
        <v>755</v>
      </c>
      <c r="F1500" s="247" t="s">
        <v>2040</v>
      </c>
      <c r="G1500" s="247" t="s">
        <v>1285</v>
      </c>
      <c r="H1500" s="247" t="s">
        <v>402</v>
      </c>
      <c r="I1500" s="247" t="s">
        <v>2041</v>
      </c>
      <c r="J1500" s="247">
        <v>26</v>
      </c>
      <c r="K1500" s="247">
        <v>26</v>
      </c>
      <c r="L1500" s="249" t="s">
        <v>791</v>
      </c>
      <c r="M1500" s="249" t="s">
        <v>929</v>
      </c>
      <c r="N1500" s="248">
        <v>5780.63</v>
      </c>
      <c r="O1500" s="248">
        <v>11933.23</v>
      </c>
      <c r="P1500" s="247" t="s">
        <v>1335</v>
      </c>
      <c r="Q1500" s="247" t="s">
        <v>88</v>
      </c>
    </row>
    <row r="1501" spans="1:17" x14ac:dyDescent="0.25">
      <c r="A1501" s="247" t="s">
        <v>646</v>
      </c>
      <c r="B1501" s="247" t="s">
        <v>265</v>
      </c>
      <c r="C1501" s="247" t="s">
        <v>1283</v>
      </c>
      <c r="D1501" s="247" t="s">
        <v>711</v>
      </c>
      <c r="E1501" s="247" t="s">
        <v>755</v>
      </c>
      <c r="F1501" s="247" t="s">
        <v>2040</v>
      </c>
      <c r="G1501" s="247" t="s">
        <v>1285</v>
      </c>
      <c r="H1501" s="247" t="s">
        <v>402</v>
      </c>
      <c r="I1501" s="247" t="s">
        <v>2041</v>
      </c>
      <c r="J1501" s="247">
        <v>26</v>
      </c>
      <c r="K1501" s="247">
        <v>26</v>
      </c>
      <c r="L1501" s="249" t="s">
        <v>935</v>
      </c>
      <c r="M1501" s="249" t="s">
        <v>929</v>
      </c>
      <c r="N1501" s="248">
        <v>6538.57</v>
      </c>
      <c r="O1501" s="248">
        <v>18471.8</v>
      </c>
      <c r="P1501" s="247" t="s">
        <v>1335</v>
      </c>
      <c r="Q1501" s="247" t="s">
        <v>89</v>
      </c>
    </row>
    <row r="1502" spans="1:17" x14ac:dyDescent="0.25">
      <c r="A1502" s="247" t="s">
        <v>646</v>
      </c>
      <c r="B1502" s="247" t="s">
        <v>265</v>
      </c>
      <c r="C1502" s="247" t="s">
        <v>1283</v>
      </c>
      <c r="D1502" s="247" t="s">
        <v>711</v>
      </c>
      <c r="E1502" s="247" t="s">
        <v>755</v>
      </c>
      <c r="F1502" s="247" t="s">
        <v>2040</v>
      </c>
      <c r="G1502" s="247" t="s">
        <v>1285</v>
      </c>
      <c r="H1502" s="247" t="s">
        <v>402</v>
      </c>
      <c r="I1502" s="247" t="s">
        <v>2041</v>
      </c>
      <c r="J1502" s="247">
        <v>26</v>
      </c>
      <c r="K1502" s="247">
        <v>26</v>
      </c>
      <c r="L1502" s="249" t="s">
        <v>936</v>
      </c>
      <c r="M1502" s="249" t="s">
        <v>929</v>
      </c>
      <c r="N1502" s="248">
        <v>5054.49</v>
      </c>
      <c r="O1502" s="248">
        <v>23526.29</v>
      </c>
      <c r="P1502" s="247" t="s">
        <v>1335</v>
      </c>
      <c r="Q1502" s="247" t="s">
        <v>90</v>
      </c>
    </row>
    <row r="1503" spans="1:17" x14ac:dyDescent="0.25">
      <c r="A1503" s="247" t="s">
        <v>646</v>
      </c>
      <c r="B1503" s="247" t="s">
        <v>265</v>
      </c>
      <c r="C1503" s="247" t="s">
        <v>1283</v>
      </c>
      <c r="D1503" s="247" t="s">
        <v>711</v>
      </c>
      <c r="E1503" s="247" t="s">
        <v>755</v>
      </c>
      <c r="F1503" s="247" t="s">
        <v>2040</v>
      </c>
      <c r="G1503" s="247" t="s">
        <v>1285</v>
      </c>
      <c r="H1503" s="247" t="s">
        <v>402</v>
      </c>
      <c r="I1503" s="247" t="s">
        <v>2041</v>
      </c>
      <c r="J1503" s="247">
        <v>26</v>
      </c>
      <c r="K1503" s="247">
        <v>26</v>
      </c>
      <c r="L1503" s="249" t="s">
        <v>937</v>
      </c>
      <c r="M1503" s="249" t="s">
        <v>929</v>
      </c>
      <c r="N1503" s="248">
        <v>6460.66</v>
      </c>
      <c r="O1503" s="248">
        <v>29986.95</v>
      </c>
      <c r="P1503" s="247" t="s">
        <v>1335</v>
      </c>
      <c r="Q1503" s="247" t="s">
        <v>91</v>
      </c>
    </row>
    <row r="1504" spans="1:17" x14ac:dyDescent="0.25">
      <c r="A1504" s="247" t="s">
        <v>646</v>
      </c>
      <c r="B1504" s="247" t="s">
        <v>265</v>
      </c>
      <c r="C1504" s="247" t="s">
        <v>1283</v>
      </c>
      <c r="D1504" s="247" t="s">
        <v>711</v>
      </c>
      <c r="E1504" s="247" t="s">
        <v>755</v>
      </c>
      <c r="F1504" s="247" t="s">
        <v>2040</v>
      </c>
      <c r="G1504" s="247" t="s">
        <v>1285</v>
      </c>
      <c r="H1504" s="247" t="s">
        <v>402</v>
      </c>
      <c r="I1504" s="247" t="s">
        <v>2041</v>
      </c>
      <c r="J1504" s="247">
        <v>26</v>
      </c>
      <c r="K1504" s="247">
        <v>26</v>
      </c>
      <c r="L1504" s="249" t="s">
        <v>938</v>
      </c>
      <c r="M1504" s="249" t="s">
        <v>929</v>
      </c>
      <c r="N1504" s="248">
        <v>6509.06</v>
      </c>
      <c r="O1504" s="248">
        <v>36496.01</v>
      </c>
      <c r="P1504" s="247" t="s">
        <v>1335</v>
      </c>
      <c r="Q1504" s="247" t="s">
        <v>92</v>
      </c>
    </row>
    <row r="1505" spans="1:17" x14ac:dyDescent="0.25">
      <c r="A1505" s="247" t="s">
        <v>646</v>
      </c>
      <c r="B1505" s="247" t="s">
        <v>265</v>
      </c>
      <c r="C1505" s="247" t="s">
        <v>1283</v>
      </c>
      <c r="D1505" s="247" t="s">
        <v>711</v>
      </c>
      <c r="E1505" s="247" t="s">
        <v>755</v>
      </c>
      <c r="F1505" s="247" t="s">
        <v>2040</v>
      </c>
      <c r="G1505" s="247" t="s">
        <v>1285</v>
      </c>
      <c r="H1505" s="247" t="s">
        <v>402</v>
      </c>
      <c r="I1505" s="247" t="s">
        <v>2041</v>
      </c>
      <c r="J1505" s="247">
        <v>26</v>
      </c>
      <c r="K1505" s="247">
        <v>26</v>
      </c>
      <c r="L1505" s="249" t="s">
        <v>939</v>
      </c>
      <c r="M1505" s="249" t="s">
        <v>929</v>
      </c>
      <c r="N1505" s="248">
        <v>6131.25</v>
      </c>
      <c r="O1505" s="248">
        <v>42627.26</v>
      </c>
      <c r="P1505" s="247" t="s">
        <v>1335</v>
      </c>
      <c r="Q1505" s="247" t="s">
        <v>93</v>
      </c>
    </row>
    <row r="1506" spans="1:17" x14ac:dyDescent="0.25">
      <c r="A1506" s="247" t="s">
        <v>646</v>
      </c>
      <c r="B1506" s="247" t="s">
        <v>265</v>
      </c>
      <c r="C1506" s="247" t="s">
        <v>1283</v>
      </c>
      <c r="D1506" s="247" t="s">
        <v>711</v>
      </c>
      <c r="E1506" s="247" t="s">
        <v>755</v>
      </c>
      <c r="F1506" s="247" t="s">
        <v>2040</v>
      </c>
      <c r="G1506" s="247" t="s">
        <v>1285</v>
      </c>
      <c r="H1506" s="247" t="s">
        <v>402</v>
      </c>
      <c r="I1506" s="247" t="s">
        <v>2041</v>
      </c>
      <c r="J1506" s="247">
        <v>26</v>
      </c>
      <c r="K1506" s="247">
        <v>26</v>
      </c>
      <c r="L1506" s="249" t="s">
        <v>940</v>
      </c>
      <c r="M1506" s="249" t="s">
        <v>929</v>
      </c>
      <c r="N1506" s="248">
        <v>6851.69</v>
      </c>
      <c r="O1506" s="248">
        <v>49478.95</v>
      </c>
      <c r="P1506" s="247" t="s">
        <v>1335</v>
      </c>
      <c r="Q1506" s="247" t="s">
        <v>94</v>
      </c>
    </row>
    <row r="1507" spans="1:17" x14ac:dyDescent="0.25">
      <c r="A1507" s="247" t="s">
        <v>646</v>
      </c>
      <c r="B1507" s="247" t="s">
        <v>265</v>
      </c>
      <c r="C1507" s="247" t="s">
        <v>1283</v>
      </c>
      <c r="D1507" s="247" t="s">
        <v>711</v>
      </c>
      <c r="E1507" s="247" t="s">
        <v>755</v>
      </c>
      <c r="F1507" s="247" t="s">
        <v>2040</v>
      </c>
      <c r="G1507" s="247" t="s">
        <v>1285</v>
      </c>
      <c r="H1507" s="247" t="s">
        <v>402</v>
      </c>
      <c r="I1507" s="247" t="s">
        <v>2041</v>
      </c>
      <c r="J1507" s="247">
        <v>26</v>
      </c>
      <c r="K1507" s="247">
        <v>26</v>
      </c>
      <c r="L1507" s="249" t="s">
        <v>642</v>
      </c>
      <c r="M1507" s="249" t="s">
        <v>929</v>
      </c>
      <c r="N1507" s="248">
        <v>5292.97</v>
      </c>
      <c r="O1507" s="248">
        <v>54771.92</v>
      </c>
      <c r="P1507" s="247" t="s">
        <v>1335</v>
      </c>
      <c r="Q1507" s="247" t="s">
        <v>95</v>
      </c>
    </row>
    <row r="1508" spans="1:17" x14ac:dyDescent="0.25">
      <c r="A1508" s="247" t="s">
        <v>646</v>
      </c>
      <c r="B1508" s="247" t="s">
        <v>265</v>
      </c>
      <c r="C1508" s="247" t="s">
        <v>1283</v>
      </c>
      <c r="D1508" s="247" t="s">
        <v>569</v>
      </c>
      <c r="E1508" s="247" t="s">
        <v>755</v>
      </c>
      <c r="F1508" s="247" t="s">
        <v>2042</v>
      </c>
      <c r="G1508" s="247" t="s">
        <v>1287</v>
      </c>
      <c r="H1508" s="247" t="s">
        <v>402</v>
      </c>
      <c r="I1508" s="247" t="s">
        <v>2043</v>
      </c>
      <c r="J1508" s="247">
        <v>27</v>
      </c>
      <c r="K1508" s="247">
        <v>27</v>
      </c>
      <c r="L1508" s="249" t="s">
        <v>646</v>
      </c>
      <c r="M1508" s="249" t="s">
        <v>933</v>
      </c>
      <c r="N1508" s="248">
        <v>1046.19</v>
      </c>
      <c r="O1508" s="248">
        <v>1046.19</v>
      </c>
      <c r="P1508" s="247" t="s">
        <v>1336</v>
      </c>
      <c r="Q1508" s="247" t="s">
        <v>84</v>
      </c>
    </row>
    <row r="1509" spans="1:17" x14ac:dyDescent="0.25">
      <c r="A1509" s="247" t="s">
        <v>646</v>
      </c>
      <c r="B1509" s="247" t="s">
        <v>265</v>
      </c>
      <c r="C1509" s="247" t="s">
        <v>1283</v>
      </c>
      <c r="D1509" s="247" t="s">
        <v>569</v>
      </c>
      <c r="E1509" s="247" t="s">
        <v>755</v>
      </c>
      <c r="F1509" s="247" t="s">
        <v>2042</v>
      </c>
      <c r="G1509" s="247" t="s">
        <v>1287</v>
      </c>
      <c r="H1509" s="247" t="s">
        <v>402</v>
      </c>
      <c r="I1509" s="247" t="s">
        <v>2043</v>
      </c>
      <c r="J1509" s="247">
        <v>27</v>
      </c>
      <c r="K1509" s="247">
        <v>27</v>
      </c>
      <c r="L1509" s="249" t="s">
        <v>650</v>
      </c>
      <c r="M1509" s="249" t="s">
        <v>933</v>
      </c>
      <c r="N1509" s="248">
        <v>361.1</v>
      </c>
      <c r="O1509" s="248">
        <v>1407.29</v>
      </c>
      <c r="P1509" s="247" t="s">
        <v>1336</v>
      </c>
      <c r="Q1509" s="247" t="s">
        <v>85</v>
      </c>
    </row>
    <row r="1510" spans="1:17" x14ac:dyDescent="0.25">
      <c r="A1510" s="247" t="s">
        <v>646</v>
      </c>
      <c r="B1510" s="247" t="s">
        <v>265</v>
      </c>
      <c r="C1510" s="247" t="s">
        <v>1283</v>
      </c>
      <c r="D1510" s="247" t="s">
        <v>569</v>
      </c>
      <c r="E1510" s="247" t="s">
        <v>755</v>
      </c>
      <c r="F1510" s="247" t="s">
        <v>2042</v>
      </c>
      <c r="G1510" s="247" t="s">
        <v>1287</v>
      </c>
      <c r="H1510" s="247" t="s">
        <v>402</v>
      </c>
      <c r="I1510" s="247" t="s">
        <v>2043</v>
      </c>
      <c r="J1510" s="247">
        <v>27</v>
      </c>
      <c r="K1510" s="247">
        <v>27</v>
      </c>
      <c r="L1510" s="249" t="s">
        <v>652</v>
      </c>
      <c r="M1510" s="249" t="s">
        <v>933</v>
      </c>
      <c r="N1510" s="248">
        <v>202.05</v>
      </c>
      <c r="O1510" s="248">
        <v>1609.34</v>
      </c>
      <c r="P1510" s="247" t="s">
        <v>1336</v>
      </c>
      <c r="Q1510" s="247" t="s">
        <v>86</v>
      </c>
    </row>
    <row r="1511" spans="1:17" x14ac:dyDescent="0.25">
      <c r="A1511" s="247" t="s">
        <v>646</v>
      </c>
      <c r="B1511" s="247" t="s">
        <v>265</v>
      </c>
      <c r="C1511" s="247" t="s">
        <v>1283</v>
      </c>
      <c r="D1511" s="247" t="s">
        <v>569</v>
      </c>
      <c r="E1511" s="247" t="s">
        <v>755</v>
      </c>
      <c r="F1511" s="247" t="s">
        <v>2042</v>
      </c>
      <c r="G1511" s="247" t="s">
        <v>1287</v>
      </c>
      <c r="H1511" s="247" t="s">
        <v>402</v>
      </c>
      <c r="I1511" s="247" t="s">
        <v>2043</v>
      </c>
      <c r="J1511" s="247">
        <v>27</v>
      </c>
      <c r="K1511" s="247">
        <v>27</v>
      </c>
      <c r="L1511" s="249" t="s">
        <v>789</v>
      </c>
      <c r="M1511" s="249" t="s">
        <v>929</v>
      </c>
      <c r="N1511" s="248">
        <v>301.98</v>
      </c>
      <c r="O1511" s="248">
        <v>301.98</v>
      </c>
      <c r="P1511" s="247" t="s">
        <v>1336</v>
      </c>
      <c r="Q1511" s="247" t="s">
        <v>87</v>
      </c>
    </row>
    <row r="1512" spans="1:17" x14ac:dyDescent="0.25">
      <c r="A1512" s="247" t="s">
        <v>646</v>
      </c>
      <c r="B1512" s="247" t="s">
        <v>265</v>
      </c>
      <c r="C1512" s="247" t="s">
        <v>1283</v>
      </c>
      <c r="D1512" s="247" t="s">
        <v>569</v>
      </c>
      <c r="E1512" s="247" t="s">
        <v>755</v>
      </c>
      <c r="F1512" s="247" t="s">
        <v>2042</v>
      </c>
      <c r="G1512" s="247" t="s">
        <v>1287</v>
      </c>
      <c r="H1512" s="247" t="s">
        <v>402</v>
      </c>
      <c r="I1512" s="247" t="s">
        <v>2043</v>
      </c>
      <c r="J1512" s="247">
        <v>27</v>
      </c>
      <c r="K1512" s="247">
        <v>27</v>
      </c>
      <c r="L1512" s="249" t="s">
        <v>791</v>
      </c>
      <c r="M1512" s="249" t="s">
        <v>929</v>
      </c>
      <c r="N1512" s="248">
        <v>117.19</v>
      </c>
      <c r="O1512" s="248">
        <v>419.17</v>
      </c>
      <c r="P1512" s="247" t="s">
        <v>1336</v>
      </c>
      <c r="Q1512" s="247" t="s">
        <v>88</v>
      </c>
    </row>
    <row r="1513" spans="1:17" x14ac:dyDescent="0.25">
      <c r="A1513" s="247" t="s">
        <v>646</v>
      </c>
      <c r="B1513" s="247" t="s">
        <v>265</v>
      </c>
      <c r="C1513" s="247" t="s">
        <v>1283</v>
      </c>
      <c r="D1513" s="247" t="s">
        <v>569</v>
      </c>
      <c r="E1513" s="247" t="s">
        <v>755</v>
      </c>
      <c r="F1513" s="247" t="s">
        <v>2042</v>
      </c>
      <c r="G1513" s="247" t="s">
        <v>1287</v>
      </c>
      <c r="H1513" s="247" t="s">
        <v>402</v>
      </c>
      <c r="I1513" s="247" t="s">
        <v>2043</v>
      </c>
      <c r="J1513" s="247">
        <v>27</v>
      </c>
      <c r="K1513" s="247">
        <v>27</v>
      </c>
      <c r="L1513" s="249" t="s">
        <v>935</v>
      </c>
      <c r="M1513" s="249" t="s">
        <v>929</v>
      </c>
      <c r="N1513" s="248">
        <v>450.28</v>
      </c>
      <c r="O1513" s="248">
        <v>869.45</v>
      </c>
      <c r="P1513" s="247" t="s">
        <v>1336</v>
      </c>
      <c r="Q1513" s="247" t="s">
        <v>89</v>
      </c>
    </row>
    <row r="1514" spans="1:17" x14ac:dyDescent="0.25">
      <c r="A1514" s="247" t="s">
        <v>646</v>
      </c>
      <c r="B1514" s="247" t="s">
        <v>265</v>
      </c>
      <c r="C1514" s="247" t="s">
        <v>1283</v>
      </c>
      <c r="D1514" s="247" t="s">
        <v>569</v>
      </c>
      <c r="E1514" s="247" t="s">
        <v>755</v>
      </c>
      <c r="F1514" s="247" t="s">
        <v>2042</v>
      </c>
      <c r="G1514" s="247" t="s">
        <v>1287</v>
      </c>
      <c r="H1514" s="247" t="s">
        <v>402</v>
      </c>
      <c r="I1514" s="247" t="s">
        <v>2043</v>
      </c>
      <c r="J1514" s="247">
        <v>27</v>
      </c>
      <c r="K1514" s="247">
        <v>27</v>
      </c>
      <c r="L1514" s="249" t="s">
        <v>936</v>
      </c>
      <c r="M1514" s="249" t="s">
        <v>929</v>
      </c>
      <c r="N1514" s="248">
        <v>3026.14</v>
      </c>
      <c r="O1514" s="248">
        <v>3895.59</v>
      </c>
      <c r="P1514" s="247" t="s">
        <v>1336</v>
      </c>
      <c r="Q1514" s="247" t="s">
        <v>90</v>
      </c>
    </row>
    <row r="1515" spans="1:17" x14ac:dyDescent="0.25">
      <c r="A1515" s="247" t="s">
        <v>646</v>
      </c>
      <c r="B1515" s="247" t="s">
        <v>265</v>
      </c>
      <c r="C1515" s="247" t="s">
        <v>1283</v>
      </c>
      <c r="D1515" s="247" t="s">
        <v>569</v>
      </c>
      <c r="E1515" s="247" t="s">
        <v>755</v>
      </c>
      <c r="F1515" s="247" t="s">
        <v>2042</v>
      </c>
      <c r="G1515" s="247" t="s">
        <v>1287</v>
      </c>
      <c r="H1515" s="247" t="s">
        <v>402</v>
      </c>
      <c r="I1515" s="247" t="s">
        <v>2043</v>
      </c>
      <c r="J1515" s="247">
        <v>27</v>
      </c>
      <c r="K1515" s="247">
        <v>27</v>
      </c>
      <c r="L1515" s="249" t="s">
        <v>937</v>
      </c>
      <c r="M1515" s="249" t="s">
        <v>929</v>
      </c>
      <c r="N1515" s="248">
        <v>1325.89</v>
      </c>
      <c r="O1515" s="248">
        <v>5221.4799999999996</v>
      </c>
      <c r="P1515" s="247" t="s">
        <v>1336</v>
      </c>
      <c r="Q1515" s="247" t="s">
        <v>91</v>
      </c>
    </row>
    <row r="1516" spans="1:17" x14ac:dyDescent="0.25">
      <c r="A1516" s="247" t="s">
        <v>646</v>
      </c>
      <c r="B1516" s="247" t="s">
        <v>265</v>
      </c>
      <c r="C1516" s="247" t="s">
        <v>1283</v>
      </c>
      <c r="D1516" s="247" t="s">
        <v>569</v>
      </c>
      <c r="E1516" s="247" t="s">
        <v>755</v>
      </c>
      <c r="F1516" s="247" t="s">
        <v>2042</v>
      </c>
      <c r="G1516" s="247" t="s">
        <v>1287</v>
      </c>
      <c r="H1516" s="247" t="s">
        <v>402</v>
      </c>
      <c r="I1516" s="247" t="s">
        <v>2043</v>
      </c>
      <c r="J1516" s="247">
        <v>27</v>
      </c>
      <c r="K1516" s="247">
        <v>27</v>
      </c>
      <c r="L1516" s="249" t="s">
        <v>938</v>
      </c>
      <c r="M1516" s="249" t="s">
        <v>929</v>
      </c>
      <c r="N1516" s="248">
        <v>991.33</v>
      </c>
      <c r="O1516" s="248">
        <v>6212.81</v>
      </c>
      <c r="P1516" s="247" t="s">
        <v>1336</v>
      </c>
      <c r="Q1516" s="247" t="s">
        <v>92</v>
      </c>
    </row>
    <row r="1517" spans="1:17" x14ac:dyDescent="0.25">
      <c r="A1517" s="247" t="s">
        <v>646</v>
      </c>
      <c r="B1517" s="247" t="s">
        <v>265</v>
      </c>
      <c r="C1517" s="247" t="s">
        <v>1283</v>
      </c>
      <c r="D1517" s="247" t="s">
        <v>569</v>
      </c>
      <c r="E1517" s="247" t="s">
        <v>755</v>
      </c>
      <c r="F1517" s="247" t="s">
        <v>2042</v>
      </c>
      <c r="G1517" s="247" t="s">
        <v>1287</v>
      </c>
      <c r="H1517" s="247" t="s">
        <v>402</v>
      </c>
      <c r="I1517" s="247" t="s">
        <v>2043</v>
      </c>
      <c r="J1517" s="247">
        <v>27</v>
      </c>
      <c r="K1517" s="247">
        <v>27</v>
      </c>
      <c r="L1517" s="249" t="s">
        <v>939</v>
      </c>
      <c r="M1517" s="249" t="s">
        <v>929</v>
      </c>
      <c r="N1517" s="248">
        <v>1223.46</v>
      </c>
      <c r="O1517" s="248">
        <v>7436.27</v>
      </c>
      <c r="P1517" s="247" t="s">
        <v>1336</v>
      </c>
      <c r="Q1517" s="247" t="s">
        <v>93</v>
      </c>
    </row>
    <row r="1518" spans="1:17" x14ac:dyDescent="0.25">
      <c r="A1518" s="247" t="s">
        <v>646</v>
      </c>
      <c r="B1518" s="247" t="s">
        <v>265</v>
      </c>
      <c r="C1518" s="247" t="s">
        <v>1283</v>
      </c>
      <c r="D1518" s="247" t="s">
        <v>569</v>
      </c>
      <c r="E1518" s="247" t="s">
        <v>755</v>
      </c>
      <c r="F1518" s="247" t="s">
        <v>2042</v>
      </c>
      <c r="G1518" s="247" t="s">
        <v>1287</v>
      </c>
      <c r="H1518" s="247" t="s">
        <v>402</v>
      </c>
      <c r="I1518" s="247" t="s">
        <v>2043</v>
      </c>
      <c r="J1518" s="247">
        <v>27</v>
      </c>
      <c r="K1518" s="247">
        <v>27</v>
      </c>
      <c r="L1518" s="249" t="s">
        <v>940</v>
      </c>
      <c r="M1518" s="249" t="s">
        <v>929</v>
      </c>
      <c r="N1518" s="248">
        <v>1114.5</v>
      </c>
      <c r="O1518" s="248">
        <v>8550.77</v>
      </c>
      <c r="P1518" s="247" t="s">
        <v>1336</v>
      </c>
      <c r="Q1518" s="247" t="s">
        <v>94</v>
      </c>
    </row>
    <row r="1519" spans="1:17" x14ac:dyDescent="0.25">
      <c r="A1519" s="247" t="s">
        <v>646</v>
      </c>
      <c r="B1519" s="247" t="s">
        <v>265</v>
      </c>
      <c r="C1519" s="247" t="s">
        <v>1283</v>
      </c>
      <c r="D1519" s="247" t="s">
        <v>569</v>
      </c>
      <c r="E1519" s="247" t="s">
        <v>755</v>
      </c>
      <c r="F1519" s="247" t="s">
        <v>2042</v>
      </c>
      <c r="G1519" s="247" t="s">
        <v>1287</v>
      </c>
      <c r="H1519" s="247" t="s">
        <v>402</v>
      </c>
      <c r="I1519" s="247" t="s">
        <v>2043</v>
      </c>
      <c r="J1519" s="247">
        <v>27</v>
      </c>
      <c r="K1519" s="247">
        <v>27</v>
      </c>
      <c r="L1519" s="249" t="s">
        <v>642</v>
      </c>
      <c r="M1519" s="249" t="s">
        <v>929</v>
      </c>
      <c r="N1519" s="248">
        <v>919.31</v>
      </c>
      <c r="O1519" s="248">
        <v>9470.08</v>
      </c>
      <c r="P1519" s="247" t="s">
        <v>1336</v>
      </c>
      <c r="Q1519" s="247" t="s">
        <v>95</v>
      </c>
    </row>
    <row r="1520" spans="1:17" x14ac:dyDescent="0.25">
      <c r="A1520" s="247" t="s">
        <v>646</v>
      </c>
      <c r="B1520" s="247" t="s">
        <v>265</v>
      </c>
      <c r="C1520" s="247" t="s">
        <v>1283</v>
      </c>
      <c r="D1520" s="247" t="s">
        <v>711</v>
      </c>
      <c r="E1520" s="247" t="s">
        <v>569</v>
      </c>
      <c r="F1520" s="247" t="s">
        <v>2044</v>
      </c>
      <c r="G1520" s="247" t="s">
        <v>1285</v>
      </c>
      <c r="H1520" s="247" t="s">
        <v>397</v>
      </c>
      <c r="I1520" s="247" t="s">
        <v>2045</v>
      </c>
      <c r="J1520" s="247">
        <v>26</v>
      </c>
      <c r="K1520" s="247">
        <v>26</v>
      </c>
      <c r="L1520" s="249" t="s">
        <v>646</v>
      </c>
      <c r="M1520" s="249" t="s">
        <v>933</v>
      </c>
      <c r="N1520" s="248">
        <v>24361.52</v>
      </c>
      <c r="O1520" s="248">
        <v>24361.52</v>
      </c>
      <c r="P1520" s="247" t="s">
        <v>1337</v>
      </c>
      <c r="Q1520" s="247" t="s">
        <v>84</v>
      </c>
    </row>
    <row r="1521" spans="1:17" x14ac:dyDescent="0.25">
      <c r="A1521" s="247" t="s">
        <v>646</v>
      </c>
      <c r="B1521" s="247" t="s">
        <v>265</v>
      </c>
      <c r="C1521" s="247" t="s">
        <v>1283</v>
      </c>
      <c r="D1521" s="247" t="s">
        <v>711</v>
      </c>
      <c r="E1521" s="247" t="s">
        <v>569</v>
      </c>
      <c r="F1521" s="247" t="s">
        <v>2044</v>
      </c>
      <c r="G1521" s="247" t="s">
        <v>1285</v>
      </c>
      <c r="H1521" s="247" t="s">
        <v>397</v>
      </c>
      <c r="I1521" s="247" t="s">
        <v>2045</v>
      </c>
      <c r="J1521" s="247">
        <v>26</v>
      </c>
      <c r="K1521" s="247">
        <v>26</v>
      </c>
      <c r="L1521" s="249" t="s">
        <v>650</v>
      </c>
      <c r="M1521" s="249" t="s">
        <v>933</v>
      </c>
      <c r="N1521" s="248">
        <v>14966.8</v>
      </c>
      <c r="O1521" s="248">
        <v>39328.32</v>
      </c>
      <c r="P1521" s="247" t="s">
        <v>1337</v>
      </c>
      <c r="Q1521" s="247" t="s">
        <v>85</v>
      </c>
    </row>
    <row r="1522" spans="1:17" x14ac:dyDescent="0.25">
      <c r="A1522" s="247" t="s">
        <v>646</v>
      </c>
      <c r="B1522" s="247" t="s">
        <v>265</v>
      </c>
      <c r="C1522" s="247" t="s">
        <v>1283</v>
      </c>
      <c r="D1522" s="247" t="s">
        <v>711</v>
      </c>
      <c r="E1522" s="247" t="s">
        <v>569</v>
      </c>
      <c r="F1522" s="247" t="s">
        <v>2044</v>
      </c>
      <c r="G1522" s="247" t="s">
        <v>1285</v>
      </c>
      <c r="H1522" s="247" t="s">
        <v>397</v>
      </c>
      <c r="I1522" s="247" t="s">
        <v>2045</v>
      </c>
      <c r="J1522" s="247">
        <v>26</v>
      </c>
      <c r="K1522" s="247">
        <v>26</v>
      </c>
      <c r="L1522" s="249" t="s">
        <v>652</v>
      </c>
      <c r="M1522" s="249" t="s">
        <v>933</v>
      </c>
      <c r="N1522" s="248">
        <v>15273.52</v>
      </c>
      <c r="O1522" s="248">
        <v>54601.84</v>
      </c>
      <c r="P1522" s="247" t="s">
        <v>1337</v>
      </c>
      <c r="Q1522" s="247" t="s">
        <v>86</v>
      </c>
    </row>
    <row r="1523" spans="1:17" x14ac:dyDescent="0.25">
      <c r="A1523" s="247" t="s">
        <v>646</v>
      </c>
      <c r="B1523" s="247" t="s">
        <v>265</v>
      </c>
      <c r="C1523" s="247" t="s">
        <v>1283</v>
      </c>
      <c r="D1523" s="247" t="s">
        <v>711</v>
      </c>
      <c r="E1523" s="247" t="s">
        <v>569</v>
      </c>
      <c r="F1523" s="247" t="s">
        <v>2044</v>
      </c>
      <c r="G1523" s="247" t="s">
        <v>1285</v>
      </c>
      <c r="H1523" s="247" t="s">
        <v>397</v>
      </c>
      <c r="I1523" s="247" t="s">
        <v>2045</v>
      </c>
      <c r="J1523" s="247">
        <v>26</v>
      </c>
      <c r="K1523" s="247">
        <v>26</v>
      </c>
      <c r="L1523" s="249" t="s">
        <v>789</v>
      </c>
      <c r="M1523" s="249" t="s">
        <v>929</v>
      </c>
      <c r="N1523" s="248">
        <v>17071.89</v>
      </c>
      <c r="O1523" s="248">
        <v>17071.89</v>
      </c>
      <c r="P1523" s="247" t="s">
        <v>1337</v>
      </c>
      <c r="Q1523" s="247" t="s">
        <v>87</v>
      </c>
    </row>
    <row r="1524" spans="1:17" x14ac:dyDescent="0.25">
      <c r="A1524" s="247" t="s">
        <v>646</v>
      </c>
      <c r="B1524" s="247" t="s">
        <v>265</v>
      </c>
      <c r="C1524" s="247" t="s">
        <v>1283</v>
      </c>
      <c r="D1524" s="247" t="s">
        <v>711</v>
      </c>
      <c r="E1524" s="247" t="s">
        <v>569</v>
      </c>
      <c r="F1524" s="247" t="s">
        <v>2044</v>
      </c>
      <c r="G1524" s="247" t="s">
        <v>1285</v>
      </c>
      <c r="H1524" s="247" t="s">
        <v>397</v>
      </c>
      <c r="I1524" s="247" t="s">
        <v>2045</v>
      </c>
      <c r="J1524" s="247">
        <v>26</v>
      </c>
      <c r="K1524" s="247">
        <v>26</v>
      </c>
      <c r="L1524" s="249" t="s">
        <v>791</v>
      </c>
      <c r="M1524" s="249" t="s">
        <v>929</v>
      </c>
      <c r="N1524" s="248">
        <v>17034.39</v>
      </c>
      <c r="O1524" s="248">
        <v>34106.28</v>
      </c>
      <c r="P1524" s="247" t="s">
        <v>1337</v>
      </c>
      <c r="Q1524" s="247" t="s">
        <v>88</v>
      </c>
    </row>
    <row r="1525" spans="1:17" x14ac:dyDescent="0.25">
      <c r="A1525" s="247" t="s">
        <v>646</v>
      </c>
      <c r="B1525" s="247" t="s">
        <v>265</v>
      </c>
      <c r="C1525" s="247" t="s">
        <v>1283</v>
      </c>
      <c r="D1525" s="247" t="s">
        <v>711</v>
      </c>
      <c r="E1525" s="247" t="s">
        <v>569</v>
      </c>
      <c r="F1525" s="247" t="s">
        <v>2044</v>
      </c>
      <c r="G1525" s="247" t="s">
        <v>1285</v>
      </c>
      <c r="H1525" s="247" t="s">
        <v>397</v>
      </c>
      <c r="I1525" s="247" t="s">
        <v>2045</v>
      </c>
      <c r="J1525" s="247">
        <v>26</v>
      </c>
      <c r="K1525" s="247">
        <v>26</v>
      </c>
      <c r="L1525" s="249" t="s">
        <v>935</v>
      </c>
      <c r="M1525" s="249" t="s">
        <v>929</v>
      </c>
      <c r="N1525" s="248">
        <v>19919.48</v>
      </c>
      <c r="O1525" s="248">
        <v>54025.760000000002</v>
      </c>
      <c r="P1525" s="247" t="s">
        <v>1337</v>
      </c>
      <c r="Q1525" s="247" t="s">
        <v>89</v>
      </c>
    </row>
    <row r="1526" spans="1:17" x14ac:dyDescent="0.25">
      <c r="A1526" s="247" t="s">
        <v>646</v>
      </c>
      <c r="B1526" s="247" t="s">
        <v>265</v>
      </c>
      <c r="C1526" s="247" t="s">
        <v>1283</v>
      </c>
      <c r="D1526" s="247" t="s">
        <v>711</v>
      </c>
      <c r="E1526" s="247" t="s">
        <v>569</v>
      </c>
      <c r="F1526" s="247" t="s">
        <v>2044</v>
      </c>
      <c r="G1526" s="247" t="s">
        <v>1285</v>
      </c>
      <c r="H1526" s="247" t="s">
        <v>397</v>
      </c>
      <c r="I1526" s="247" t="s">
        <v>2045</v>
      </c>
      <c r="J1526" s="247">
        <v>26</v>
      </c>
      <c r="K1526" s="247">
        <v>26</v>
      </c>
      <c r="L1526" s="249" t="s">
        <v>936</v>
      </c>
      <c r="M1526" s="249" t="s">
        <v>929</v>
      </c>
      <c r="N1526" s="248">
        <v>16886.87</v>
      </c>
      <c r="O1526" s="248">
        <v>70912.63</v>
      </c>
      <c r="P1526" s="247" t="s">
        <v>1337</v>
      </c>
      <c r="Q1526" s="247" t="s">
        <v>90</v>
      </c>
    </row>
    <row r="1527" spans="1:17" x14ac:dyDescent="0.25">
      <c r="A1527" s="247" t="s">
        <v>646</v>
      </c>
      <c r="B1527" s="247" t="s">
        <v>265</v>
      </c>
      <c r="C1527" s="247" t="s">
        <v>1283</v>
      </c>
      <c r="D1527" s="247" t="s">
        <v>711</v>
      </c>
      <c r="E1527" s="247" t="s">
        <v>569</v>
      </c>
      <c r="F1527" s="247" t="s">
        <v>2044</v>
      </c>
      <c r="G1527" s="247" t="s">
        <v>1285</v>
      </c>
      <c r="H1527" s="247" t="s">
        <v>397</v>
      </c>
      <c r="I1527" s="247" t="s">
        <v>2045</v>
      </c>
      <c r="J1527" s="247">
        <v>26</v>
      </c>
      <c r="K1527" s="247">
        <v>26</v>
      </c>
      <c r="L1527" s="249" t="s">
        <v>937</v>
      </c>
      <c r="M1527" s="249" t="s">
        <v>929</v>
      </c>
      <c r="N1527" s="248">
        <v>22092.9</v>
      </c>
      <c r="O1527" s="248">
        <v>93005.53</v>
      </c>
      <c r="P1527" s="247" t="s">
        <v>1337</v>
      </c>
      <c r="Q1527" s="247" t="s">
        <v>91</v>
      </c>
    </row>
    <row r="1528" spans="1:17" x14ac:dyDescent="0.25">
      <c r="A1528" s="247" t="s">
        <v>646</v>
      </c>
      <c r="B1528" s="247" t="s">
        <v>265</v>
      </c>
      <c r="C1528" s="247" t="s">
        <v>1283</v>
      </c>
      <c r="D1528" s="247" t="s">
        <v>711</v>
      </c>
      <c r="E1528" s="247" t="s">
        <v>569</v>
      </c>
      <c r="F1528" s="247" t="s">
        <v>2044</v>
      </c>
      <c r="G1528" s="247" t="s">
        <v>1285</v>
      </c>
      <c r="H1528" s="247" t="s">
        <v>397</v>
      </c>
      <c r="I1528" s="247" t="s">
        <v>2045</v>
      </c>
      <c r="J1528" s="247">
        <v>26</v>
      </c>
      <c r="K1528" s="247">
        <v>26</v>
      </c>
      <c r="L1528" s="249" t="s">
        <v>938</v>
      </c>
      <c r="M1528" s="249" t="s">
        <v>929</v>
      </c>
      <c r="N1528" s="248">
        <v>18596.46</v>
      </c>
      <c r="O1528" s="248">
        <v>111601.99</v>
      </c>
      <c r="P1528" s="247" t="s">
        <v>1337</v>
      </c>
      <c r="Q1528" s="247" t="s">
        <v>92</v>
      </c>
    </row>
    <row r="1529" spans="1:17" x14ac:dyDescent="0.25">
      <c r="A1529" s="247" t="s">
        <v>646</v>
      </c>
      <c r="B1529" s="247" t="s">
        <v>265</v>
      </c>
      <c r="C1529" s="247" t="s">
        <v>1283</v>
      </c>
      <c r="D1529" s="247" t="s">
        <v>711</v>
      </c>
      <c r="E1529" s="247" t="s">
        <v>569</v>
      </c>
      <c r="F1529" s="247" t="s">
        <v>2044</v>
      </c>
      <c r="G1529" s="247" t="s">
        <v>1285</v>
      </c>
      <c r="H1529" s="247" t="s">
        <v>397</v>
      </c>
      <c r="I1529" s="247" t="s">
        <v>2045</v>
      </c>
      <c r="J1529" s="247">
        <v>26</v>
      </c>
      <c r="K1529" s="247">
        <v>26</v>
      </c>
      <c r="L1529" s="249" t="s">
        <v>939</v>
      </c>
      <c r="M1529" s="249" t="s">
        <v>929</v>
      </c>
      <c r="N1529" s="248">
        <v>16845.14</v>
      </c>
      <c r="O1529" s="248">
        <v>128447.13</v>
      </c>
      <c r="P1529" s="247" t="s">
        <v>1337</v>
      </c>
      <c r="Q1529" s="247" t="s">
        <v>93</v>
      </c>
    </row>
    <row r="1530" spans="1:17" x14ac:dyDescent="0.25">
      <c r="A1530" s="247" t="s">
        <v>646</v>
      </c>
      <c r="B1530" s="247" t="s">
        <v>265</v>
      </c>
      <c r="C1530" s="247" t="s">
        <v>1283</v>
      </c>
      <c r="D1530" s="247" t="s">
        <v>711</v>
      </c>
      <c r="E1530" s="247" t="s">
        <v>569</v>
      </c>
      <c r="F1530" s="247" t="s">
        <v>2044</v>
      </c>
      <c r="G1530" s="247" t="s">
        <v>1285</v>
      </c>
      <c r="H1530" s="247" t="s">
        <v>397</v>
      </c>
      <c r="I1530" s="247" t="s">
        <v>2045</v>
      </c>
      <c r="J1530" s="247">
        <v>26</v>
      </c>
      <c r="K1530" s="247">
        <v>26</v>
      </c>
      <c r="L1530" s="249" t="s">
        <v>940</v>
      </c>
      <c r="M1530" s="249" t="s">
        <v>929</v>
      </c>
      <c r="N1530" s="248">
        <v>19724.84</v>
      </c>
      <c r="O1530" s="248">
        <v>148171.97</v>
      </c>
      <c r="P1530" s="247" t="s">
        <v>1337</v>
      </c>
      <c r="Q1530" s="247" t="s">
        <v>94</v>
      </c>
    </row>
    <row r="1531" spans="1:17" x14ac:dyDescent="0.25">
      <c r="A1531" s="247" t="s">
        <v>646</v>
      </c>
      <c r="B1531" s="247" t="s">
        <v>265</v>
      </c>
      <c r="C1531" s="247" t="s">
        <v>1283</v>
      </c>
      <c r="D1531" s="247" t="s">
        <v>711</v>
      </c>
      <c r="E1531" s="247" t="s">
        <v>569</v>
      </c>
      <c r="F1531" s="247" t="s">
        <v>2044</v>
      </c>
      <c r="G1531" s="247" t="s">
        <v>1285</v>
      </c>
      <c r="H1531" s="247" t="s">
        <v>397</v>
      </c>
      <c r="I1531" s="247" t="s">
        <v>2045</v>
      </c>
      <c r="J1531" s="247">
        <v>26</v>
      </c>
      <c r="K1531" s="247">
        <v>26</v>
      </c>
      <c r="L1531" s="249" t="s">
        <v>642</v>
      </c>
      <c r="M1531" s="249" t="s">
        <v>929</v>
      </c>
      <c r="N1531" s="248">
        <v>14887.13</v>
      </c>
      <c r="O1531" s="248">
        <v>163059.1</v>
      </c>
      <c r="P1531" s="247" t="s">
        <v>1337</v>
      </c>
      <c r="Q1531" s="247" t="s">
        <v>95</v>
      </c>
    </row>
    <row r="1532" spans="1:17" x14ac:dyDescent="0.25">
      <c r="A1532" s="247" t="s">
        <v>646</v>
      </c>
      <c r="B1532" s="247" t="s">
        <v>265</v>
      </c>
      <c r="C1532" s="247" t="s">
        <v>1283</v>
      </c>
      <c r="D1532" s="247" t="s">
        <v>569</v>
      </c>
      <c r="E1532" s="247" t="s">
        <v>569</v>
      </c>
      <c r="F1532" s="247" t="s">
        <v>2046</v>
      </c>
      <c r="G1532" s="247" t="s">
        <v>1287</v>
      </c>
      <c r="H1532" s="247" t="s">
        <v>397</v>
      </c>
      <c r="I1532" s="247" t="s">
        <v>2047</v>
      </c>
      <c r="J1532" s="247">
        <v>27</v>
      </c>
      <c r="K1532" s="247">
        <v>27</v>
      </c>
      <c r="L1532" s="249" t="s">
        <v>646</v>
      </c>
      <c r="M1532" s="249" t="s">
        <v>933</v>
      </c>
      <c r="N1532" s="248">
        <v>2435.6799999999998</v>
      </c>
      <c r="O1532" s="248">
        <v>2435.6799999999998</v>
      </c>
      <c r="P1532" s="247" t="s">
        <v>1338</v>
      </c>
      <c r="Q1532" s="247" t="s">
        <v>84</v>
      </c>
    </row>
    <row r="1533" spans="1:17" x14ac:dyDescent="0.25">
      <c r="A1533" s="247" t="s">
        <v>646</v>
      </c>
      <c r="B1533" s="247" t="s">
        <v>265</v>
      </c>
      <c r="C1533" s="247" t="s">
        <v>1283</v>
      </c>
      <c r="D1533" s="247" t="s">
        <v>569</v>
      </c>
      <c r="E1533" s="247" t="s">
        <v>569</v>
      </c>
      <c r="F1533" s="247" t="s">
        <v>2046</v>
      </c>
      <c r="G1533" s="247" t="s">
        <v>1287</v>
      </c>
      <c r="H1533" s="247" t="s">
        <v>397</v>
      </c>
      <c r="I1533" s="247" t="s">
        <v>2047</v>
      </c>
      <c r="J1533" s="247">
        <v>27</v>
      </c>
      <c r="K1533" s="247">
        <v>27</v>
      </c>
      <c r="L1533" s="249" t="s">
        <v>650</v>
      </c>
      <c r="M1533" s="249" t="s">
        <v>933</v>
      </c>
      <c r="N1533" s="248">
        <v>711.76</v>
      </c>
      <c r="O1533" s="248">
        <v>3147.44</v>
      </c>
      <c r="P1533" s="247" t="s">
        <v>1338</v>
      </c>
      <c r="Q1533" s="247" t="s">
        <v>85</v>
      </c>
    </row>
    <row r="1534" spans="1:17" x14ac:dyDescent="0.25">
      <c r="A1534" s="247" t="s">
        <v>646</v>
      </c>
      <c r="B1534" s="247" t="s">
        <v>265</v>
      </c>
      <c r="C1534" s="247" t="s">
        <v>1283</v>
      </c>
      <c r="D1534" s="247" t="s">
        <v>569</v>
      </c>
      <c r="E1534" s="247" t="s">
        <v>569</v>
      </c>
      <c r="F1534" s="247" t="s">
        <v>2046</v>
      </c>
      <c r="G1534" s="247" t="s">
        <v>1287</v>
      </c>
      <c r="H1534" s="247" t="s">
        <v>397</v>
      </c>
      <c r="I1534" s="247" t="s">
        <v>2047</v>
      </c>
      <c r="J1534" s="247">
        <v>27</v>
      </c>
      <c r="K1534" s="247">
        <v>27</v>
      </c>
      <c r="L1534" s="249" t="s">
        <v>652</v>
      </c>
      <c r="M1534" s="249" t="s">
        <v>933</v>
      </c>
      <c r="N1534" s="248">
        <v>1066.55</v>
      </c>
      <c r="O1534" s="248">
        <v>4213.99</v>
      </c>
      <c r="P1534" s="247" t="s">
        <v>1338</v>
      </c>
      <c r="Q1534" s="247" t="s">
        <v>86</v>
      </c>
    </row>
    <row r="1535" spans="1:17" x14ac:dyDescent="0.25">
      <c r="A1535" s="247" t="s">
        <v>646</v>
      </c>
      <c r="B1535" s="247" t="s">
        <v>265</v>
      </c>
      <c r="C1535" s="247" t="s">
        <v>1283</v>
      </c>
      <c r="D1535" s="247" t="s">
        <v>569</v>
      </c>
      <c r="E1535" s="247" t="s">
        <v>569</v>
      </c>
      <c r="F1535" s="247" t="s">
        <v>2046</v>
      </c>
      <c r="G1535" s="247" t="s">
        <v>1287</v>
      </c>
      <c r="H1535" s="247" t="s">
        <v>397</v>
      </c>
      <c r="I1535" s="247" t="s">
        <v>2047</v>
      </c>
      <c r="J1535" s="247">
        <v>27</v>
      </c>
      <c r="K1535" s="247">
        <v>27</v>
      </c>
      <c r="L1535" s="249" t="s">
        <v>789</v>
      </c>
      <c r="M1535" s="249" t="s">
        <v>929</v>
      </c>
      <c r="N1535" s="248">
        <v>1300.97</v>
      </c>
      <c r="O1535" s="248">
        <v>1300.97</v>
      </c>
      <c r="P1535" s="247" t="s">
        <v>1338</v>
      </c>
      <c r="Q1535" s="247" t="s">
        <v>87</v>
      </c>
    </row>
    <row r="1536" spans="1:17" x14ac:dyDescent="0.25">
      <c r="A1536" s="247" t="s">
        <v>646</v>
      </c>
      <c r="B1536" s="247" t="s">
        <v>265</v>
      </c>
      <c r="C1536" s="247" t="s">
        <v>1283</v>
      </c>
      <c r="D1536" s="247" t="s">
        <v>569</v>
      </c>
      <c r="E1536" s="247" t="s">
        <v>569</v>
      </c>
      <c r="F1536" s="247" t="s">
        <v>2046</v>
      </c>
      <c r="G1536" s="247" t="s">
        <v>1287</v>
      </c>
      <c r="H1536" s="247" t="s">
        <v>397</v>
      </c>
      <c r="I1536" s="247" t="s">
        <v>2047</v>
      </c>
      <c r="J1536" s="247">
        <v>27</v>
      </c>
      <c r="K1536" s="247">
        <v>27</v>
      </c>
      <c r="L1536" s="249" t="s">
        <v>791</v>
      </c>
      <c r="M1536" s="249" t="s">
        <v>929</v>
      </c>
      <c r="N1536" s="248">
        <v>588.98</v>
      </c>
      <c r="O1536" s="248">
        <v>1889.95</v>
      </c>
      <c r="P1536" s="247" t="s">
        <v>1338</v>
      </c>
      <c r="Q1536" s="247" t="s">
        <v>88</v>
      </c>
    </row>
    <row r="1537" spans="1:17" x14ac:dyDescent="0.25">
      <c r="A1537" s="247" t="s">
        <v>646</v>
      </c>
      <c r="B1537" s="247" t="s">
        <v>265</v>
      </c>
      <c r="C1537" s="247" t="s">
        <v>1283</v>
      </c>
      <c r="D1537" s="247" t="s">
        <v>569</v>
      </c>
      <c r="E1537" s="247" t="s">
        <v>569</v>
      </c>
      <c r="F1537" s="247" t="s">
        <v>2046</v>
      </c>
      <c r="G1537" s="247" t="s">
        <v>1287</v>
      </c>
      <c r="H1537" s="247" t="s">
        <v>397</v>
      </c>
      <c r="I1537" s="247" t="s">
        <v>2047</v>
      </c>
      <c r="J1537" s="247">
        <v>27</v>
      </c>
      <c r="K1537" s="247">
        <v>27</v>
      </c>
      <c r="L1537" s="249" t="s">
        <v>935</v>
      </c>
      <c r="M1537" s="249" t="s">
        <v>929</v>
      </c>
      <c r="N1537" s="248">
        <v>255.11</v>
      </c>
      <c r="O1537" s="248">
        <v>2145.06</v>
      </c>
      <c r="P1537" s="247" t="s">
        <v>1338</v>
      </c>
      <c r="Q1537" s="247" t="s">
        <v>89</v>
      </c>
    </row>
    <row r="1538" spans="1:17" x14ac:dyDescent="0.25">
      <c r="A1538" s="247" t="s">
        <v>646</v>
      </c>
      <c r="B1538" s="247" t="s">
        <v>265</v>
      </c>
      <c r="C1538" s="247" t="s">
        <v>1283</v>
      </c>
      <c r="D1538" s="247" t="s">
        <v>569</v>
      </c>
      <c r="E1538" s="247" t="s">
        <v>569</v>
      </c>
      <c r="F1538" s="247" t="s">
        <v>2046</v>
      </c>
      <c r="G1538" s="247" t="s">
        <v>1287</v>
      </c>
      <c r="H1538" s="247" t="s">
        <v>397</v>
      </c>
      <c r="I1538" s="247" t="s">
        <v>2047</v>
      </c>
      <c r="J1538" s="247">
        <v>27</v>
      </c>
      <c r="K1538" s="247">
        <v>27</v>
      </c>
      <c r="L1538" s="249" t="s">
        <v>936</v>
      </c>
      <c r="M1538" s="249" t="s">
        <v>929</v>
      </c>
      <c r="N1538" s="248">
        <v>2151.0300000000002</v>
      </c>
      <c r="O1538" s="248">
        <v>4296.09</v>
      </c>
      <c r="P1538" s="247" t="s">
        <v>1338</v>
      </c>
      <c r="Q1538" s="247" t="s">
        <v>90</v>
      </c>
    </row>
    <row r="1539" spans="1:17" x14ac:dyDescent="0.25">
      <c r="A1539" s="247" t="s">
        <v>646</v>
      </c>
      <c r="B1539" s="247" t="s">
        <v>265</v>
      </c>
      <c r="C1539" s="247" t="s">
        <v>1283</v>
      </c>
      <c r="D1539" s="247" t="s">
        <v>569</v>
      </c>
      <c r="E1539" s="247" t="s">
        <v>569</v>
      </c>
      <c r="F1539" s="247" t="s">
        <v>2046</v>
      </c>
      <c r="G1539" s="247" t="s">
        <v>1287</v>
      </c>
      <c r="H1539" s="247" t="s">
        <v>397</v>
      </c>
      <c r="I1539" s="247" t="s">
        <v>2047</v>
      </c>
      <c r="J1539" s="247">
        <v>27</v>
      </c>
      <c r="K1539" s="247">
        <v>27</v>
      </c>
      <c r="L1539" s="249" t="s">
        <v>937</v>
      </c>
      <c r="M1539" s="249" t="s">
        <v>929</v>
      </c>
      <c r="N1539" s="248">
        <v>722.28</v>
      </c>
      <c r="O1539" s="248">
        <v>5018.37</v>
      </c>
      <c r="P1539" s="247" t="s">
        <v>1338</v>
      </c>
      <c r="Q1539" s="247" t="s">
        <v>91</v>
      </c>
    </row>
    <row r="1540" spans="1:17" x14ac:dyDescent="0.25">
      <c r="A1540" s="247" t="s">
        <v>646</v>
      </c>
      <c r="B1540" s="247" t="s">
        <v>265</v>
      </c>
      <c r="C1540" s="247" t="s">
        <v>1283</v>
      </c>
      <c r="D1540" s="247" t="s">
        <v>569</v>
      </c>
      <c r="E1540" s="247" t="s">
        <v>569</v>
      </c>
      <c r="F1540" s="247" t="s">
        <v>2046</v>
      </c>
      <c r="G1540" s="247" t="s">
        <v>1287</v>
      </c>
      <c r="H1540" s="247" t="s">
        <v>397</v>
      </c>
      <c r="I1540" s="247" t="s">
        <v>2047</v>
      </c>
      <c r="J1540" s="247">
        <v>27</v>
      </c>
      <c r="K1540" s="247">
        <v>27</v>
      </c>
      <c r="L1540" s="249" t="s">
        <v>938</v>
      </c>
      <c r="M1540" s="249" t="s">
        <v>929</v>
      </c>
      <c r="N1540" s="248">
        <v>1235.51</v>
      </c>
      <c r="O1540" s="248">
        <v>6253.88</v>
      </c>
      <c r="P1540" s="247" t="s">
        <v>1338</v>
      </c>
      <c r="Q1540" s="247" t="s">
        <v>92</v>
      </c>
    </row>
    <row r="1541" spans="1:17" x14ac:dyDescent="0.25">
      <c r="A1541" s="247" t="s">
        <v>646</v>
      </c>
      <c r="B1541" s="247" t="s">
        <v>265</v>
      </c>
      <c r="C1541" s="247" t="s">
        <v>1283</v>
      </c>
      <c r="D1541" s="247" t="s">
        <v>569</v>
      </c>
      <c r="E1541" s="247" t="s">
        <v>569</v>
      </c>
      <c r="F1541" s="247" t="s">
        <v>2046</v>
      </c>
      <c r="G1541" s="247" t="s">
        <v>1287</v>
      </c>
      <c r="H1541" s="247" t="s">
        <v>397</v>
      </c>
      <c r="I1541" s="247" t="s">
        <v>2047</v>
      </c>
      <c r="J1541" s="247">
        <v>27</v>
      </c>
      <c r="K1541" s="247">
        <v>27</v>
      </c>
      <c r="L1541" s="249" t="s">
        <v>939</v>
      </c>
      <c r="M1541" s="249" t="s">
        <v>929</v>
      </c>
      <c r="N1541" s="248">
        <v>1339.74</v>
      </c>
      <c r="O1541" s="248">
        <v>7593.62</v>
      </c>
      <c r="P1541" s="247" t="s">
        <v>1338</v>
      </c>
      <c r="Q1541" s="247" t="s">
        <v>93</v>
      </c>
    </row>
    <row r="1542" spans="1:17" x14ac:dyDescent="0.25">
      <c r="A1542" s="247" t="s">
        <v>646</v>
      </c>
      <c r="B1542" s="247" t="s">
        <v>265</v>
      </c>
      <c r="C1542" s="247" t="s">
        <v>1283</v>
      </c>
      <c r="D1542" s="247" t="s">
        <v>569</v>
      </c>
      <c r="E1542" s="247" t="s">
        <v>569</v>
      </c>
      <c r="F1542" s="247" t="s">
        <v>2046</v>
      </c>
      <c r="G1542" s="247" t="s">
        <v>1287</v>
      </c>
      <c r="H1542" s="247" t="s">
        <v>397</v>
      </c>
      <c r="I1542" s="247" t="s">
        <v>2047</v>
      </c>
      <c r="J1542" s="247">
        <v>27</v>
      </c>
      <c r="K1542" s="247">
        <v>27</v>
      </c>
      <c r="L1542" s="249" t="s">
        <v>940</v>
      </c>
      <c r="M1542" s="249" t="s">
        <v>929</v>
      </c>
      <c r="N1542" s="248">
        <v>975.79</v>
      </c>
      <c r="O1542" s="248">
        <v>8569.41</v>
      </c>
      <c r="P1542" s="247" t="s">
        <v>1338</v>
      </c>
      <c r="Q1542" s="247" t="s">
        <v>94</v>
      </c>
    </row>
    <row r="1543" spans="1:17" x14ac:dyDescent="0.25">
      <c r="A1543" s="247" t="s">
        <v>646</v>
      </c>
      <c r="B1543" s="247" t="s">
        <v>265</v>
      </c>
      <c r="C1543" s="247" t="s">
        <v>1283</v>
      </c>
      <c r="D1543" s="247" t="s">
        <v>569</v>
      </c>
      <c r="E1543" s="247" t="s">
        <v>569</v>
      </c>
      <c r="F1543" s="247" t="s">
        <v>2046</v>
      </c>
      <c r="G1543" s="247" t="s">
        <v>1287</v>
      </c>
      <c r="H1543" s="247" t="s">
        <v>397</v>
      </c>
      <c r="I1543" s="247" t="s">
        <v>2047</v>
      </c>
      <c r="J1543" s="247">
        <v>27</v>
      </c>
      <c r="K1543" s="247">
        <v>27</v>
      </c>
      <c r="L1543" s="249" t="s">
        <v>642</v>
      </c>
      <c r="M1543" s="249" t="s">
        <v>929</v>
      </c>
      <c r="N1543" s="248">
        <v>1537.17</v>
      </c>
      <c r="O1543" s="248">
        <v>10106.58</v>
      </c>
      <c r="P1543" s="247" t="s">
        <v>1338</v>
      </c>
      <c r="Q1543" s="247" t="s">
        <v>95</v>
      </c>
    </row>
    <row r="1544" spans="1:17" x14ac:dyDescent="0.25">
      <c r="A1544" s="247" t="s">
        <v>646</v>
      </c>
      <c r="B1544" s="247" t="s">
        <v>265</v>
      </c>
      <c r="C1544" s="247" t="s">
        <v>1283</v>
      </c>
      <c r="D1544" s="247" t="s">
        <v>711</v>
      </c>
      <c r="E1544" s="247" t="s">
        <v>946</v>
      </c>
      <c r="F1544" s="247" t="s">
        <v>2048</v>
      </c>
      <c r="G1544" s="247" t="s">
        <v>1285</v>
      </c>
      <c r="H1544" s="247" t="s">
        <v>403</v>
      </c>
      <c r="I1544" s="247" t="s">
        <v>2049</v>
      </c>
      <c r="J1544" s="247">
        <v>34</v>
      </c>
      <c r="K1544" s="247">
        <v>34</v>
      </c>
      <c r="L1544" s="249" t="s">
        <v>646</v>
      </c>
      <c r="M1544" s="249" t="s">
        <v>933</v>
      </c>
      <c r="N1544" s="248">
        <v>39242.68</v>
      </c>
      <c r="O1544" s="248">
        <v>291011.06</v>
      </c>
      <c r="P1544" s="247" t="s">
        <v>1339</v>
      </c>
      <c r="Q1544" s="247" t="s">
        <v>84</v>
      </c>
    </row>
    <row r="1545" spans="1:17" x14ac:dyDescent="0.25">
      <c r="A1545" s="247" t="s">
        <v>646</v>
      </c>
      <c r="B1545" s="247" t="s">
        <v>265</v>
      </c>
      <c r="C1545" s="247" t="s">
        <v>1283</v>
      </c>
      <c r="D1545" s="247" t="s">
        <v>711</v>
      </c>
      <c r="E1545" s="247" t="s">
        <v>946</v>
      </c>
      <c r="F1545" s="247" t="s">
        <v>2048</v>
      </c>
      <c r="G1545" s="247" t="s">
        <v>1285</v>
      </c>
      <c r="H1545" s="247" t="s">
        <v>403</v>
      </c>
      <c r="I1545" s="247" t="s">
        <v>2049</v>
      </c>
      <c r="J1545" s="247">
        <v>34</v>
      </c>
      <c r="K1545" s="247">
        <v>34</v>
      </c>
      <c r="L1545" s="249" t="s">
        <v>650</v>
      </c>
      <c r="M1545" s="249" t="s">
        <v>933</v>
      </c>
      <c r="N1545" s="248">
        <v>25568.14</v>
      </c>
      <c r="O1545" s="248">
        <v>316579.20000000001</v>
      </c>
      <c r="P1545" s="247" t="s">
        <v>1339</v>
      </c>
      <c r="Q1545" s="247" t="s">
        <v>85</v>
      </c>
    </row>
    <row r="1546" spans="1:17" x14ac:dyDescent="0.25">
      <c r="A1546" s="247" t="s">
        <v>646</v>
      </c>
      <c r="B1546" s="247" t="s">
        <v>265</v>
      </c>
      <c r="C1546" s="247" t="s">
        <v>1283</v>
      </c>
      <c r="D1546" s="247" t="s">
        <v>711</v>
      </c>
      <c r="E1546" s="247" t="s">
        <v>946</v>
      </c>
      <c r="F1546" s="247" t="s">
        <v>2048</v>
      </c>
      <c r="G1546" s="247" t="s">
        <v>1285</v>
      </c>
      <c r="H1546" s="247" t="s">
        <v>403</v>
      </c>
      <c r="I1546" s="247" t="s">
        <v>2049</v>
      </c>
      <c r="J1546" s="247">
        <v>34</v>
      </c>
      <c r="K1546" s="247">
        <v>34</v>
      </c>
      <c r="L1546" s="249" t="s">
        <v>652</v>
      </c>
      <c r="M1546" s="249" t="s">
        <v>933</v>
      </c>
      <c r="N1546" s="248">
        <v>30852.400000000001</v>
      </c>
      <c r="O1546" s="248">
        <v>347431.6</v>
      </c>
      <c r="P1546" s="247" t="s">
        <v>1339</v>
      </c>
      <c r="Q1546" s="247" t="s">
        <v>86</v>
      </c>
    </row>
    <row r="1547" spans="1:17" x14ac:dyDescent="0.25">
      <c r="A1547" s="247" t="s">
        <v>646</v>
      </c>
      <c r="B1547" s="247" t="s">
        <v>265</v>
      </c>
      <c r="C1547" s="247" t="s">
        <v>1283</v>
      </c>
      <c r="D1547" s="247" t="s">
        <v>711</v>
      </c>
      <c r="E1547" s="247" t="s">
        <v>946</v>
      </c>
      <c r="F1547" s="247" t="s">
        <v>2048</v>
      </c>
      <c r="G1547" s="247" t="s">
        <v>1285</v>
      </c>
      <c r="H1547" s="247" t="s">
        <v>403</v>
      </c>
      <c r="I1547" s="247" t="s">
        <v>2049</v>
      </c>
      <c r="J1547" s="247">
        <v>34</v>
      </c>
      <c r="K1547" s="247">
        <v>34</v>
      </c>
      <c r="L1547" s="249" t="s">
        <v>789</v>
      </c>
      <c r="M1547" s="249" t="s">
        <v>929</v>
      </c>
      <c r="N1547" s="248">
        <v>30683.15</v>
      </c>
      <c r="O1547" s="248">
        <v>30683.15</v>
      </c>
      <c r="P1547" s="247" t="s">
        <v>1339</v>
      </c>
      <c r="Q1547" s="247" t="s">
        <v>87</v>
      </c>
    </row>
    <row r="1548" spans="1:17" x14ac:dyDescent="0.25">
      <c r="A1548" s="247" t="s">
        <v>646</v>
      </c>
      <c r="B1548" s="247" t="s">
        <v>265</v>
      </c>
      <c r="C1548" s="247" t="s">
        <v>1283</v>
      </c>
      <c r="D1548" s="247" t="s">
        <v>711</v>
      </c>
      <c r="E1548" s="247" t="s">
        <v>946</v>
      </c>
      <c r="F1548" s="247" t="s">
        <v>2048</v>
      </c>
      <c r="G1548" s="247" t="s">
        <v>1285</v>
      </c>
      <c r="H1548" s="247" t="s">
        <v>403</v>
      </c>
      <c r="I1548" s="247" t="s">
        <v>2049</v>
      </c>
      <c r="J1548" s="247">
        <v>34</v>
      </c>
      <c r="K1548" s="247">
        <v>34</v>
      </c>
      <c r="L1548" s="249" t="s">
        <v>791</v>
      </c>
      <c r="M1548" s="249" t="s">
        <v>929</v>
      </c>
      <c r="N1548" s="248">
        <v>39608.92</v>
      </c>
      <c r="O1548" s="248">
        <v>70292.070000000007</v>
      </c>
      <c r="P1548" s="247" t="s">
        <v>1339</v>
      </c>
      <c r="Q1548" s="247" t="s">
        <v>88</v>
      </c>
    </row>
    <row r="1549" spans="1:17" x14ac:dyDescent="0.25">
      <c r="A1549" s="247" t="s">
        <v>646</v>
      </c>
      <c r="B1549" s="247" t="s">
        <v>265</v>
      </c>
      <c r="C1549" s="247" t="s">
        <v>1283</v>
      </c>
      <c r="D1549" s="247" t="s">
        <v>711</v>
      </c>
      <c r="E1549" s="247" t="s">
        <v>946</v>
      </c>
      <c r="F1549" s="247" t="s">
        <v>2048</v>
      </c>
      <c r="G1549" s="247" t="s">
        <v>1285</v>
      </c>
      <c r="H1549" s="247" t="s">
        <v>403</v>
      </c>
      <c r="I1549" s="247" t="s">
        <v>2049</v>
      </c>
      <c r="J1549" s="247">
        <v>34</v>
      </c>
      <c r="K1549" s="247">
        <v>34</v>
      </c>
      <c r="L1549" s="249" t="s">
        <v>935</v>
      </c>
      <c r="M1549" s="249" t="s">
        <v>929</v>
      </c>
      <c r="N1549" s="248">
        <v>42687.37</v>
      </c>
      <c r="O1549" s="248">
        <v>112979.44</v>
      </c>
      <c r="P1549" s="247" t="s">
        <v>1339</v>
      </c>
      <c r="Q1549" s="247" t="s">
        <v>89</v>
      </c>
    </row>
    <row r="1550" spans="1:17" x14ac:dyDescent="0.25">
      <c r="A1550" s="247" t="s">
        <v>646</v>
      </c>
      <c r="B1550" s="247" t="s">
        <v>265</v>
      </c>
      <c r="C1550" s="247" t="s">
        <v>1283</v>
      </c>
      <c r="D1550" s="247" t="s">
        <v>711</v>
      </c>
      <c r="E1550" s="247" t="s">
        <v>946</v>
      </c>
      <c r="F1550" s="247" t="s">
        <v>2048</v>
      </c>
      <c r="G1550" s="247" t="s">
        <v>1285</v>
      </c>
      <c r="H1550" s="247" t="s">
        <v>403</v>
      </c>
      <c r="I1550" s="247" t="s">
        <v>2049</v>
      </c>
      <c r="J1550" s="247">
        <v>34</v>
      </c>
      <c r="K1550" s="247">
        <v>34</v>
      </c>
      <c r="L1550" s="249" t="s">
        <v>936</v>
      </c>
      <c r="M1550" s="249" t="s">
        <v>929</v>
      </c>
      <c r="N1550" s="248">
        <v>30426.22</v>
      </c>
      <c r="O1550" s="248">
        <v>143405.66</v>
      </c>
      <c r="P1550" s="247" t="s">
        <v>1339</v>
      </c>
      <c r="Q1550" s="247" t="s">
        <v>90</v>
      </c>
    </row>
    <row r="1551" spans="1:17" x14ac:dyDescent="0.25">
      <c r="A1551" s="247" t="s">
        <v>646</v>
      </c>
      <c r="B1551" s="247" t="s">
        <v>265</v>
      </c>
      <c r="C1551" s="247" t="s">
        <v>1283</v>
      </c>
      <c r="D1551" s="247" t="s">
        <v>711</v>
      </c>
      <c r="E1551" s="247" t="s">
        <v>946</v>
      </c>
      <c r="F1551" s="247" t="s">
        <v>2048</v>
      </c>
      <c r="G1551" s="247" t="s">
        <v>1285</v>
      </c>
      <c r="H1551" s="247" t="s">
        <v>403</v>
      </c>
      <c r="I1551" s="247" t="s">
        <v>2049</v>
      </c>
      <c r="J1551" s="247">
        <v>34</v>
      </c>
      <c r="K1551" s="247">
        <v>34</v>
      </c>
      <c r="L1551" s="249" t="s">
        <v>937</v>
      </c>
      <c r="M1551" s="249" t="s">
        <v>929</v>
      </c>
      <c r="N1551" s="248">
        <v>32395.83</v>
      </c>
      <c r="O1551" s="248">
        <v>175801.49</v>
      </c>
      <c r="P1551" s="247" t="s">
        <v>1339</v>
      </c>
      <c r="Q1551" s="247" t="s">
        <v>91</v>
      </c>
    </row>
    <row r="1552" spans="1:17" x14ac:dyDescent="0.25">
      <c r="A1552" s="247" t="s">
        <v>646</v>
      </c>
      <c r="B1552" s="247" t="s">
        <v>265</v>
      </c>
      <c r="C1552" s="247" t="s">
        <v>1283</v>
      </c>
      <c r="D1552" s="247" t="s">
        <v>711</v>
      </c>
      <c r="E1552" s="247" t="s">
        <v>946</v>
      </c>
      <c r="F1552" s="247" t="s">
        <v>2048</v>
      </c>
      <c r="G1552" s="247" t="s">
        <v>1285</v>
      </c>
      <c r="H1552" s="247" t="s">
        <v>403</v>
      </c>
      <c r="I1552" s="247" t="s">
        <v>2049</v>
      </c>
      <c r="J1552" s="247">
        <v>34</v>
      </c>
      <c r="K1552" s="247">
        <v>34</v>
      </c>
      <c r="L1552" s="249" t="s">
        <v>938</v>
      </c>
      <c r="M1552" s="249" t="s">
        <v>929</v>
      </c>
      <c r="N1552" s="248">
        <v>33375.050000000003</v>
      </c>
      <c r="O1552" s="248">
        <v>209176.54</v>
      </c>
      <c r="P1552" s="247" t="s">
        <v>1339</v>
      </c>
      <c r="Q1552" s="247" t="s">
        <v>92</v>
      </c>
    </row>
    <row r="1553" spans="1:17" x14ac:dyDescent="0.25">
      <c r="A1553" s="247" t="s">
        <v>646</v>
      </c>
      <c r="B1553" s="247" t="s">
        <v>265</v>
      </c>
      <c r="C1553" s="247" t="s">
        <v>1283</v>
      </c>
      <c r="D1553" s="247" t="s">
        <v>711</v>
      </c>
      <c r="E1553" s="247" t="s">
        <v>946</v>
      </c>
      <c r="F1553" s="247" t="s">
        <v>2048</v>
      </c>
      <c r="G1553" s="247" t="s">
        <v>1285</v>
      </c>
      <c r="H1553" s="247" t="s">
        <v>403</v>
      </c>
      <c r="I1553" s="247" t="s">
        <v>2049</v>
      </c>
      <c r="J1553" s="247">
        <v>34</v>
      </c>
      <c r="K1553" s="247">
        <v>34</v>
      </c>
      <c r="L1553" s="249" t="s">
        <v>939</v>
      </c>
      <c r="M1553" s="249" t="s">
        <v>929</v>
      </c>
      <c r="N1553" s="248">
        <v>30610.81</v>
      </c>
      <c r="O1553" s="248">
        <v>239787.35</v>
      </c>
      <c r="P1553" s="247" t="s">
        <v>1339</v>
      </c>
      <c r="Q1553" s="247" t="s">
        <v>93</v>
      </c>
    </row>
    <row r="1554" spans="1:17" x14ac:dyDescent="0.25">
      <c r="A1554" s="247" t="s">
        <v>646</v>
      </c>
      <c r="B1554" s="247" t="s">
        <v>265</v>
      </c>
      <c r="C1554" s="247" t="s">
        <v>1283</v>
      </c>
      <c r="D1554" s="247" t="s">
        <v>711</v>
      </c>
      <c r="E1554" s="247" t="s">
        <v>946</v>
      </c>
      <c r="F1554" s="247" t="s">
        <v>2048</v>
      </c>
      <c r="G1554" s="247" t="s">
        <v>1285</v>
      </c>
      <c r="H1554" s="247" t="s">
        <v>403</v>
      </c>
      <c r="I1554" s="247" t="s">
        <v>2049</v>
      </c>
      <c r="J1554" s="247">
        <v>34</v>
      </c>
      <c r="K1554" s="247">
        <v>34</v>
      </c>
      <c r="L1554" s="249" t="s">
        <v>940</v>
      </c>
      <c r="M1554" s="249" t="s">
        <v>929</v>
      </c>
      <c r="N1554" s="248">
        <v>37874.050000000003</v>
      </c>
      <c r="O1554" s="248">
        <v>277661.40000000002</v>
      </c>
      <c r="P1554" s="247" t="s">
        <v>1339</v>
      </c>
      <c r="Q1554" s="247" t="s">
        <v>94</v>
      </c>
    </row>
    <row r="1555" spans="1:17" x14ac:dyDescent="0.25">
      <c r="A1555" s="247" t="s">
        <v>646</v>
      </c>
      <c r="B1555" s="247" t="s">
        <v>265</v>
      </c>
      <c r="C1555" s="247" t="s">
        <v>1283</v>
      </c>
      <c r="D1555" s="247" t="s">
        <v>711</v>
      </c>
      <c r="E1555" s="247" t="s">
        <v>946</v>
      </c>
      <c r="F1555" s="247" t="s">
        <v>2048</v>
      </c>
      <c r="G1555" s="247" t="s">
        <v>1285</v>
      </c>
      <c r="H1555" s="247" t="s">
        <v>403</v>
      </c>
      <c r="I1555" s="247" t="s">
        <v>2049</v>
      </c>
      <c r="J1555" s="247">
        <v>34</v>
      </c>
      <c r="K1555" s="247">
        <v>34</v>
      </c>
      <c r="L1555" s="249" t="s">
        <v>642</v>
      </c>
      <c r="M1555" s="249" t="s">
        <v>929</v>
      </c>
      <c r="N1555" s="248">
        <v>31324.07</v>
      </c>
      <c r="O1555" s="248">
        <v>308985.46999999997</v>
      </c>
      <c r="P1555" s="247" t="s">
        <v>1339</v>
      </c>
      <c r="Q1555" s="247" t="s">
        <v>95</v>
      </c>
    </row>
    <row r="1556" spans="1:17" x14ac:dyDescent="0.25">
      <c r="A1556" s="247" t="s">
        <v>646</v>
      </c>
      <c r="B1556" s="247" t="s">
        <v>265</v>
      </c>
      <c r="C1556" s="247" t="s">
        <v>1283</v>
      </c>
      <c r="D1556" s="247" t="s">
        <v>569</v>
      </c>
      <c r="E1556" s="247" t="s">
        <v>946</v>
      </c>
      <c r="F1556" s="247" t="s">
        <v>2050</v>
      </c>
      <c r="G1556" s="247" t="s">
        <v>1287</v>
      </c>
      <c r="H1556" s="247" t="s">
        <v>403</v>
      </c>
      <c r="I1556" s="247" t="s">
        <v>2051</v>
      </c>
      <c r="J1556" s="247">
        <v>35</v>
      </c>
      <c r="K1556" s="247">
        <v>35</v>
      </c>
      <c r="L1556" s="249" t="s">
        <v>646</v>
      </c>
      <c r="M1556" s="249" t="s">
        <v>933</v>
      </c>
      <c r="N1556" s="248">
        <v>9744.08</v>
      </c>
      <c r="O1556" s="248">
        <v>62227.48</v>
      </c>
      <c r="P1556" s="247" t="s">
        <v>1340</v>
      </c>
      <c r="Q1556" s="247" t="s">
        <v>84</v>
      </c>
    </row>
    <row r="1557" spans="1:17" x14ac:dyDescent="0.25">
      <c r="A1557" s="247" t="s">
        <v>646</v>
      </c>
      <c r="B1557" s="247" t="s">
        <v>265</v>
      </c>
      <c r="C1557" s="247" t="s">
        <v>1283</v>
      </c>
      <c r="D1557" s="247" t="s">
        <v>569</v>
      </c>
      <c r="E1557" s="247" t="s">
        <v>946</v>
      </c>
      <c r="F1557" s="247" t="s">
        <v>2050</v>
      </c>
      <c r="G1557" s="247" t="s">
        <v>1287</v>
      </c>
      <c r="H1557" s="247" t="s">
        <v>403</v>
      </c>
      <c r="I1557" s="247" t="s">
        <v>2051</v>
      </c>
      <c r="J1557" s="247">
        <v>35</v>
      </c>
      <c r="K1557" s="247">
        <v>35</v>
      </c>
      <c r="L1557" s="249" t="s">
        <v>650</v>
      </c>
      <c r="M1557" s="249" t="s">
        <v>933</v>
      </c>
      <c r="N1557" s="248">
        <v>6303.87</v>
      </c>
      <c r="O1557" s="248">
        <v>68531.350000000006</v>
      </c>
      <c r="P1557" s="247" t="s">
        <v>1340</v>
      </c>
      <c r="Q1557" s="247" t="s">
        <v>85</v>
      </c>
    </row>
    <row r="1558" spans="1:17" x14ac:dyDescent="0.25">
      <c r="A1558" s="247" t="s">
        <v>646</v>
      </c>
      <c r="B1558" s="247" t="s">
        <v>265</v>
      </c>
      <c r="C1558" s="247" t="s">
        <v>1283</v>
      </c>
      <c r="D1558" s="247" t="s">
        <v>569</v>
      </c>
      <c r="E1558" s="247" t="s">
        <v>946</v>
      </c>
      <c r="F1558" s="247" t="s">
        <v>2050</v>
      </c>
      <c r="G1558" s="247" t="s">
        <v>1287</v>
      </c>
      <c r="H1558" s="247" t="s">
        <v>403</v>
      </c>
      <c r="I1558" s="247" t="s">
        <v>2051</v>
      </c>
      <c r="J1558" s="247">
        <v>35</v>
      </c>
      <c r="K1558" s="247">
        <v>35</v>
      </c>
      <c r="L1558" s="249" t="s">
        <v>652</v>
      </c>
      <c r="M1558" s="249" t="s">
        <v>933</v>
      </c>
      <c r="N1558" s="248">
        <v>4733.99</v>
      </c>
      <c r="O1558" s="248">
        <v>73265.34</v>
      </c>
      <c r="P1558" s="247" t="s">
        <v>1340</v>
      </c>
      <c r="Q1558" s="247" t="s">
        <v>86</v>
      </c>
    </row>
    <row r="1559" spans="1:17" x14ac:dyDescent="0.25">
      <c r="A1559" s="247" t="s">
        <v>646</v>
      </c>
      <c r="B1559" s="247" t="s">
        <v>265</v>
      </c>
      <c r="C1559" s="247" t="s">
        <v>1283</v>
      </c>
      <c r="D1559" s="247" t="s">
        <v>569</v>
      </c>
      <c r="E1559" s="247" t="s">
        <v>946</v>
      </c>
      <c r="F1559" s="247" t="s">
        <v>2050</v>
      </c>
      <c r="G1559" s="247" t="s">
        <v>1287</v>
      </c>
      <c r="H1559" s="247" t="s">
        <v>403</v>
      </c>
      <c r="I1559" s="247" t="s">
        <v>2051</v>
      </c>
      <c r="J1559" s="247">
        <v>35</v>
      </c>
      <c r="K1559" s="247">
        <v>35</v>
      </c>
      <c r="L1559" s="249" t="s">
        <v>789</v>
      </c>
      <c r="M1559" s="249" t="s">
        <v>929</v>
      </c>
      <c r="N1559" s="248">
        <v>3989.09</v>
      </c>
      <c r="O1559" s="248">
        <v>3989.09</v>
      </c>
      <c r="P1559" s="247" t="s">
        <v>1340</v>
      </c>
      <c r="Q1559" s="247" t="s">
        <v>87</v>
      </c>
    </row>
    <row r="1560" spans="1:17" x14ac:dyDescent="0.25">
      <c r="A1560" s="247" t="s">
        <v>646</v>
      </c>
      <c r="B1560" s="247" t="s">
        <v>265</v>
      </c>
      <c r="C1560" s="247" t="s">
        <v>1283</v>
      </c>
      <c r="D1560" s="247" t="s">
        <v>569</v>
      </c>
      <c r="E1560" s="247" t="s">
        <v>946</v>
      </c>
      <c r="F1560" s="247" t="s">
        <v>2050</v>
      </c>
      <c r="G1560" s="247" t="s">
        <v>1287</v>
      </c>
      <c r="H1560" s="247" t="s">
        <v>403</v>
      </c>
      <c r="I1560" s="247" t="s">
        <v>2051</v>
      </c>
      <c r="J1560" s="247">
        <v>35</v>
      </c>
      <c r="K1560" s="247">
        <v>35</v>
      </c>
      <c r="L1560" s="249" t="s">
        <v>791</v>
      </c>
      <c r="M1560" s="249" t="s">
        <v>929</v>
      </c>
      <c r="N1560" s="248">
        <v>5394.56</v>
      </c>
      <c r="O1560" s="248">
        <v>9383.65</v>
      </c>
      <c r="P1560" s="247" t="s">
        <v>1340</v>
      </c>
      <c r="Q1560" s="247" t="s">
        <v>88</v>
      </c>
    </row>
    <row r="1561" spans="1:17" x14ac:dyDescent="0.25">
      <c r="A1561" s="247" t="s">
        <v>646</v>
      </c>
      <c r="B1561" s="247" t="s">
        <v>265</v>
      </c>
      <c r="C1561" s="247" t="s">
        <v>1283</v>
      </c>
      <c r="D1561" s="247" t="s">
        <v>569</v>
      </c>
      <c r="E1561" s="247" t="s">
        <v>946</v>
      </c>
      <c r="F1561" s="247" t="s">
        <v>2050</v>
      </c>
      <c r="G1561" s="247" t="s">
        <v>1287</v>
      </c>
      <c r="H1561" s="247" t="s">
        <v>403</v>
      </c>
      <c r="I1561" s="247" t="s">
        <v>2051</v>
      </c>
      <c r="J1561" s="247">
        <v>35</v>
      </c>
      <c r="K1561" s="247">
        <v>35</v>
      </c>
      <c r="L1561" s="249" t="s">
        <v>935</v>
      </c>
      <c r="M1561" s="249" t="s">
        <v>929</v>
      </c>
      <c r="N1561" s="248">
        <v>5849.58</v>
      </c>
      <c r="O1561" s="248">
        <v>15233.23</v>
      </c>
      <c r="P1561" s="247" t="s">
        <v>1340</v>
      </c>
      <c r="Q1561" s="247" t="s">
        <v>89</v>
      </c>
    </row>
    <row r="1562" spans="1:17" x14ac:dyDescent="0.25">
      <c r="A1562" s="247" t="s">
        <v>646</v>
      </c>
      <c r="B1562" s="247" t="s">
        <v>265</v>
      </c>
      <c r="C1562" s="247" t="s">
        <v>1283</v>
      </c>
      <c r="D1562" s="247" t="s">
        <v>569</v>
      </c>
      <c r="E1562" s="247" t="s">
        <v>946</v>
      </c>
      <c r="F1562" s="247" t="s">
        <v>2050</v>
      </c>
      <c r="G1562" s="247" t="s">
        <v>1287</v>
      </c>
      <c r="H1562" s="247" t="s">
        <v>403</v>
      </c>
      <c r="I1562" s="247" t="s">
        <v>2051</v>
      </c>
      <c r="J1562" s="247">
        <v>35</v>
      </c>
      <c r="K1562" s="247">
        <v>35</v>
      </c>
      <c r="L1562" s="249" t="s">
        <v>936</v>
      </c>
      <c r="M1562" s="249" t="s">
        <v>929</v>
      </c>
      <c r="N1562" s="248">
        <v>10148.51</v>
      </c>
      <c r="O1562" s="248">
        <v>25381.74</v>
      </c>
      <c r="P1562" s="247" t="s">
        <v>1340</v>
      </c>
      <c r="Q1562" s="247" t="s">
        <v>90</v>
      </c>
    </row>
    <row r="1563" spans="1:17" x14ac:dyDescent="0.25">
      <c r="A1563" s="247" t="s">
        <v>646</v>
      </c>
      <c r="B1563" s="247" t="s">
        <v>265</v>
      </c>
      <c r="C1563" s="247" t="s">
        <v>1283</v>
      </c>
      <c r="D1563" s="247" t="s">
        <v>569</v>
      </c>
      <c r="E1563" s="247" t="s">
        <v>946</v>
      </c>
      <c r="F1563" s="247" t="s">
        <v>2050</v>
      </c>
      <c r="G1563" s="247" t="s">
        <v>1287</v>
      </c>
      <c r="H1563" s="247" t="s">
        <v>403</v>
      </c>
      <c r="I1563" s="247" t="s">
        <v>2051</v>
      </c>
      <c r="J1563" s="247">
        <v>35</v>
      </c>
      <c r="K1563" s="247">
        <v>35</v>
      </c>
      <c r="L1563" s="249" t="s">
        <v>937</v>
      </c>
      <c r="M1563" s="249" t="s">
        <v>929</v>
      </c>
      <c r="N1563" s="248">
        <v>6785.48</v>
      </c>
      <c r="O1563" s="248">
        <v>32167.22</v>
      </c>
      <c r="P1563" s="247" t="s">
        <v>1340</v>
      </c>
      <c r="Q1563" s="247" t="s">
        <v>91</v>
      </c>
    </row>
    <row r="1564" spans="1:17" x14ac:dyDescent="0.25">
      <c r="A1564" s="247" t="s">
        <v>646</v>
      </c>
      <c r="B1564" s="247" t="s">
        <v>265</v>
      </c>
      <c r="C1564" s="247" t="s">
        <v>1283</v>
      </c>
      <c r="D1564" s="247" t="s">
        <v>569</v>
      </c>
      <c r="E1564" s="247" t="s">
        <v>946</v>
      </c>
      <c r="F1564" s="247" t="s">
        <v>2050</v>
      </c>
      <c r="G1564" s="247" t="s">
        <v>1287</v>
      </c>
      <c r="H1564" s="247" t="s">
        <v>403</v>
      </c>
      <c r="I1564" s="247" t="s">
        <v>2051</v>
      </c>
      <c r="J1564" s="247">
        <v>35</v>
      </c>
      <c r="K1564" s="247">
        <v>35</v>
      </c>
      <c r="L1564" s="249" t="s">
        <v>938</v>
      </c>
      <c r="M1564" s="249" t="s">
        <v>929</v>
      </c>
      <c r="N1564" s="248">
        <v>6852.17</v>
      </c>
      <c r="O1564" s="248">
        <v>39019.39</v>
      </c>
      <c r="P1564" s="247" t="s">
        <v>1340</v>
      </c>
      <c r="Q1564" s="247" t="s">
        <v>92</v>
      </c>
    </row>
    <row r="1565" spans="1:17" x14ac:dyDescent="0.25">
      <c r="A1565" s="247" t="s">
        <v>646</v>
      </c>
      <c r="B1565" s="247" t="s">
        <v>265</v>
      </c>
      <c r="C1565" s="247" t="s">
        <v>1283</v>
      </c>
      <c r="D1565" s="247" t="s">
        <v>569</v>
      </c>
      <c r="E1565" s="247" t="s">
        <v>946</v>
      </c>
      <c r="F1565" s="247" t="s">
        <v>2050</v>
      </c>
      <c r="G1565" s="247" t="s">
        <v>1287</v>
      </c>
      <c r="H1565" s="247" t="s">
        <v>403</v>
      </c>
      <c r="I1565" s="247" t="s">
        <v>2051</v>
      </c>
      <c r="J1565" s="247">
        <v>35</v>
      </c>
      <c r="K1565" s="247">
        <v>35</v>
      </c>
      <c r="L1565" s="249" t="s">
        <v>939</v>
      </c>
      <c r="M1565" s="249" t="s">
        <v>929</v>
      </c>
      <c r="N1565" s="248">
        <v>5396.34</v>
      </c>
      <c r="O1565" s="248">
        <v>44415.73</v>
      </c>
      <c r="P1565" s="247" t="s">
        <v>1340</v>
      </c>
      <c r="Q1565" s="247" t="s">
        <v>93</v>
      </c>
    </row>
    <row r="1566" spans="1:17" x14ac:dyDescent="0.25">
      <c r="A1566" s="247" t="s">
        <v>646</v>
      </c>
      <c r="B1566" s="247" t="s">
        <v>265</v>
      </c>
      <c r="C1566" s="247" t="s">
        <v>1283</v>
      </c>
      <c r="D1566" s="247" t="s">
        <v>569</v>
      </c>
      <c r="E1566" s="247" t="s">
        <v>946</v>
      </c>
      <c r="F1566" s="247" t="s">
        <v>2050</v>
      </c>
      <c r="G1566" s="247" t="s">
        <v>1287</v>
      </c>
      <c r="H1566" s="247" t="s">
        <v>403</v>
      </c>
      <c r="I1566" s="247" t="s">
        <v>2051</v>
      </c>
      <c r="J1566" s="247">
        <v>35</v>
      </c>
      <c r="K1566" s="247">
        <v>35</v>
      </c>
      <c r="L1566" s="249" t="s">
        <v>940</v>
      </c>
      <c r="M1566" s="249" t="s">
        <v>929</v>
      </c>
      <c r="N1566" s="248">
        <v>6362.71</v>
      </c>
      <c r="O1566" s="248">
        <v>50778.44</v>
      </c>
      <c r="P1566" s="247" t="s">
        <v>1340</v>
      </c>
      <c r="Q1566" s="247" t="s">
        <v>94</v>
      </c>
    </row>
    <row r="1567" spans="1:17" x14ac:dyDescent="0.25">
      <c r="A1567" s="247" t="s">
        <v>646</v>
      </c>
      <c r="B1567" s="247" t="s">
        <v>265</v>
      </c>
      <c r="C1567" s="247" t="s">
        <v>1283</v>
      </c>
      <c r="D1567" s="247" t="s">
        <v>569</v>
      </c>
      <c r="E1567" s="247" t="s">
        <v>946</v>
      </c>
      <c r="F1567" s="247" t="s">
        <v>2050</v>
      </c>
      <c r="G1567" s="247" t="s">
        <v>1287</v>
      </c>
      <c r="H1567" s="247" t="s">
        <v>403</v>
      </c>
      <c r="I1567" s="247" t="s">
        <v>2051</v>
      </c>
      <c r="J1567" s="247">
        <v>35</v>
      </c>
      <c r="K1567" s="247">
        <v>35</v>
      </c>
      <c r="L1567" s="249" t="s">
        <v>642</v>
      </c>
      <c r="M1567" s="249" t="s">
        <v>929</v>
      </c>
      <c r="N1567" s="248">
        <v>9033.82</v>
      </c>
      <c r="O1567" s="248">
        <v>59812.26</v>
      </c>
      <c r="P1567" s="247" t="s">
        <v>1340</v>
      </c>
      <c r="Q1567" s="247" t="s">
        <v>95</v>
      </c>
    </row>
    <row r="1568" spans="1:17" x14ac:dyDescent="0.25">
      <c r="A1568" s="247" t="s">
        <v>646</v>
      </c>
      <c r="B1568" s="247" t="s">
        <v>265</v>
      </c>
      <c r="C1568" s="247" t="s">
        <v>1283</v>
      </c>
      <c r="D1568" s="247" t="s">
        <v>1049</v>
      </c>
      <c r="E1568" s="247" t="s">
        <v>946</v>
      </c>
      <c r="F1568" s="247" t="s">
        <v>2052</v>
      </c>
      <c r="G1568" s="247" t="s">
        <v>1341</v>
      </c>
      <c r="H1568" s="247" t="s">
        <v>403</v>
      </c>
      <c r="I1568" s="247" t="s">
        <v>2053</v>
      </c>
      <c r="J1568" s="247">
        <v>34</v>
      </c>
      <c r="K1568" s="247">
        <v>34</v>
      </c>
      <c r="L1568" s="249" t="s">
        <v>642</v>
      </c>
      <c r="M1568" s="249" t="s">
        <v>929</v>
      </c>
      <c r="N1568" s="248">
        <v>6864.88</v>
      </c>
      <c r="O1568" s="248">
        <v>6864.88</v>
      </c>
      <c r="P1568" s="247" t="s">
        <v>1342</v>
      </c>
      <c r="Q1568" s="247" t="s">
        <v>95</v>
      </c>
    </row>
    <row r="1569" spans="1:17" x14ac:dyDescent="0.25">
      <c r="A1569" s="247" t="s">
        <v>646</v>
      </c>
      <c r="B1569" s="247" t="s">
        <v>265</v>
      </c>
      <c r="C1569" s="247" t="s">
        <v>1343</v>
      </c>
      <c r="D1569" s="247" t="s">
        <v>926</v>
      </c>
      <c r="E1569" s="247" t="s">
        <v>1284</v>
      </c>
      <c r="F1569" s="247" t="s">
        <v>2054</v>
      </c>
      <c r="G1569" s="247" t="s">
        <v>1344</v>
      </c>
      <c r="H1569" s="247" t="s">
        <v>1975</v>
      </c>
      <c r="I1569" s="247" t="s">
        <v>2055</v>
      </c>
      <c r="J1569" s="247">
        <v>52</v>
      </c>
      <c r="K1569" s="247">
        <v>52</v>
      </c>
      <c r="L1569" s="249" t="s">
        <v>646</v>
      </c>
      <c r="M1569" s="249" t="s">
        <v>933</v>
      </c>
      <c r="N1569" s="248">
        <v>694.94</v>
      </c>
      <c r="O1569" s="248">
        <v>6768.51</v>
      </c>
      <c r="P1569" s="247" t="s">
        <v>1345</v>
      </c>
      <c r="Q1569" s="247" t="s">
        <v>84</v>
      </c>
    </row>
    <row r="1570" spans="1:17" x14ac:dyDescent="0.25">
      <c r="A1570" s="247" t="s">
        <v>646</v>
      </c>
      <c r="B1570" s="247" t="s">
        <v>265</v>
      </c>
      <c r="C1570" s="247" t="s">
        <v>1343</v>
      </c>
      <c r="D1570" s="247" t="s">
        <v>926</v>
      </c>
      <c r="E1570" s="247" t="s">
        <v>1284</v>
      </c>
      <c r="F1570" s="247" t="s">
        <v>2054</v>
      </c>
      <c r="G1570" s="247" t="s">
        <v>1344</v>
      </c>
      <c r="H1570" s="247" t="s">
        <v>1975</v>
      </c>
      <c r="I1570" s="247" t="s">
        <v>2055</v>
      </c>
      <c r="J1570" s="247">
        <v>52</v>
      </c>
      <c r="K1570" s="247">
        <v>52</v>
      </c>
      <c r="L1570" s="249" t="s">
        <v>650</v>
      </c>
      <c r="M1570" s="249" t="s">
        <v>933</v>
      </c>
      <c r="N1570" s="248">
        <v>553.70000000000005</v>
      </c>
      <c r="O1570" s="248">
        <v>7322.21</v>
      </c>
      <c r="P1570" s="247" t="s">
        <v>1345</v>
      </c>
      <c r="Q1570" s="247" t="s">
        <v>85</v>
      </c>
    </row>
    <row r="1571" spans="1:17" x14ac:dyDescent="0.25">
      <c r="A1571" s="247" t="s">
        <v>646</v>
      </c>
      <c r="B1571" s="247" t="s">
        <v>265</v>
      </c>
      <c r="C1571" s="247" t="s">
        <v>1343</v>
      </c>
      <c r="D1571" s="247" t="s">
        <v>926</v>
      </c>
      <c r="E1571" s="247" t="s">
        <v>1284</v>
      </c>
      <c r="F1571" s="247" t="s">
        <v>2054</v>
      </c>
      <c r="G1571" s="247" t="s">
        <v>1344</v>
      </c>
      <c r="H1571" s="247" t="s">
        <v>1975</v>
      </c>
      <c r="I1571" s="247" t="s">
        <v>2055</v>
      </c>
      <c r="J1571" s="247">
        <v>52</v>
      </c>
      <c r="K1571" s="247">
        <v>52</v>
      </c>
      <c r="L1571" s="249" t="s">
        <v>652</v>
      </c>
      <c r="M1571" s="249" t="s">
        <v>933</v>
      </c>
      <c r="N1571" s="248">
        <v>1279.18</v>
      </c>
      <c r="O1571" s="248">
        <v>8601.39</v>
      </c>
      <c r="P1571" s="247" t="s">
        <v>1345</v>
      </c>
      <c r="Q1571" s="247" t="s">
        <v>86</v>
      </c>
    </row>
    <row r="1572" spans="1:17" x14ac:dyDescent="0.25">
      <c r="A1572" s="247" t="s">
        <v>646</v>
      </c>
      <c r="B1572" s="247" t="s">
        <v>265</v>
      </c>
      <c r="C1572" s="247" t="s">
        <v>1343</v>
      </c>
      <c r="D1572" s="247" t="s">
        <v>926</v>
      </c>
      <c r="E1572" s="247" t="s">
        <v>1284</v>
      </c>
      <c r="F1572" s="247" t="s">
        <v>2054</v>
      </c>
      <c r="G1572" s="247" t="s">
        <v>1344</v>
      </c>
      <c r="H1572" s="247" t="s">
        <v>1975</v>
      </c>
      <c r="I1572" s="247" t="s">
        <v>2055</v>
      </c>
      <c r="J1572" s="247">
        <v>52</v>
      </c>
      <c r="K1572" s="247">
        <v>52</v>
      </c>
      <c r="L1572" s="249" t="s">
        <v>789</v>
      </c>
      <c r="M1572" s="249" t="s">
        <v>929</v>
      </c>
      <c r="N1572" s="248">
        <v>742.75</v>
      </c>
      <c r="O1572" s="248">
        <v>742.75</v>
      </c>
      <c r="P1572" s="247" t="s">
        <v>1345</v>
      </c>
      <c r="Q1572" s="247" t="s">
        <v>87</v>
      </c>
    </row>
    <row r="1573" spans="1:17" x14ac:dyDescent="0.25">
      <c r="A1573" s="247" t="s">
        <v>646</v>
      </c>
      <c r="B1573" s="247" t="s">
        <v>265</v>
      </c>
      <c r="C1573" s="247" t="s">
        <v>1343</v>
      </c>
      <c r="D1573" s="247" t="s">
        <v>926</v>
      </c>
      <c r="E1573" s="247" t="s">
        <v>1284</v>
      </c>
      <c r="F1573" s="247" t="s">
        <v>2054</v>
      </c>
      <c r="G1573" s="247" t="s">
        <v>1344</v>
      </c>
      <c r="H1573" s="247" t="s">
        <v>1975</v>
      </c>
      <c r="I1573" s="247" t="s">
        <v>2055</v>
      </c>
      <c r="J1573" s="247">
        <v>52</v>
      </c>
      <c r="K1573" s="247">
        <v>52</v>
      </c>
      <c r="L1573" s="249" t="s">
        <v>791</v>
      </c>
      <c r="M1573" s="249" t="s">
        <v>929</v>
      </c>
      <c r="N1573" s="248">
        <v>742.75</v>
      </c>
      <c r="O1573" s="248">
        <v>1485.5</v>
      </c>
      <c r="P1573" s="247" t="s">
        <v>1345</v>
      </c>
      <c r="Q1573" s="247" t="s">
        <v>88</v>
      </c>
    </row>
    <row r="1574" spans="1:17" x14ac:dyDescent="0.25">
      <c r="A1574" s="247" t="s">
        <v>646</v>
      </c>
      <c r="B1574" s="247" t="s">
        <v>265</v>
      </c>
      <c r="C1574" s="247" t="s">
        <v>1343</v>
      </c>
      <c r="D1574" s="247" t="s">
        <v>926</v>
      </c>
      <c r="E1574" s="247" t="s">
        <v>1284</v>
      </c>
      <c r="F1574" s="247" t="s">
        <v>2054</v>
      </c>
      <c r="G1574" s="247" t="s">
        <v>1344</v>
      </c>
      <c r="H1574" s="247" t="s">
        <v>1975</v>
      </c>
      <c r="I1574" s="247" t="s">
        <v>2055</v>
      </c>
      <c r="J1574" s="247">
        <v>52</v>
      </c>
      <c r="K1574" s="247">
        <v>52</v>
      </c>
      <c r="L1574" s="249" t="s">
        <v>935</v>
      </c>
      <c r="M1574" s="249" t="s">
        <v>929</v>
      </c>
      <c r="N1574" s="248">
        <v>742.75</v>
      </c>
      <c r="O1574" s="248">
        <v>2228.25</v>
      </c>
      <c r="P1574" s="247" t="s">
        <v>1345</v>
      </c>
      <c r="Q1574" s="247" t="s">
        <v>89</v>
      </c>
    </row>
    <row r="1575" spans="1:17" x14ac:dyDescent="0.25">
      <c r="A1575" s="247" t="s">
        <v>646</v>
      </c>
      <c r="B1575" s="247" t="s">
        <v>265</v>
      </c>
      <c r="C1575" s="247" t="s">
        <v>1343</v>
      </c>
      <c r="D1575" s="247" t="s">
        <v>926</v>
      </c>
      <c r="E1575" s="247" t="s">
        <v>1284</v>
      </c>
      <c r="F1575" s="247" t="s">
        <v>2054</v>
      </c>
      <c r="G1575" s="247" t="s">
        <v>1344</v>
      </c>
      <c r="H1575" s="247" t="s">
        <v>1975</v>
      </c>
      <c r="I1575" s="247" t="s">
        <v>2055</v>
      </c>
      <c r="J1575" s="247">
        <v>52</v>
      </c>
      <c r="K1575" s="247">
        <v>52</v>
      </c>
      <c r="L1575" s="249" t="s">
        <v>936</v>
      </c>
      <c r="M1575" s="249" t="s">
        <v>929</v>
      </c>
      <c r="N1575" s="248">
        <v>742.75</v>
      </c>
      <c r="O1575" s="248">
        <v>2971</v>
      </c>
      <c r="P1575" s="247" t="s">
        <v>1345</v>
      </c>
      <c r="Q1575" s="247" t="s">
        <v>90</v>
      </c>
    </row>
    <row r="1576" spans="1:17" x14ac:dyDescent="0.25">
      <c r="A1576" s="247" t="s">
        <v>646</v>
      </c>
      <c r="B1576" s="247" t="s">
        <v>265</v>
      </c>
      <c r="C1576" s="247" t="s">
        <v>1343</v>
      </c>
      <c r="D1576" s="247" t="s">
        <v>926</v>
      </c>
      <c r="E1576" s="247" t="s">
        <v>1284</v>
      </c>
      <c r="F1576" s="247" t="s">
        <v>2054</v>
      </c>
      <c r="G1576" s="247" t="s">
        <v>1344</v>
      </c>
      <c r="H1576" s="247" t="s">
        <v>1975</v>
      </c>
      <c r="I1576" s="247" t="s">
        <v>2055</v>
      </c>
      <c r="J1576" s="247">
        <v>52</v>
      </c>
      <c r="K1576" s="247">
        <v>52</v>
      </c>
      <c r="L1576" s="249" t="s">
        <v>937</v>
      </c>
      <c r="M1576" s="249" t="s">
        <v>929</v>
      </c>
      <c r="N1576" s="248">
        <v>742.75</v>
      </c>
      <c r="O1576" s="248">
        <v>3713.75</v>
      </c>
      <c r="P1576" s="247" t="s">
        <v>1345</v>
      </c>
      <c r="Q1576" s="247" t="s">
        <v>91</v>
      </c>
    </row>
    <row r="1577" spans="1:17" x14ac:dyDescent="0.25">
      <c r="A1577" s="247" t="s">
        <v>646</v>
      </c>
      <c r="B1577" s="247" t="s">
        <v>265</v>
      </c>
      <c r="C1577" s="247" t="s">
        <v>1343</v>
      </c>
      <c r="D1577" s="247" t="s">
        <v>926</v>
      </c>
      <c r="E1577" s="247" t="s">
        <v>1284</v>
      </c>
      <c r="F1577" s="247" t="s">
        <v>2054</v>
      </c>
      <c r="G1577" s="247" t="s">
        <v>1344</v>
      </c>
      <c r="H1577" s="247" t="s">
        <v>1975</v>
      </c>
      <c r="I1577" s="247" t="s">
        <v>2055</v>
      </c>
      <c r="J1577" s="247">
        <v>52</v>
      </c>
      <c r="K1577" s="247">
        <v>52</v>
      </c>
      <c r="L1577" s="249" t="s">
        <v>938</v>
      </c>
      <c r="M1577" s="249" t="s">
        <v>929</v>
      </c>
      <c r="N1577" s="248">
        <v>742.75</v>
      </c>
      <c r="O1577" s="248">
        <v>4456.5</v>
      </c>
      <c r="P1577" s="247" t="s">
        <v>1345</v>
      </c>
      <c r="Q1577" s="247" t="s">
        <v>92</v>
      </c>
    </row>
    <row r="1578" spans="1:17" x14ac:dyDescent="0.25">
      <c r="A1578" s="247" t="s">
        <v>646</v>
      </c>
      <c r="B1578" s="247" t="s">
        <v>265</v>
      </c>
      <c r="C1578" s="247" t="s">
        <v>1343</v>
      </c>
      <c r="D1578" s="247" t="s">
        <v>926</v>
      </c>
      <c r="E1578" s="247" t="s">
        <v>1284</v>
      </c>
      <c r="F1578" s="247" t="s">
        <v>2054</v>
      </c>
      <c r="G1578" s="247" t="s">
        <v>1344</v>
      </c>
      <c r="H1578" s="247" t="s">
        <v>1975</v>
      </c>
      <c r="I1578" s="247" t="s">
        <v>2055</v>
      </c>
      <c r="J1578" s="247">
        <v>52</v>
      </c>
      <c r="K1578" s="247">
        <v>52</v>
      </c>
      <c r="L1578" s="249" t="s">
        <v>939</v>
      </c>
      <c r="M1578" s="249" t="s">
        <v>929</v>
      </c>
      <c r="N1578" s="248">
        <v>742.75</v>
      </c>
      <c r="O1578" s="248">
        <v>5199.25</v>
      </c>
      <c r="P1578" s="247" t="s">
        <v>1345</v>
      </c>
      <c r="Q1578" s="247" t="s">
        <v>93</v>
      </c>
    </row>
    <row r="1579" spans="1:17" x14ac:dyDescent="0.25">
      <c r="A1579" s="247" t="s">
        <v>646</v>
      </c>
      <c r="B1579" s="247" t="s">
        <v>265</v>
      </c>
      <c r="C1579" s="247" t="s">
        <v>1343</v>
      </c>
      <c r="D1579" s="247" t="s">
        <v>926</v>
      </c>
      <c r="E1579" s="247" t="s">
        <v>1284</v>
      </c>
      <c r="F1579" s="247" t="s">
        <v>2054</v>
      </c>
      <c r="G1579" s="247" t="s">
        <v>1344</v>
      </c>
      <c r="H1579" s="247" t="s">
        <v>1975</v>
      </c>
      <c r="I1579" s="247" t="s">
        <v>2055</v>
      </c>
      <c r="J1579" s="247">
        <v>52</v>
      </c>
      <c r="K1579" s="247">
        <v>52</v>
      </c>
      <c r="L1579" s="249" t="s">
        <v>940</v>
      </c>
      <c r="M1579" s="249" t="s">
        <v>929</v>
      </c>
      <c r="N1579" s="248">
        <v>742.75</v>
      </c>
      <c r="O1579" s="248">
        <v>5942</v>
      </c>
      <c r="P1579" s="247" t="s">
        <v>1345</v>
      </c>
      <c r="Q1579" s="247" t="s">
        <v>94</v>
      </c>
    </row>
    <row r="1580" spans="1:17" x14ac:dyDescent="0.25">
      <c r="A1580" s="247" t="s">
        <v>646</v>
      </c>
      <c r="B1580" s="247" t="s">
        <v>265</v>
      </c>
      <c r="C1580" s="247" t="s">
        <v>1343</v>
      </c>
      <c r="D1580" s="247" t="s">
        <v>926</v>
      </c>
      <c r="E1580" s="247" t="s">
        <v>1284</v>
      </c>
      <c r="F1580" s="247" t="s">
        <v>2054</v>
      </c>
      <c r="G1580" s="247" t="s">
        <v>1344</v>
      </c>
      <c r="H1580" s="247" t="s">
        <v>1975</v>
      </c>
      <c r="I1580" s="247" t="s">
        <v>2055</v>
      </c>
      <c r="J1580" s="247">
        <v>52</v>
      </c>
      <c r="K1580" s="247">
        <v>52</v>
      </c>
      <c r="L1580" s="249" t="s">
        <v>642</v>
      </c>
      <c r="M1580" s="249" t="s">
        <v>929</v>
      </c>
      <c r="N1580" s="248">
        <v>742.75</v>
      </c>
      <c r="O1580" s="248">
        <v>6684.75</v>
      </c>
      <c r="P1580" s="247" t="s">
        <v>1345</v>
      </c>
      <c r="Q1580" s="247" t="s">
        <v>95</v>
      </c>
    </row>
    <row r="1581" spans="1:17" x14ac:dyDescent="0.25">
      <c r="A1581" s="247" t="s">
        <v>646</v>
      </c>
      <c r="B1581" s="247" t="s">
        <v>265</v>
      </c>
      <c r="C1581" s="247" t="s">
        <v>1343</v>
      </c>
      <c r="D1581" s="247" t="s">
        <v>711</v>
      </c>
      <c r="E1581" s="247" t="s">
        <v>1284</v>
      </c>
      <c r="F1581" s="247" t="s">
        <v>2056</v>
      </c>
      <c r="G1581" s="247" t="s">
        <v>1346</v>
      </c>
      <c r="H1581" s="247" t="s">
        <v>1975</v>
      </c>
      <c r="I1581" s="247" t="s">
        <v>2057</v>
      </c>
      <c r="J1581" s="247">
        <v>53</v>
      </c>
      <c r="K1581" s="247">
        <v>53</v>
      </c>
      <c r="L1581" s="249" t="s">
        <v>646</v>
      </c>
      <c r="M1581" s="249" t="s">
        <v>933</v>
      </c>
      <c r="N1581" s="248">
        <v>387.78</v>
      </c>
      <c r="O1581" s="248">
        <v>4739.91</v>
      </c>
      <c r="P1581" s="247" t="s">
        <v>1347</v>
      </c>
      <c r="Q1581" s="247" t="s">
        <v>84</v>
      </c>
    </row>
    <row r="1582" spans="1:17" x14ac:dyDescent="0.25">
      <c r="A1582" s="247" t="s">
        <v>646</v>
      </c>
      <c r="B1582" s="247" t="s">
        <v>265</v>
      </c>
      <c r="C1582" s="247" t="s">
        <v>1343</v>
      </c>
      <c r="D1582" s="247" t="s">
        <v>711</v>
      </c>
      <c r="E1582" s="247" t="s">
        <v>1284</v>
      </c>
      <c r="F1582" s="247" t="s">
        <v>2056</v>
      </c>
      <c r="G1582" s="247" t="s">
        <v>1346</v>
      </c>
      <c r="H1582" s="247" t="s">
        <v>1975</v>
      </c>
      <c r="I1582" s="247" t="s">
        <v>2057</v>
      </c>
      <c r="J1582" s="247">
        <v>53</v>
      </c>
      <c r="K1582" s="247">
        <v>53</v>
      </c>
      <c r="L1582" s="249" t="s">
        <v>650</v>
      </c>
      <c r="M1582" s="249" t="s">
        <v>933</v>
      </c>
      <c r="N1582" s="248">
        <v>270.60000000000002</v>
      </c>
      <c r="O1582" s="248">
        <v>5010.51</v>
      </c>
      <c r="P1582" s="247" t="s">
        <v>1347</v>
      </c>
      <c r="Q1582" s="247" t="s">
        <v>85</v>
      </c>
    </row>
    <row r="1583" spans="1:17" x14ac:dyDescent="0.25">
      <c r="A1583" s="247" t="s">
        <v>646</v>
      </c>
      <c r="B1583" s="247" t="s">
        <v>265</v>
      </c>
      <c r="C1583" s="247" t="s">
        <v>1343</v>
      </c>
      <c r="D1583" s="247" t="s">
        <v>711</v>
      </c>
      <c r="E1583" s="247" t="s">
        <v>1284</v>
      </c>
      <c r="F1583" s="247" t="s">
        <v>2056</v>
      </c>
      <c r="G1583" s="247" t="s">
        <v>1346</v>
      </c>
      <c r="H1583" s="247" t="s">
        <v>1975</v>
      </c>
      <c r="I1583" s="247" t="s">
        <v>2057</v>
      </c>
      <c r="J1583" s="247">
        <v>53</v>
      </c>
      <c r="K1583" s="247">
        <v>53</v>
      </c>
      <c r="L1583" s="249" t="s">
        <v>652</v>
      </c>
      <c r="M1583" s="249" t="s">
        <v>933</v>
      </c>
      <c r="N1583" s="248">
        <v>275.14999999999998</v>
      </c>
      <c r="O1583" s="248">
        <v>5285.66</v>
      </c>
      <c r="P1583" s="247" t="s">
        <v>1347</v>
      </c>
      <c r="Q1583" s="247" t="s">
        <v>86</v>
      </c>
    </row>
    <row r="1584" spans="1:17" x14ac:dyDescent="0.25">
      <c r="A1584" s="247" t="s">
        <v>646</v>
      </c>
      <c r="B1584" s="247" t="s">
        <v>265</v>
      </c>
      <c r="C1584" s="247" t="s">
        <v>1343</v>
      </c>
      <c r="D1584" s="247" t="s">
        <v>711</v>
      </c>
      <c r="E1584" s="247" t="s">
        <v>1284</v>
      </c>
      <c r="F1584" s="247" t="s">
        <v>2056</v>
      </c>
      <c r="G1584" s="247" t="s">
        <v>1346</v>
      </c>
      <c r="H1584" s="247" t="s">
        <v>1975</v>
      </c>
      <c r="I1584" s="247" t="s">
        <v>2057</v>
      </c>
      <c r="J1584" s="247">
        <v>53</v>
      </c>
      <c r="K1584" s="247">
        <v>53</v>
      </c>
      <c r="L1584" s="249" t="s">
        <v>789</v>
      </c>
      <c r="M1584" s="249" t="s">
        <v>929</v>
      </c>
      <c r="N1584" s="248">
        <v>409.92</v>
      </c>
      <c r="O1584" s="248">
        <v>409.92</v>
      </c>
      <c r="P1584" s="247" t="s">
        <v>1347</v>
      </c>
      <c r="Q1584" s="247" t="s">
        <v>87</v>
      </c>
    </row>
    <row r="1585" spans="1:17" x14ac:dyDescent="0.25">
      <c r="A1585" s="247" t="s">
        <v>646</v>
      </c>
      <c r="B1585" s="247" t="s">
        <v>265</v>
      </c>
      <c r="C1585" s="247" t="s">
        <v>1343</v>
      </c>
      <c r="D1585" s="247" t="s">
        <v>711</v>
      </c>
      <c r="E1585" s="247" t="s">
        <v>1284</v>
      </c>
      <c r="F1585" s="247" t="s">
        <v>2056</v>
      </c>
      <c r="G1585" s="247" t="s">
        <v>1346</v>
      </c>
      <c r="H1585" s="247" t="s">
        <v>1975</v>
      </c>
      <c r="I1585" s="247" t="s">
        <v>2057</v>
      </c>
      <c r="J1585" s="247">
        <v>53</v>
      </c>
      <c r="K1585" s="247">
        <v>53</v>
      </c>
      <c r="L1585" s="249" t="s">
        <v>791</v>
      </c>
      <c r="M1585" s="249" t="s">
        <v>929</v>
      </c>
      <c r="N1585" s="248">
        <v>400.57</v>
      </c>
      <c r="O1585" s="248">
        <v>810.49</v>
      </c>
      <c r="P1585" s="247" t="s">
        <v>1347</v>
      </c>
      <c r="Q1585" s="247" t="s">
        <v>88</v>
      </c>
    </row>
    <row r="1586" spans="1:17" x14ac:dyDescent="0.25">
      <c r="A1586" s="247" t="s">
        <v>646</v>
      </c>
      <c r="B1586" s="247" t="s">
        <v>265</v>
      </c>
      <c r="C1586" s="247" t="s">
        <v>1343</v>
      </c>
      <c r="D1586" s="247" t="s">
        <v>711</v>
      </c>
      <c r="E1586" s="247" t="s">
        <v>1284</v>
      </c>
      <c r="F1586" s="247" t="s">
        <v>2056</v>
      </c>
      <c r="G1586" s="247" t="s">
        <v>1346</v>
      </c>
      <c r="H1586" s="247" t="s">
        <v>1975</v>
      </c>
      <c r="I1586" s="247" t="s">
        <v>2057</v>
      </c>
      <c r="J1586" s="247">
        <v>53</v>
      </c>
      <c r="K1586" s="247">
        <v>53</v>
      </c>
      <c r="L1586" s="249" t="s">
        <v>935</v>
      </c>
      <c r="M1586" s="249" t="s">
        <v>929</v>
      </c>
      <c r="N1586" s="248">
        <v>389.39</v>
      </c>
      <c r="O1586" s="248">
        <v>1199.8800000000001</v>
      </c>
      <c r="P1586" s="247" t="s">
        <v>1347</v>
      </c>
      <c r="Q1586" s="247" t="s">
        <v>89</v>
      </c>
    </row>
    <row r="1587" spans="1:17" x14ac:dyDescent="0.25">
      <c r="A1587" s="247" t="s">
        <v>646</v>
      </c>
      <c r="B1587" s="247" t="s">
        <v>265</v>
      </c>
      <c r="C1587" s="247" t="s">
        <v>1343</v>
      </c>
      <c r="D1587" s="247" t="s">
        <v>711</v>
      </c>
      <c r="E1587" s="247" t="s">
        <v>1284</v>
      </c>
      <c r="F1587" s="247" t="s">
        <v>2056</v>
      </c>
      <c r="G1587" s="247" t="s">
        <v>1346</v>
      </c>
      <c r="H1587" s="247" t="s">
        <v>1975</v>
      </c>
      <c r="I1587" s="247" t="s">
        <v>2057</v>
      </c>
      <c r="J1587" s="247">
        <v>53</v>
      </c>
      <c r="K1587" s="247">
        <v>53</v>
      </c>
      <c r="L1587" s="249" t="s">
        <v>936</v>
      </c>
      <c r="M1587" s="249" t="s">
        <v>929</v>
      </c>
      <c r="N1587" s="248">
        <v>699.53</v>
      </c>
      <c r="O1587" s="248">
        <v>1899.41</v>
      </c>
      <c r="P1587" s="247" t="s">
        <v>1347</v>
      </c>
      <c r="Q1587" s="247" t="s">
        <v>90</v>
      </c>
    </row>
    <row r="1588" spans="1:17" x14ac:dyDescent="0.25">
      <c r="A1588" s="247" t="s">
        <v>646</v>
      </c>
      <c r="B1588" s="247" t="s">
        <v>265</v>
      </c>
      <c r="C1588" s="247" t="s">
        <v>1343</v>
      </c>
      <c r="D1588" s="247" t="s">
        <v>711</v>
      </c>
      <c r="E1588" s="247" t="s">
        <v>1284</v>
      </c>
      <c r="F1588" s="247" t="s">
        <v>2056</v>
      </c>
      <c r="G1588" s="247" t="s">
        <v>1346</v>
      </c>
      <c r="H1588" s="247" t="s">
        <v>1975</v>
      </c>
      <c r="I1588" s="247" t="s">
        <v>2057</v>
      </c>
      <c r="J1588" s="247">
        <v>53</v>
      </c>
      <c r="K1588" s="247">
        <v>53</v>
      </c>
      <c r="L1588" s="249" t="s">
        <v>937</v>
      </c>
      <c r="M1588" s="249" t="s">
        <v>929</v>
      </c>
      <c r="N1588" s="248">
        <v>324.39</v>
      </c>
      <c r="O1588" s="248">
        <v>2223.8000000000002</v>
      </c>
      <c r="P1588" s="247" t="s">
        <v>1347</v>
      </c>
      <c r="Q1588" s="247" t="s">
        <v>91</v>
      </c>
    </row>
    <row r="1589" spans="1:17" x14ac:dyDescent="0.25">
      <c r="A1589" s="247" t="s">
        <v>646</v>
      </c>
      <c r="B1589" s="247" t="s">
        <v>265</v>
      </c>
      <c r="C1589" s="247" t="s">
        <v>1343</v>
      </c>
      <c r="D1589" s="247" t="s">
        <v>711</v>
      </c>
      <c r="E1589" s="247" t="s">
        <v>1284</v>
      </c>
      <c r="F1589" s="247" t="s">
        <v>2056</v>
      </c>
      <c r="G1589" s="247" t="s">
        <v>1346</v>
      </c>
      <c r="H1589" s="247" t="s">
        <v>1975</v>
      </c>
      <c r="I1589" s="247" t="s">
        <v>2057</v>
      </c>
      <c r="J1589" s="247">
        <v>53</v>
      </c>
      <c r="K1589" s="247">
        <v>53</v>
      </c>
      <c r="L1589" s="249" t="s">
        <v>938</v>
      </c>
      <c r="M1589" s="249" t="s">
        <v>929</v>
      </c>
      <c r="N1589" s="248">
        <v>197.75</v>
      </c>
      <c r="O1589" s="248">
        <v>2421.5500000000002</v>
      </c>
      <c r="P1589" s="247" t="s">
        <v>1347</v>
      </c>
      <c r="Q1589" s="247" t="s">
        <v>92</v>
      </c>
    </row>
    <row r="1590" spans="1:17" x14ac:dyDescent="0.25">
      <c r="A1590" s="247" t="s">
        <v>646</v>
      </c>
      <c r="B1590" s="247" t="s">
        <v>265</v>
      </c>
      <c r="C1590" s="247" t="s">
        <v>1343</v>
      </c>
      <c r="D1590" s="247" t="s">
        <v>711</v>
      </c>
      <c r="E1590" s="247" t="s">
        <v>1284</v>
      </c>
      <c r="F1590" s="247" t="s">
        <v>2056</v>
      </c>
      <c r="G1590" s="247" t="s">
        <v>1346</v>
      </c>
      <c r="H1590" s="247" t="s">
        <v>1975</v>
      </c>
      <c r="I1590" s="247" t="s">
        <v>2057</v>
      </c>
      <c r="J1590" s="247">
        <v>53</v>
      </c>
      <c r="K1590" s="247">
        <v>53</v>
      </c>
      <c r="L1590" s="249" t="s">
        <v>939</v>
      </c>
      <c r="M1590" s="249" t="s">
        <v>929</v>
      </c>
      <c r="N1590" s="248">
        <v>189.27</v>
      </c>
      <c r="O1590" s="248">
        <v>2610.8200000000002</v>
      </c>
      <c r="P1590" s="247" t="s">
        <v>1347</v>
      </c>
      <c r="Q1590" s="247" t="s">
        <v>93</v>
      </c>
    </row>
    <row r="1591" spans="1:17" x14ac:dyDescent="0.25">
      <c r="A1591" s="247" t="s">
        <v>646</v>
      </c>
      <c r="B1591" s="247" t="s">
        <v>265</v>
      </c>
      <c r="C1591" s="247" t="s">
        <v>1343</v>
      </c>
      <c r="D1591" s="247" t="s">
        <v>711</v>
      </c>
      <c r="E1591" s="247" t="s">
        <v>1284</v>
      </c>
      <c r="F1591" s="247" t="s">
        <v>2056</v>
      </c>
      <c r="G1591" s="247" t="s">
        <v>1346</v>
      </c>
      <c r="H1591" s="247" t="s">
        <v>1975</v>
      </c>
      <c r="I1591" s="247" t="s">
        <v>2057</v>
      </c>
      <c r="J1591" s="247">
        <v>53</v>
      </c>
      <c r="K1591" s="247">
        <v>53</v>
      </c>
      <c r="L1591" s="249" t="s">
        <v>940</v>
      </c>
      <c r="M1591" s="249" t="s">
        <v>929</v>
      </c>
      <c r="N1591" s="248">
        <v>191.28</v>
      </c>
      <c r="O1591" s="248">
        <v>2802.1</v>
      </c>
      <c r="P1591" s="247" t="s">
        <v>1347</v>
      </c>
      <c r="Q1591" s="247" t="s">
        <v>94</v>
      </c>
    </row>
    <row r="1592" spans="1:17" x14ac:dyDescent="0.25">
      <c r="A1592" s="247" t="s">
        <v>646</v>
      </c>
      <c r="B1592" s="247" t="s">
        <v>265</v>
      </c>
      <c r="C1592" s="247" t="s">
        <v>1343</v>
      </c>
      <c r="D1592" s="247" t="s">
        <v>711</v>
      </c>
      <c r="E1592" s="247" t="s">
        <v>1284</v>
      </c>
      <c r="F1592" s="247" t="s">
        <v>2056</v>
      </c>
      <c r="G1592" s="247" t="s">
        <v>1346</v>
      </c>
      <c r="H1592" s="247" t="s">
        <v>1975</v>
      </c>
      <c r="I1592" s="247" t="s">
        <v>2057</v>
      </c>
      <c r="J1592" s="247">
        <v>53</v>
      </c>
      <c r="K1592" s="247">
        <v>53</v>
      </c>
      <c r="L1592" s="249" t="s">
        <v>642</v>
      </c>
      <c r="M1592" s="249" t="s">
        <v>929</v>
      </c>
      <c r="N1592" s="248">
        <v>525.88</v>
      </c>
      <c r="O1592" s="248">
        <v>3327.98</v>
      </c>
      <c r="P1592" s="247" t="s">
        <v>1347</v>
      </c>
      <c r="Q1592" s="247" t="s">
        <v>95</v>
      </c>
    </row>
    <row r="1593" spans="1:17" x14ac:dyDescent="0.25">
      <c r="A1593" s="247" t="s">
        <v>646</v>
      </c>
      <c r="B1593" s="247" t="s">
        <v>265</v>
      </c>
      <c r="C1593" s="247" t="s">
        <v>1343</v>
      </c>
      <c r="D1593" s="247" t="s">
        <v>755</v>
      </c>
      <c r="E1593" s="247" t="s">
        <v>1284</v>
      </c>
      <c r="F1593" s="247" t="s">
        <v>2058</v>
      </c>
      <c r="G1593" s="247" t="s">
        <v>1348</v>
      </c>
      <c r="H1593" s="247" t="s">
        <v>1975</v>
      </c>
      <c r="I1593" s="247" t="s">
        <v>2059</v>
      </c>
      <c r="J1593" s="247">
        <v>53</v>
      </c>
      <c r="K1593" s="247">
        <v>53</v>
      </c>
      <c r="L1593" s="249" t="s">
        <v>646</v>
      </c>
      <c r="M1593" s="249" t="s">
        <v>933</v>
      </c>
      <c r="N1593" s="248">
        <v>21.5</v>
      </c>
      <c r="O1593" s="248">
        <v>365.5</v>
      </c>
      <c r="P1593" s="247" t="s">
        <v>1349</v>
      </c>
      <c r="Q1593" s="247" t="s">
        <v>84</v>
      </c>
    </row>
    <row r="1594" spans="1:17" x14ac:dyDescent="0.25">
      <c r="A1594" s="247" t="s">
        <v>646</v>
      </c>
      <c r="B1594" s="247" t="s">
        <v>265</v>
      </c>
      <c r="C1594" s="247" t="s">
        <v>1343</v>
      </c>
      <c r="D1594" s="247" t="s">
        <v>755</v>
      </c>
      <c r="E1594" s="247" t="s">
        <v>1284</v>
      </c>
      <c r="F1594" s="247" t="s">
        <v>2058</v>
      </c>
      <c r="G1594" s="247" t="s">
        <v>1348</v>
      </c>
      <c r="H1594" s="247" t="s">
        <v>1975</v>
      </c>
      <c r="I1594" s="247" t="s">
        <v>2059</v>
      </c>
      <c r="J1594" s="247">
        <v>53</v>
      </c>
      <c r="K1594" s="247">
        <v>53</v>
      </c>
      <c r="L1594" s="249" t="s">
        <v>650</v>
      </c>
      <c r="M1594" s="249" t="s">
        <v>933</v>
      </c>
      <c r="N1594" s="248">
        <v>21.5</v>
      </c>
      <c r="O1594" s="248">
        <v>387</v>
      </c>
      <c r="P1594" s="247" t="s">
        <v>1349</v>
      </c>
      <c r="Q1594" s="247" t="s">
        <v>85</v>
      </c>
    </row>
    <row r="1595" spans="1:17" x14ac:dyDescent="0.25">
      <c r="A1595" s="247" t="s">
        <v>646</v>
      </c>
      <c r="B1595" s="247" t="s">
        <v>265</v>
      </c>
      <c r="C1595" s="247" t="s">
        <v>1343</v>
      </c>
      <c r="D1595" s="247" t="s">
        <v>755</v>
      </c>
      <c r="E1595" s="247" t="s">
        <v>1284</v>
      </c>
      <c r="F1595" s="247" t="s">
        <v>2058</v>
      </c>
      <c r="G1595" s="247" t="s">
        <v>1348</v>
      </c>
      <c r="H1595" s="247" t="s">
        <v>1975</v>
      </c>
      <c r="I1595" s="247" t="s">
        <v>2059</v>
      </c>
      <c r="J1595" s="247">
        <v>53</v>
      </c>
      <c r="K1595" s="247">
        <v>53</v>
      </c>
      <c r="L1595" s="249" t="s">
        <v>652</v>
      </c>
      <c r="M1595" s="249" t="s">
        <v>933</v>
      </c>
      <c r="N1595" s="248">
        <v>21.5</v>
      </c>
      <c r="O1595" s="248">
        <v>408.5</v>
      </c>
      <c r="P1595" s="247" t="s">
        <v>1349</v>
      </c>
      <c r="Q1595" s="247" t="s">
        <v>86</v>
      </c>
    </row>
    <row r="1596" spans="1:17" x14ac:dyDescent="0.25">
      <c r="A1596" s="247" t="s">
        <v>646</v>
      </c>
      <c r="B1596" s="247" t="s">
        <v>265</v>
      </c>
      <c r="C1596" s="247" t="s">
        <v>1343</v>
      </c>
      <c r="D1596" s="247" t="s">
        <v>755</v>
      </c>
      <c r="E1596" s="247" t="s">
        <v>1284</v>
      </c>
      <c r="F1596" s="247" t="s">
        <v>2058</v>
      </c>
      <c r="G1596" s="247" t="s">
        <v>1348</v>
      </c>
      <c r="H1596" s="247" t="s">
        <v>1975</v>
      </c>
      <c r="I1596" s="247" t="s">
        <v>2059</v>
      </c>
      <c r="J1596" s="247">
        <v>53</v>
      </c>
      <c r="K1596" s="247">
        <v>53</v>
      </c>
      <c r="L1596" s="249" t="s">
        <v>789</v>
      </c>
      <c r="M1596" s="249" t="s">
        <v>929</v>
      </c>
      <c r="N1596" s="248">
        <v>21.5</v>
      </c>
      <c r="O1596" s="248">
        <v>21.5</v>
      </c>
      <c r="P1596" s="247" t="s">
        <v>1349</v>
      </c>
      <c r="Q1596" s="247" t="s">
        <v>87</v>
      </c>
    </row>
    <row r="1597" spans="1:17" x14ac:dyDescent="0.25">
      <c r="A1597" s="247" t="s">
        <v>646</v>
      </c>
      <c r="B1597" s="247" t="s">
        <v>265</v>
      </c>
      <c r="C1597" s="247" t="s">
        <v>1343</v>
      </c>
      <c r="D1597" s="247" t="s">
        <v>755</v>
      </c>
      <c r="E1597" s="247" t="s">
        <v>1284</v>
      </c>
      <c r="F1597" s="247" t="s">
        <v>2058</v>
      </c>
      <c r="G1597" s="247" t="s">
        <v>1348</v>
      </c>
      <c r="H1597" s="247" t="s">
        <v>1975</v>
      </c>
      <c r="I1597" s="247" t="s">
        <v>2059</v>
      </c>
      <c r="J1597" s="247">
        <v>53</v>
      </c>
      <c r="K1597" s="247">
        <v>53</v>
      </c>
      <c r="L1597" s="249" t="s">
        <v>791</v>
      </c>
      <c r="M1597" s="249" t="s">
        <v>929</v>
      </c>
      <c r="N1597" s="248">
        <v>21.5</v>
      </c>
      <c r="O1597" s="248">
        <v>43</v>
      </c>
      <c r="P1597" s="247" t="s">
        <v>1349</v>
      </c>
      <c r="Q1597" s="247" t="s">
        <v>88</v>
      </c>
    </row>
    <row r="1598" spans="1:17" x14ac:dyDescent="0.25">
      <c r="A1598" s="247" t="s">
        <v>646</v>
      </c>
      <c r="B1598" s="247" t="s">
        <v>265</v>
      </c>
      <c r="C1598" s="247" t="s">
        <v>1343</v>
      </c>
      <c r="D1598" s="247" t="s">
        <v>755</v>
      </c>
      <c r="E1598" s="247" t="s">
        <v>1284</v>
      </c>
      <c r="F1598" s="247" t="s">
        <v>2058</v>
      </c>
      <c r="G1598" s="247" t="s">
        <v>1348</v>
      </c>
      <c r="H1598" s="247" t="s">
        <v>1975</v>
      </c>
      <c r="I1598" s="247" t="s">
        <v>2059</v>
      </c>
      <c r="J1598" s="247">
        <v>53</v>
      </c>
      <c r="K1598" s="247">
        <v>53</v>
      </c>
      <c r="L1598" s="249" t="s">
        <v>935</v>
      </c>
      <c r="M1598" s="249" t="s">
        <v>929</v>
      </c>
      <c r="N1598" s="248">
        <v>21.5</v>
      </c>
      <c r="O1598" s="248">
        <v>64.5</v>
      </c>
      <c r="P1598" s="247" t="s">
        <v>1349</v>
      </c>
      <c r="Q1598" s="247" t="s">
        <v>89</v>
      </c>
    </row>
    <row r="1599" spans="1:17" x14ac:dyDescent="0.25">
      <c r="A1599" s="247" t="s">
        <v>646</v>
      </c>
      <c r="B1599" s="247" t="s">
        <v>265</v>
      </c>
      <c r="C1599" s="247" t="s">
        <v>1343</v>
      </c>
      <c r="D1599" s="247" t="s">
        <v>755</v>
      </c>
      <c r="E1599" s="247" t="s">
        <v>1284</v>
      </c>
      <c r="F1599" s="247" t="s">
        <v>2058</v>
      </c>
      <c r="G1599" s="247" t="s">
        <v>1348</v>
      </c>
      <c r="H1599" s="247" t="s">
        <v>1975</v>
      </c>
      <c r="I1599" s="247" t="s">
        <v>2059</v>
      </c>
      <c r="J1599" s="247">
        <v>53</v>
      </c>
      <c r="K1599" s="247">
        <v>53</v>
      </c>
      <c r="L1599" s="249" t="s">
        <v>936</v>
      </c>
      <c r="M1599" s="249" t="s">
        <v>929</v>
      </c>
      <c r="N1599" s="248">
        <v>21.5</v>
      </c>
      <c r="O1599" s="248">
        <v>86</v>
      </c>
      <c r="P1599" s="247" t="s">
        <v>1349</v>
      </c>
      <c r="Q1599" s="247" t="s">
        <v>90</v>
      </c>
    </row>
    <row r="1600" spans="1:17" x14ac:dyDescent="0.25">
      <c r="A1600" s="247" t="s">
        <v>646</v>
      </c>
      <c r="B1600" s="247" t="s">
        <v>265</v>
      </c>
      <c r="C1600" s="247" t="s">
        <v>1343</v>
      </c>
      <c r="D1600" s="247" t="s">
        <v>755</v>
      </c>
      <c r="E1600" s="247" t="s">
        <v>1284</v>
      </c>
      <c r="F1600" s="247" t="s">
        <v>2058</v>
      </c>
      <c r="G1600" s="247" t="s">
        <v>1348</v>
      </c>
      <c r="H1600" s="247" t="s">
        <v>1975</v>
      </c>
      <c r="I1600" s="247" t="s">
        <v>2059</v>
      </c>
      <c r="J1600" s="247">
        <v>53</v>
      </c>
      <c r="K1600" s="247">
        <v>53</v>
      </c>
      <c r="L1600" s="249" t="s">
        <v>937</v>
      </c>
      <c r="M1600" s="249" t="s">
        <v>929</v>
      </c>
      <c r="N1600" s="248">
        <v>21.5</v>
      </c>
      <c r="O1600" s="248">
        <v>107.5</v>
      </c>
      <c r="P1600" s="247" t="s">
        <v>1349</v>
      </c>
      <c r="Q1600" s="247" t="s">
        <v>91</v>
      </c>
    </row>
    <row r="1601" spans="1:17" x14ac:dyDescent="0.25">
      <c r="A1601" s="247" t="s">
        <v>646</v>
      </c>
      <c r="B1601" s="247" t="s">
        <v>265</v>
      </c>
      <c r="C1601" s="247" t="s">
        <v>1343</v>
      </c>
      <c r="D1601" s="247" t="s">
        <v>755</v>
      </c>
      <c r="E1601" s="247" t="s">
        <v>1284</v>
      </c>
      <c r="F1601" s="247" t="s">
        <v>2058</v>
      </c>
      <c r="G1601" s="247" t="s">
        <v>1348</v>
      </c>
      <c r="H1601" s="247" t="s">
        <v>1975</v>
      </c>
      <c r="I1601" s="247" t="s">
        <v>2059</v>
      </c>
      <c r="J1601" s="247">
        <v>53</v>
      </c>
      <c r="K1601" s="247">
        <v>53</v>
      </c>
      <c r="L1601" s="249" t="s">
        <v>938</v>
      </c>
      <c r="M1601" s="249" t="s">
        <v>929</v>
      </c>
      <c r="N1601" s="248">
        <v>21.5</v>
      </c>
      <c r="O1601" s="248">
        <v>129</v>
      </c>
      <c r="P1601" s="247" t="s">
        <v>1349</v>
      </c>
      <c r="Q1601" s="247" t="s">
        <v>92</v>
      </c>
    </row>
    <row r="1602" spans="1:17" x14ac:dyDescent="0.25">
      <c r="A1602" s="247" t="s">
        <v>646</v>
      </c>
      <c r="B1602" s="247" t="s">
        <v>265</v>
      </c>
      <c r="C1602" s="247" t="s">
        <v>1343</v>
      </c>
      <c r="D1602" s="247" t="s">
        <v>755</v>
      </c>
      <c r="E1602" s="247" t="s">
        <v>1284</v>
      </c>
      <c r="F1602" s="247" t="s">
        <v>2058</v>
      </c>
      <c r="G1602" s="247" t="s">
        <v>1348</v>
      </c>
      <c r="H1602" s="247" t="s">
        <v>1975</v>
      </c>
      <c r="I1602" s="247" t="s">
        <v>2059</v>
      </c>
      <c r="J1602" s="247">
        <v>53</v>
      </c>
      <c r="K1602" s="247">
        <v>53</v>
      </c>
      <c r="L1602" s="249" t="s">
        <v>939</v>
      </c>
      <c r="M1602" s="249" t="s">
        <v>929</v>
      </c>
      <c r="N1602" s="248">
        <v>21.5</v>
      </c>
      <c r="O1602" s="248">
        <v>150.5</v>
      </c>
      <c r="P1602" s="247" t="s">
        <v>1349</v>
      </c>
      <c r="Q1602" s="247" t="s">
        <v>93</v>
      </c>
    </row>
    <row r="1603" spans="1:17" x14ac:dyDescent="0.25">
      <c r="A1603" s="247" t="s">
        <v>646</v>
      </c>
      <c r="B1603" s="247" t="s">
        <v>265</v>
      </c>
      <c r="C1603" s="247" t="s">
        <v>1343</v>
      </c>
      <c r="D1603" s="247" t="s">
        <v>755</v>
      </c>
      <c r="E1603" s="247" t="s">
        <v>1284</v>
      </c>
      <c r="F1603" s="247" t="s">
        <v>2058</v>
      </c>
      <c r="G1603" s="247" t="s">
        <v>1348</v>
      </c>
      <c r="H1603" s="247" t="s">
        <v>1975</v>
      </c>
      <c r="I1603" s="247" t="s">
        <v>2059</v>
      </c>
      <c r="J1603" s="247">
        <v>53</v>
      </c>
      <c r="K1603" s="247">
        <v>53</v>
      </c>
      <c r="L1603" s="249" t="s">
        <v>940</v>
      </c>
      <c r="M1603" s="249" t="s">
        <v>929</v>
      </c>
      <c r="N1603" s="248">
        <v>21.5</v>
      </c>
      <c r="O1603" s="248">
        <v>172</v>
      </c>
      <c r="P1603" s="247" t="s">
        <v>1349</v>
      </c>
      <c r="Q1603" s="247" t="s">
        <v>94</v>
      </c>
    </row>
    <row r="1604" spans="1:17" x14ac:dyDescent="0.25">
      <c r="A1604" s="247" t="s">
        <v>646</v>
      </c>
      <c r="B1604" s="247" t="s">
        <v>265</v>
      </c>
      <c r="C1604" s="247" t="s">
        <v>1343</v>
      </c>
      <c r="D1604" s="247" t="s">
        <v>755</v>
      </c>
      <c r="E1604" s="247" t="s">
        <v>1284</v>
      </c>
      <c r="F1604" s="247" t="s">
        <v>2058</v>
      </c>
      <c r="G1604" s="247" t="s">
        <v>1348</v>
      </c>
      <c r="H1604" s="247" t="s">
        <v>1975</v>
      </c>
      <c r="I1604" s="247" t="s">
        <v>2059</v>
      </c>
      <c r="J1604" s="247">
        <v>53</v>
      </c>
      <c r="K1604" s="247">
        <v>53</v>
      </c>
      <c r="L1604" s="249" t="s">
        <v>642</v>
      </c>
      <c r="M1604" s="249" t="s">
        <v>929</v>
      </c>
      <c r="N1604" s="248">
        <v>21.5</v>
      </c>
      <c r="O1604" s="248">
        <v>193.5</v>
      </c>
      <c r="P1604" s="247" t="s">
        <v>1349</v>
      </c>
      <c r="Q1604" s="247" t="s">
        <v>95</v>
      </c>
    </row>
    <row r="1605" spans="1:17" x14ac:dyDescent="0.25">
      <c r="A1605" s="247" t="s">
        <v>646</v>
      </c>
      <c r="B1605" s="247" t="s">
        <v>265</v>
      </c>
      <c r="C1605" s="247" t="s">
        <v>1343</v>
      </c>
      <c r="D1605" s="247" t="s">
        <v>823</v>
      </c>
      <c r="E1605" s="247" t="s">
        <v>1284</v>
      </c>
      <c r="F1605" s="247" t="s">
        <v>2060</v>
      </c>
      <c r="G1605" s="247" t="s">
        <v>1350</v>
      </c>
      <c r="H1605" s="247" t="s">
        <v>1975</v>
      </c>
      <c r="I1605" s="247" t="s">
        <v>2061</v>
      </c>
      <c r="J1605" s="247">
        <v>51</v>
      </c>
      <c r="K1605" s="247">
        <v>51</v>
      </c>
      <c r="L1605" s="249" t="s">
        <v>646</v>
      </c>
      <c r="M1605" s="249" t="s">
        <v>933</v>
      </c>
      <c r="N1605" s="248">
        <v>2402.5500000000002</v>
      </c>
      <c r="O1605" s="248">
        <v>4726.95</v>
      </c>
      <c r="P1605" s="247" t="s">
        <v>1351</v>
      </c>
      <c r="Q1605" s="247" t="s">
        <v>84</v>
      </c>
    </row>
    <row r="1606" spans="1:17" x14ac:dyDescent="0.25">
      <c r="A1606" s="247" t="s">
        <v>646</v>
      </c>
      <c r="B1606" s="247" t="s">
        <v>265</v>
      </c>
      <c r="C1606" s="247" t="s">
        <v>1343</v>
      </c>
      <c r="D1606" s="247" t="s">
        <v>823</v>
      </c>
      <c r="E1606" s="247" t="s">
        <v>1284</v>
      </c>
      <c r="F1606" s="247" t="s">
        <v>2060</v>
      </c>
      <c r="G1606" s="247" t="s">
        <v>1350</v>
      </c>
      <c r="H1606" s="247" t="s">
        <v>1975</v>
      </c>
      <c r="I1606" s="247" t="s">
        <v>2061</v>
      </c>
      <c r="J1606" s="247">
        <v>51</v>
      </c>
      <c r="K1606" s="247">
        <v>51</v>
      </c>
      <c r="L1606" s="249" t="s">
        <v>650</v>
      </c>
      <c r="M1606" s="249" t="s">
        <v>933</v>
      </c>
      <c r="N1606" s="248">
        <v>146.96</v>
      </c>
      <c r="O1606" s="248">
        <v>4873.91</v>
      </c>
      <c r="P1606" s="247" t="s">
        <v>1351</v>
      </c>
      <c r="Q1606" s="247" t="s">
        <v>85</v>
      </c>
    </row>
    <row r="1607" spans="1:17" x14ac:dyDescent="0.25">
      <c r="A1607" s="247" t="s">
        <v>646</v>
      </c>
      <c r="B1607" s="247" t="s">
        <v>265</v>
      </c>
      <c r="C1607" s="247" t="s">
        <v>1343</v>
      </c>
      <c r="D1607" s="247" t="s">
        <v>823</v>
      </c>
      <c r="E1607" s="247" t="s">
        <v>1284</v>
      </c>
      <c r="F1607" s="247" t="s">
        <v>2060</v>
      </c>
      <c r="G1607" s="247" t="s">
        <v>1350</v>
      </c>
      <c r="H1607" s="247" t="s">
        <v>1975</v>
      </c>
      <c r="I1607" s="247" t="s">
        <v>2061</v>
      </c>
      <c r="J1607" s="247">
        <v>51</v>
      </c>
      <c r="K1607" s="247">
        <v>51</v>
      </c>
      <c r="L1607" s="249" t="s">
        <v>652</v>
      </c>
      <c r="M1607" s="249" t="s">
        <v>933</v>
      </c>
      <c r="N1607" s="248">
        <v>405.53</v>
      </c>
      <c r="O1607" s="248">
        <v>5279.44</v>
      </c>
      <c r="P1607" s="247" t="s">
        <v>1351</v>
      </c>
      <c r="Q1607" s="247" t="s">
        <v>86</v>
      </c>
    </row>
    <row r="1608" spans="1:17" x14ac:dyDescent="0.25">
      <c r="A1608" s="247" t="s">
        <v>646</v>
      </c>
      <c r="B1608" s="247" t="s">
        <v>265</v>
      </c>
      <c r="C1608" s="247" t="s">
        <v>1343</v>
      </c>
      <c r="D1608" s="247" t="s">
        <v>823</v>
      </c>
      <c r="E1608" s="247" t="s">
        <v>1284</v>
      </c>
      <c r="F1608" s="247" t="s">
        <v>2060</v>
      </c>
      <c r="G1608" s="247" t="s">
        <v>1350</v>
      </c>
      <c r="H1608" s="247" t="s">
        <v>1975</v>
      </c>
      <c r="I1608" s="247" t="s">
        <v>2061</v>
      </c>
      <c r="J1608" s="247">
        <v>51</v>
      </c>
      <c r="K1608" s="247">
        <v>51</v>
      </c>
      <c r="L1608" s="249" t="s">
        <v>789</v>
      </c>
      <c r="M1608" s="249" t="s">
        <v>929</v>
      </c>
      <c r="N1608" s="248">
        <v>438.14</v>
      </c>
      <c r="O1608" s="248">
        <v>438.14</v>
      </c>
      <c r="P1608" s="247" t="s">
        <v>1351</v>
      </c>
      <c r="Q1608" s="247" t="s">
        <v>87</v>
      </c>
    </row>
    <row r="1609" spans="1:17" x14ac:dyDescent="0.25">
      <c r="A1609" s="247" t="s">
        <v>646</v>
      </c>
      <c r="B1609" s="247" t="s">
        <v>265</v>
      </c>
      <c r="C1609" s="247" t="s">
        <v>1343</v>
      </c>
      <c r="D1609" s="247" t="s">
        <v>823</v>
      </c>
      <c r="E1609" s="247" t="s">
        <v>1284</v>
      </c>
      <c r="F1609" s="247" t="s">
        <v>2060</v>
      </c>
      <c r="G1609" s="247" t="s">
        <v>1350</v>
      </c>
      <c r="H1609" s="247" t="s">
        <v>1975</v>
      </c>
      <c r="I1609" s="247" t="s">
        <v>2061</v>
      </c>
      <c r="J1609" s="247">
        <v>51</v>
      </c>
      <c r="K1609" s="247">
        <v>51</v>
      </c>
      <c r="L1609" s="249" t="s">
        <v>791</v>
      </c>
      <c r="M1609" s="249" t="s">
        <v>929</v>
      </c>
      <c r="N1609" s="248">
        <v>438.14</v>
      </c>
      <c r="O1609" s="248">
        <v>876.28</v>
      </c>
      <c r="P1609" s="247" t="s">
        <v>1351</v>
      </c>
      <c r="Q1609" s="247" t="s">
        <v>88</v>
      </c>
    </row>
    <row r="1610" spans="1:17" x14ac:dyDescent="0.25">
      <c r="A1610" s="247" t="s">
        <v>646</v>
      </c>
      <c r="B1610" s="247" t="s">
        <v>265</v>
      </c>
      <c r="C1610" s="247" t="s">
        <v>1343</v>
      </c>
      <c r="D1610" s="247" t="s">
        <v>823</v>
      </c>
      <c r="E1610" s="247" t="s">
        <v>1284</v>
      </c>
      <c r="F1610" s="247" t="s">
        <v>2060</v>
      </c>
      <c r="G1610" s="247" t="s">
        <v>1350</v>
      </c>
      <c r="H1610" s="247" t="s">
        <v>1975</v>
      </c>
      <c r="I1610" s="247" t="s">
        <v>2061</v>
      </c>
      <c r="J1610" s="247">
        <v>51</v>
      </c>
      <c r="K1610" s="247">
        <v>51</v>
      </c>
      <c r="L1610" s="249" t="s">
        <v>935</v>
      </c>
      <c r="M1610" s="249" t="s">
        <v>929</v>
      </c>
      <c r="N1610" s="248">
        <v>438.15</v>
      </c>
      <c r="O1610" s="248">
        <v>1314.43</v>
      </c>
      <c r="P1610" s="247" t="s">
        <v>1351</v>
      </c>
      <c r="Q1610" s="247" t="s">
        <v>89</v>
      </c>
    </row>
    <row r="1611" spans="1:17" x14ac:dyDescent="0.25">
      <c r="A1611" s="247" t="s">
        <v>646</v>
      </c>
      <c r="B1611" s="247" t="s">
        <v>265</v>
      </c>
      <c r="C1611" s="247" t="s">
        <v>1343</v>
      </c>
      <c r="D1611" s="247" t="s">
        <v>823</v>
      </c>
      <c r="E1611" s="247" t="s">
        <v>1284</v>
      </c>
      <c r="F1611" s="247" t="s">
        <v>2060</v>
      </c>
      <c r="G1611" s="247" t="s">
        <v>1350</v>
      </c>
      <c r="H1611" s="247" t="s">
        <v>1975</v>
      </c>
      <c r="I1611" s="247" t="s">
        <v>2061</v>
      </c>
      <c r="J1611" s="247">
        <v>51</v>
      </c>
      <c r="K1611" s="247">
        <v>51</v>
      </c>
      <c r="L1611" s="249" t="s">
        <v>936</v>
      </c>
      <c r="M1611" s="249" t="s">
        <v>929</v>
      </c>
      <c r="N1611" s="248">
        <v>438.15</v>
      </c>
      <c r="O1611" s="248">
        <v>1752.58</v>
      </c>
      <c r="P1611" s="247" t="s">
        <v>1351</v>
      </c>
      <c r="Q1611" s="247" t="s">
        <v>90</v>
      </c>
    </row>
    <row r="1612" spans="1:17" x14ac:dyDescent="0.25">
      <c r="A1612" s="247" t="s">
        <v>646</v>
      </c>
      <c r="B1612" s="247" t="s">
        <v>265</v>
      </c>
      <c r="C1612" s="247" t="s">
        <v>1343</v>
      </c>
      <c r="D1612" s="247" t="s">
        <v>823</v>
      </c>
      <c r="E1612" s="247" t="s">
        <v>1284</v>
      </c>
      <c r="F1612" s="247" t="s">
        <v>2060</v>
      </c>
      <c r="G1612" s="247" t="s">
        <v>1350</v>
      </c>
      <c r="H1612" s="247" t="s">
        <v>1975</v>
      </c>
      <c r="I1612" s="247" t="s">
        <v>2061</v>
      </c>
      <c r="J1612" s="247">
        <v>51</v>
      </c>
      <c r="K1612" s="247">
        <v>51</v>
      </c>
      <c r="L1612" s="249" t="s">
        <v>937</v>
      </c>
      <c r="M1612" s="249" t="s">
        <v>929</v>
      </c>
      <c r="N1612" s="248">
        <v>438.15</v>
      </c>
      <c r="O1612" s="248">
        <v>2190.73</v>
      </c>
      <c r="P1612" s="247" t="s">
        <v>1351</v>
      </c>
      <c r="Q1612" s="247" t="s">
        <v>91</v>
      </c>
    </row>
    <row r="1613" spans="1:17" x14ac:dyDescent="0.25">
      <c r="A1613" s="247" t="s">
        <v>646</v>
      </c>
      <c r="B1613" s="247" t="s">
        <v>265</v>
      </c>
      <c r="C1613" s="247" t="s">
        <v>1343</v>
      </c>
      <c r="D1613" s="247" t="s">
        <v>823</v>
      </c>
      <c r="E1613" s="247" t="s">
        <v>1284</v>
      </c>
      <c r="F1613" s="247" t="s">
        <v>2060</v>
      </c>
      <c r="G1613" s="247" t="s">
        <v>1350</v>
      </c>
      <c r="H1613" s="247" t="s">
        <v>1975</v>
      </c>
      <c r="I1613" s="247" t="s">
        <v>2061</v>
      </c>
      <c r="J1613" s="247">
        <v>51</v>
      </c>
      <c r="K1613" s="247">
        <v>51</v>
      </c>
      <c r="L1613" s="249" t="s">
        <v>938</v>
      </c>
      <c r="M1613" s="249" t="s">
        <v>929</v>
      </c>
      <c r="N1613" s="248">
        <v>438.15</v>
      </c>
      <c r="O1613" s="248">
        <v>2628.88</v>
      </c>
      <c r="P1613" s="247" t="s">
        <v>1351</v>
      </c>
      <c r="Q1613" s="247" t="s">
        <v>92</v>
      </c>
    </row>
    <row r="1614" spans="1:17" x14ac:dyDescent="0.25">
      <c r="A1614" s="247" t="s">
        <v>646</v>
      </c>
      <c r="B1614" s="247" t="s">
        <v>265</v>
      </c>
      <c r="C1614" s="247" t="s">
        <v>1343</v>
      </c>
      <c r="D1614" s="247" t="s">
        <v>823</v>
      </c>
      <c r="E1614" s="247" t="s">
        <v>1284</v>
      </c>
      <c r="F1614" s="247" t="s">
        <v>2060</v>
      </c>
      <c r="G1614" s="247" t="s">
        <v>1350</v>
      </c>
      <c r="H1614" s="247" t="s">
        <v>1975</v>
      </c>
      <c r="I1614" s="247" t="s">
        <v>2061</v>
      </c>
      <c r="J1614" s="247">
        <v>51</v>
      </c>
      <c r="K1614" s="247">
        <v>51</v>
      </c>
      <c r="L1614" s="249" t="s">
        <v>939</v>
      </c>
      <c r="M1614" s="249" t="s">
        <v>929</v>
      </c>
      <c r="N1614" s="248">
        <v>438.15</v>
      </c>
      <c r="O1614" s="248">
        <v>3067.03</v>
      </c>
      <c r="P1614" s="247" t="s">
        <v>1351</v>
      </c>
      <c r="Q1614" s="247" t="s">
        <v>93</v>
      </c>
    </row>
    <row r="1615" spans="1:17" x14ac:dyDescent="0.25">
      <c r="A1615" s="247" t="s">
        <v>646</v>
      </c>
      <c r="B1615" s="247" t="s">
        <v>265</v>
      </c>
      <c r="C1615" s="247" t="s">
        <v>1343</v>
      </c>
      <c r="D1615" s="247" t="s">
        <v>823</v>
      </c>
      <c r="E1615" s="247" t="s">
        <v>1284</v>
      </c>
      <c r="F1615" s="247" t="s">
        <v>2060</v>
      </c>
      <c r="G1615" s="247" t="s">
        <v>1350</v>
      </c>
      <c r="H1615" s="247" t="s">
        <v>1975</v>
      </c>
      <c r="I1615" s="247" t="s">
        <v>2061</v>
      </c>
      <c r="J1615" s="247">
        <v>51</v>
      </c>
      <c r="K1615" s="247">
        <v>51</v>
      </c>
      <c r="L1615" s="249" t="s">
        <v>940</v>
      </c>
      <c r="M1615" s="249" t="s">
        <v>929</v>
      </c>
      <c r="N1615" s="248">
        <v>438.15</v>
      </c>
      <c r="O1615" s="248">
        <v>3505.18</v>
      </c>
      <c r="P1615" s="247" t="s">
        <v>1351</v>
      </c>
      <c r="Q1615" s="247" t="s">
        <v>94</v>
      </c>
    </row>
    <row r="1616" spans="1:17" x14ac:dyDescent="0.25">
      <c r="A1616" s="247" t="s">
        <v>646</v>
      </c>
      <c r="B1616" s="247" t="s">
        <v>265</v>
      </c>
      <c r="C1616" s="247" t="s">
        <v>1343</v>
      </c>
      <c r="D1616" s="247" t="s">
        <v>823</v>
      </c>
      <c r="E1616" s="247" t="s">
        <v>1284</v>
      </c>
      <c r="F1616" s="247" t="s">
        <v>2060</v>
      </c>
      <c r="G1616" s="247" t="s">
        <v>1350</v>
      </c>
      <c r="H1616" s="247" t="s">
        <v>1975</v>
      </c>
      <c r="I1616" s="247" t="s">
        <v>2061</v>
      </c>
      <c r="J1616" s="247">
        <v>51</v>
      </c>
      <c r="K1616" s="247">
        <v>51</v>
      </c>
      <c r="L1616" s="249" t="s">
        <v>642</v>
      </c>
      <c r="M1616" s="249" t="s">
        <v>929</v>
      </c>
      <c r="N1616" s="248">
        <v>438.15</v>
      </c>
      <c r="O1616" s="248">
        <v>3943.33</v>
      </c>
      <c r="P1616" s="247" t="s">
        <v>1351</v>
      </c>
      <c r="Q1616" s="247" t="s">
        <v>95</v>
      </c>
    </row>
    <row r="1617" spans="1:17" x14ac:dyDescent="0.25">
      <c r="A1617" s="247" t="s">
        <v>646</v>
      </c>
      <c r="B1617" s="247" t="s">
        <v>265</v>
      </c>
      <c r="C1617" s="247" t="s">
        <v>1343</v>
      </c>
      <c r="D1617" s="247" t="s">
        <v>569</v>
      </c>
      <c r="E1617" s="247" t="s">
        <v>1284</v>
      </c>
      <c r="F1617" s="247" t="s">
        <v>2062</v>
      </c>
      <c r="G1617" s="247" t="s">
        <v>1352</v>
      </c>
      <c r="H1617" s="247" t="s">
        <v>1975</v>
      </c>
      <c r="I1617" s="247" t="s">
        <v>2063</v>
      </c>
      <c r="J1617" s="247">
        <v>55</v>
      </c>
      <c r="K1617" s="247">
        <v>55</v>
      </c>
      <c r="L1617" s="249" t="s">
        <v>646</v>
      </c>
      <c r="M1617" s="249" t="s">
        <v>933</v>
      </c>
      <c r="N1617" s="248">
        <v>480.84</v>
      </c>
      <c r="O1617" s="248">
        <v>5877.45</v>
      </c>
      <c r="P1617" s="247" t="s">
        <v>1353</v>
      </c>
      <c r="Q1617" s="247" t="s">
        <v>84</v>
      </c>
    </row>
    <row r="1618" spans="1:17" x14ac:dyDescent="0.25">
      <c r="A1618" s="247" t="s">
        <v>646</v>
      </c>
      <c r="B1618" s="247" t="s">
        <v>265</v>
      </c>
      <c r="C1618" s="247" t="s">
        <v>1343</v>
      </c>
      <c r="D1618" s="247" t="s">
        <v>569</v>
      </c>
      <c r="E1618" s="247" t="s">
        <v>1284</v>
      </c>
      <c r="F1618" s="247" t="s">
        <v>2062</v>
      </c>
      <c r="G1618" s="247" t="s">
        <v>1352</v>
      </c>
      <c r="H1618" s="247" t="s">
        <v>1975</v>
      </c>
      <c r="I1618" s="247" t="s">
        <v>2063</v>
      </c>
      <c r="J1618" s="247">
        <v>55</v>
      </c>
      <c r="K1618" s="247">
        <v>55</v>
      </c>
      <c r="L1618" s="249" t="s">
        <v>650</v>
      </c>
      <c r="M1618" s="249" t="s">
        <v>933</v>
      </c>
      <c r="N1618" s="248">
        <v>335.55</v>
      </c>
      <c r="O1618" s="248">
        <v>6213</v>
      </c>
      <c r="P1618" s="247" t="s">
        <v>1353</v>
      </c>
      <c r="Q1618" s="247" t="s">
        <v>85</v>
      </c>
    </row>
    <row r="1619" spans="1:17" x14ac:dyDescent="0.25">
      <c r="A1619" s="247" t="s">
        <v>646</v>
      </c>
      <c r="B1619" s="247" t="s">
        <v>265</v>
      </c>
      <c r="C1619" s="247" t="s">
        <v>1343</v>
      </c>
      <c r="D1619" s="247" t="s">
        <v>569</v>
      </c>
      <c r="E1619" s="247" t="s">
        <v>1284</v>
      </c>
      <c r="F1619" s="247" t="s">
        <v>2062</v>
      </c>
      <c r="G1619" s="247" t="s">
        <v>1352</v>
      </c>
      <c r="H1619" s="247" t="s">
        <v>1975</v>
      </c>
      <c r="I1619" s="247" t="s">
        <v>2063</v>
      </c>
      <c r="J1619" s="247">
        <v>55</v>
      </c>
      <c r="K1619" s="247">
        <v>55</v>
      </c>
      <c r="L1619" s="249" t="s">
        <v>652</v>
      </c>
      <c r="M1619" s="249" t="s">
        <v>933</v>
      </c>
      <c r="N1619" s="248">
        <v>341.19</v>
      </c>
      <c r="O1619" s="248">
        <v>6554.19</v>
      </c>
      <c r="P1619" s="247" t="s">
        <v>1353</v>
      </c>
      <c r="Q1619" s="247" t="s">
        <v>86</v>
      </c>
    </row>
    <row r="1620" spans="1:17" x14ac:dyDescent="0.25">
      <c r="A1620" s="247" t="s">
        <v>646</v>
      </c>
      <c r="B1620" s="247" t="s">
        <v>265</v>
      </c>
      <c r="C1620" s="247" t="s">
        <v>1343</v>
      </c>
      <c r="D1620" s="247" t="s">
        <v>569</v>
      </c>
      <c r="E1620" s="247" t="s">
        <v>1284</v>
      </c>
      <c r="F1620" s="247" t="s">
        <v>2062</v>
      </c>
      <c r="G1620" s="247" t="s">
        <v>1352</v>
      </c>
      <c r="H1620" s="247" t="s">
        <v>1975</v>
      </c>
      <c r="I1620" s="247" t="s">
        <v>2063</v>
      </c>
      <c r="J1620" s="247">
        <v>55</v>
      </c>
      <c r="K1620" s="247">
        <v>55</v>
      </c>
      <c r="L1620" s="249" t="s">
        <v>789</v>
      </c>
      <c r="M1620" s="249" t="s">
        <v>929</v>
      </c>
      <c r="N1620" s="248">
        <v>565.42999999999995</v>
      </c>
      <c r="O1620" s="248">
        <v>565.42999999999995</v>
      </c>
      <c r="P1620" s="247" t="s">
        <v>1353</v>
      </c>
      <c r="Q1620" s="247" t="s">
        <v>87</v>
      </c>
    </row>
    <row r="1621" spans="1:17" x14ac:dyDescent="0.25">
      <c r="A1621" s="247" t="s">
        <v>646</v>
      </c>
      <c r="B1621" s="247" t="s">
        <v>265</v>
      </c>
      <c r="C1621" s="247" t="s">
        <v>1343</v>
      </c>
      <c r="D1621" s="247" t="s">
        <v>569</v>
      </c>
      <c r="E1621" s="247" t="s">
        <v>1284</v>
      </c>
      <c r="F1621" s="247" t="s">
        <v>2062</v>
      </c>
      <c r="G1621" s="247" t="s">
        <v>1352</v>
      </c>
      <c r="H1621" s="247" t="s">
        <v>1975</v>
      </c>
      <c r="I1621" s="247" t="s">
        <v>2063</v>
      </c>
      <c r="J1621" s="247">
        <v>55</v>
      </c>
      <c r="K1621" s="247">
        <v>55</v>
      </c>
      <c r="L1621" s="249" t="s">
        <v>791</v>
      </c>
      <c r="M1621" s="249" t="s">
        <v>929</v>
      </c>
      <c r="N1621" s="248">
        <v>617.53</v>
      </c>
      <c r="O1621" s="248">
        <v>1182.96</v>
      </c>
      <c r="P1621" s="247" t="s">
        <v>1353</v>
      </c>
      <c r="Q1621" s="247" t="s">
        <v>88</v>
      </c>
    </row>
    <row r="1622" spans="1:17" x14ac:dyDescent="0.25">
      <c r="A1622" s="247" t="s">
        <v>646</v>
      </c>
      <c r="B1622" s="247" t="s">
        <v>265</v>
      </c>
      <c r="C1622" s="247" t="s">
        <v>1343</v>
      </c>
      <c r="D1622" s="247" t="s">
        <v>569</v>
      </c>
      <c r="E1622" s="247" t="s">
        <v>1284</v>
      </c>
      <c r="F1622" s="247" t="s">
        <v>2062</v>
      </c>
      <c r="G1622" s="247" t="s">
        <v>1352</v>
      </c>
      <c r="H1622" s="247" t="s">
        <v>1975</v>
      </c>
      <c r="I1622" s="247" t="s">
        <v>2063</v>
      </c>
      <c r="J1622" s="247">
        <v>55</v>
      </c>
      <c r="K1622" s="247">
        <v>55</v>
      </c>
      <c r="L1622" s="249" t="s">
        <v>935</v>
      </c>
      <c r="M1622" s="249" t="s">
        <v>929</v>
      </c>
      <c r="N1622" s="248">
        <v>579.17999999999995</v>
      </c>
      <c r="O1622" s="248">
        <v>1762.14</v>
      </c>
      <c r="P1622" s="247" t="s">
        <v>1353</v>
      </c>
      <c r="Q1622" s="247" t="s">
        <v>89</v>
      </c>
    </row>
    <row r="1623" spans="1:17" x14ac:dyDescent="0.25">
      <c r="A1623" s="247" t="s">
        <v>646</v>
      </c>
      <c r="B1623" s="247" t="s">
        <v>265</v>
      </c>
      <c r="C1623" s="247" t="s">
        <v>1343</v>
      </c>
      <c r="D1623" s="247" t="s">
        <v>569</v>
      </c>
      <c r="E1623" s="247" t="s">
        <v>1284</v>
      </c>
      <c r="F1623" s="247" t="s">
        <v>2062</v>
      </c>
      <c r="G1623" s="247" t="s">
        <v>1352</v>
      </c>
      <c r="H1623" s="247" t="s">
        <v>1975</v>
      </c>
      <c r="I1623" s="247" t="s">
        <v>2063</v>
      </c>
      <c r="J1623" s="247">
        <v>55</v>
      </c>
      <c r="K1623" s="247">
        <v>55</v>
      </c>
      <c r="L1623" s="249" t="s">
        <v>936</v>
      </c>
      <c r="M1623" s="249" t="s">
        <v>929</v>
      </c>
      <c r="N1623" s="248">
        <v>975.53</v>
      </c>
      <c r="O1623" s="248">
        <v>2737.67</v>
      </c>
      <c r="P1623" s="247" t="s">
        <v>1353</v>
      </c>
      <c r="Q1623" s="247" t="s">
        <v>90</v>
      </c>
    </row>
    <row r="1624" spans="1:17" x14ac:dyDescent="0.25">
      <c r="A1624" s="247" t="s">
        <v>646</v>
      </c>
      <c r="B1624" s="247" t="s">
        <v>265</v>
      </c>
      <c r="C1624" s="247" t="s">
        <v>1343</v>
      </c>
      <c r="D1624" s="247" t="s">
        <v>569</v>
      </c>
      <c r="E1624" s="247" t="s">
        <v>1284</v>
      </c>
      <c r="F1624" s="247" t="s">
        <v>2062</v>
      </c>
      <c r="G1624" s="247" t="s">
        <v>1352</v>
      </c>
      <c r="H1624" s="247" t="s">
        <v>1975</v>
      </c>
      <c r="I1624" s="247" t="s">
        <v>2063</v>
      </c>
      <c r="J1624" s="247">
        <v>55</v>
      </c>
      <c r="K1624" s="247">
        <v>55</v>
      </c>
      <c r="L1624" s="249" t="s">
        <v>937</v>
      </c>
      <c r="M1624" s="249" t="s">
        <v>929</v>
      </c>
      <c r="N1624" s="248">
        <v>500.56</v>
      </c>
      <c r="O1624" s="248">
        <v>3238.23</v>
      </c>
      <c r="P1624" s="247" t="s">
        <v>1353</v>
      </c>
      <c r="Q1624" s="247" t="s">
        <v>91</v>
      </c>
    </row>
    <row r="1625" spans="1:17" x14ac:dyDescent="0.25">
      <c r="A1625" s="247" t="s">
        <v>646</v>
      </c>
      <c r="B1625" s="247" t="s">
        <v>265</v>
      </c>
      <c r="C1625" s="247" t="s">
        <v>1343</v>
      </c>
      <c r="D1625" s="247" t="s">
        <v>569</v>
      </c>
      <c r="E1625" s="247" t="s">
        <v>1284</v>
      </c>
      <c r="F1625" s="247" t="s">
        <v>2062</v>
      </c>
      <c r="G1625" s="247" t="s">
        <v>1352</v>
      </c>
      <c r="H1625" s="247" t="s">
        <v>1975</v>
      </c>
      <c r="I1625" s="247" t="s">
        <v>2063</v>
      </c>
      <c r="J1625" s="247">
        <v>55</v>
      </c>
      <c r="K1625" s="247">
        <v>55</v>
      </c>
      <c r="L1625" s="249" t="s">
        <v>938</v>
      </c>
      <c r="M1625" s="249" t="s">
        <v>929</v>
      </c>
      <c r="N1625" s="248">
        <v>350.3</v>
      </c>
      <c r="O1625" s="248">
        <v>3588.53</v>
      </c>
      <c r="P1625" s="247" t="s">
        <v>1353</v>
      </c>
      <c r="Q1625" s="247" t="s">
        <v>92</v>
      </c>
    </row>
    <row r="1626" spans="1:17" x14ac:dyDescent="0.25">
      <c r="A1626" s="247" t="s">
        <v>646</v>
      </c>
      <c r="B1626" s="247" t="s">
        <v>265</v>
      </c>
      <c r="C1626" s="247" t="s">
        <v>1343</v>
      </c>
      <c r="D1626" s="247" t="s">
        <v>569</v>
      </c>
      <c r="E1626" s="247" t="s">
        <v>1284</v>
      </c>
      <c r="F1626" s="247" t="s">
        <v>2062</v>
      </c>
      <c r="G1626" s="247" t="s">
        <v>1352</v>
      </c>
      <c r="H1626" s="247" t="s">
        <v>1975</v>
      </c>
      <c r="I1626" s="247" t="s">
        <v>2063</v>
      </c>
      <c r="J1626" s="247">
        <v>55</v>
      </c>
      <c r="K1626" s="247">
        <v>55</v>
      </c>
      <c r="L1626" s="249" t="s">
        <v>939</v>
      </c>
      <c r="M1626" s="249" t="s">
        <v>929</v>
      </c>
      <c r="N1626" s="248">
        <v>339.78</v>
      </c>
      <c r="O1626" s="248">
        <v>3928.31</v>
      </c>
      <c r="P1626" s="247" t="s">
        <v>1353</v>
      </c>
      <c r="Q1626" s="247" t="s">
        <v>93</v>
      </c>
    </row>
    <row r="1627" spans="1:17" x14ac:dyDescent="0.25">
      <c r="A1627" s="247" t="s">
        <v>646</v>
      </c>
      <c r="B1627" s="247" t="s">
        <v>265</v>
      </c>
      <c r="C1627" s="247" t="s">
        <v>1343</v>
      </c>
      <c r="D1627" s="247" t="s">
        <v>569</v>
      </c>
      <c r="E1627" s="247" t="s">
        <v>1284</v>
      </c>
      <c r="F1627" s="247" t="s">
        <v>2062</v>
      </c>
      <c r="G1627" s="247" t="s">
        <v>1352</v>
      </c>
      <c r="H1627" s="247" t="s">
        <v>1975</v>
      </c>
      <c r="I1627" s="247" t="s">
        <v>2063</v>
      </c>
      <c r="J1627" s="247">
        <v>55</v>
      </c>
      <c r="K1627" s="247">
        <v>55</v>
      </c>
      <c r="L1627" s="249" t="s">
        <v>940</v>
      </c>
      <c r="M1627" s="249" t="s">
        <v>929</v>
      </c>
      <c r="N1627" s="248">
        <v>343.12</v>
      </c>
      <c r="O1627" s="248">
        <v>4271.43</v>
      </c>
      <c r="P1627" s="247" t="s">
        <v>1353</v>
      </c>
      <c r="Q1627" s="247" t="s">
        <v>94</v>
      </c>
    </row>
    <row r="1628" spans="1:17" x14ac:dyDescent="0.25">
      <c r="A1628" s="247" t="s">
        <v>646</v>
      </c>
      <c r="B1628" s="247" t="s">
        <v>265</v>
      </c>
      <c r="C1628" s="247" t="s">
        <v>1343</v>
      </c>
      <c r="D1628" s="247" t="s">
        <v>569</v>
      </c>
      <c r="E1628" s="247" t="s">
        <v>1284</v>
      </c>
      <c r="F1628" s="247" t="s">
        <v>2062</v>
      </c>
      <c r="G1628" s="247" t="s">
        <v>1352</v>
      </c>
      <c r="H1628" s="247" t="s">
        <v>1975</v>
      </c>
      <c r="I1628" s="247" t="s">
        <v>2063</v>
      </c>
      <c r="J1628" s="247">
        <v>55</v>
      </c>
      <c r="K1628" s="247">
        <v>55</v>
      </c>
      <c r="L1628" s="249" t="s">
        <v>642</v>
      </c>
      <c r="M1628" s="249" t="s">
        <v>929</v>
      </c>
      <c r="N1628" s="248">
        <v>962.45</v>
      </c>
      <c r="O1628" s="248">
        <v>5233.88</v>
      </c>
      <c r="P1628" s="247" t="s">
        <v>1353</v>
      </c>
      <c r="Q1628" s="247" t="s">
        <v>95</v>
      </c>
    </row>
    <row r="1629" spans="1:17" x14ac:dyDescent="0.25">
      <c r="A1629" s="247" t="s">
        <v>646</v>
      </c>
      <c r="B1629" s="247" t="s">
        <v>265</v>
      </c>
      <c r="C1629" s="247" t="s">
        <v>1343</v>
      </c>
      <c r="D1629" s="247" t="s">
        <v>575</v>
      </c>
      <c r="E1629" s="247" t="s">
        <v>1284</v>
      </c>
      <c r="F1629" s="247" t="s">
        <v>2064</v>
      </c>
      <c r="G1629" s="247" t="s">
        <v>1354</v>
      </c>
      <c r="H1629" s="247" t="s">
        <v>1975</v>
      </c>
      <c r="I1629" s="247" t="s">
        <v>2065</v>
      </c>
      <c r="J1629" s="247">
        <v>55</v>
      </c>
      <c r="K1629" s="247">
        <v>55</v>
      </c>
      <c r="L1629" s="249" t="s">
        <v>646</v>
      </c>
      <c r="M1629" s="249" t="s">
        <v>933</v>
      </c>
      <c r="N1629" s="248">
        <v>112.46</v>
      </c>
      <c r="O1629" s="248">
        <v>1374.56</v>
      </c>
      <c r="P1629" s="247" t="s">
        <v>1355</v>
      </c>
      <c r="Q1629" s="247" t="s">
        <v>84</v>
      </c>
    </row>
    <row r="1630" spans="1:17" x14ac:dyDescent="0.25">
      <c r="A1630" s="247" t="s">
        <v>646</v>
      </c>
      <c r="B1630" s="247" t="s">
        <v>265</v>
      </c>
      <c r="C1630" s="247" t="s">
        <v>1343</v>
      </c>
      <c r="D1630" s="247" t="s">
        <v>575</v>
      </c>
      <c r="E1630" s="247" t="s">
        <v>1284</v>
      </c>
      <c r="F1630" s="247" t="s">
        <v>2064</v>
      </c>
      <c r="G1630" s="247" t="s">
        <v>1354</v>
      </c>
      <c r="H1630" s="247" t="s">
        <v>1975</v>
      </c>
      <c r="I1630" s="247" t="s">
        <v>2065</v>
      </c>
      <c r="J1630" s="247">
        <v>55</v>
      </c>
      <c r="K1630" s="247">
        <v>55</v>
      </c>
      <c r="L1630" s="249" t="s">
        <v>650</v>
      </c>
      <c r="M1630" s="249" t="s">
        <v>933</v>
      </c>
      <c r="N1630" s="248">
        <v>78.47</v>
      </c>
      <c r="O1630" s="248">
        <v>1453.03</v>
      </c>
      <c r="P1630" s="247" t="s">
        <v>1355</v>
      </c>
      <c r="Q1630" s="247" t="s">
        <v>85</v>
      </c>
    </row>
    <row r="1631" spans="1:17" x14ac:dyDescent="0.25">
      <c r="A1631" s="247" t="s">
        <v>646</v>
      </c>
      <c r="B1631" s="247" t="s">
        <v>265</v>
      </c>
      <c r="C1631" s="247" t="s">
        <v>1343</v>
      </c>
      <c r="D1631" s="247" t="s">
        <v>575</v>
      </c>
      <c r="E1631" s="247" t="s">
        <v>1284</v>
      </c>
      <c r="F1631" s="247" t="s">
        <v>2064</v>
      </c>
      <c r="G1631" s="247" t="s">
        <v>1354</v>
      </c>
      <c r="H1631" s="247" t="s">
        <v>1975</v>
      </c>
      <c r="I1631" s="247" t="s">
        <v>2065</v>
      </c>
      <c r="J1631" s="247">
        <v>55</v>
      </c>
      <c r="K1631" s="247">
        <v>55</v>
      </c>
      <c r="L1631" s="249" t="s">
        <v>652</v>
      </c>
      <c r="M1631" s="249" t="s">
        <v>933</v>
      </c>
      <c r="N1631" s="248">
        <v>79.8</v>
      </c>
      <c r="O1631" s="248">
        <v>1532.83</v>
      </c>
      <c r="P1631" s="247" t="s">
        <v>1355</v>
      </c>
      <c r="Q1631" s="247" t="s">
        <v>86</v>
      </c>
    </row>
    <row r="1632" spans="1:17" x14ac:dyDescent="0.25">
      <c r="A1632" s="247" t="s">
        <v>646</v>
      </c>
      <c r="B1632" s="247" t="s">
        <v>265</v>
      </c>
      <c r="C1632" s="247" t="s">
        <v>1343</v>
      </c>
      <c r="D1632" s="247" t="s">
        <v>575</v>
      </c>
      <c r="E1632" s="247" t="s">
        <v>1284</v>
      </c>
      <c r="F1632" s="247" t="s">
        <v>2064</v>
      </c>
      <c r="G1632" s="247" t="s">
        <v>1354</v>
      </c>
      <c r="H1632" s="247" t="s">
        <v>1975</v>
      </c>
      <c r="I1632" s="247" t="s">
        <v>2065</v>
      </c>
      <c r="J1632" s="247">
        <v>55</v>
      </c>
      <c r="K1632" s="247">
        <v>55</v>
      </c>
      <c r="L1632" s="249" t="s">
        <v>789</v>
      </c>
      <c r="M1632" s="249" t="s">
        <v>929</v>
      </c>
      <c r="N1632" s="248">
        <v>132.24</v>
      </c>
      <c r="O1632" s="248">
        <v>132.24</v>
      </c>
      <c r="P1632" s="247" t="s">
        <v>1355</v>
      </c>
      <c r="Q1632" s="247" t="s">
        <v>87</v>
      </c>
    </row>
    <row r="1633" spans="1:17" x14ac:dyDescent="0.25">
      <c r="A1633" s="247" t="s">
        <v>646</v>
      </c>
      <c r="B1633" s="247" t="s">
        <v>265</v>
      </c>
      <c r="C1633" s="247" t="s">
        <v>1343</v>
      </c>
      <c r="D1633" s="247" t="s">
        <v>575</v>
      </c>
      <c r="E1633" s="247" t="s">
        <v>1284</v>
      </c>
      <c r="F1633" s="247" t="s">
        <v>2064</v>
      </c>
      <c r="G1633" s="247" t="s">
        <v>1354</v>
      </c>
      <c r="H1633" s="247" t="s">
        <v>1975</v>
      </c>
      <c r="I1633" s="247" t="s">
        <v>2065</v>
      </c>
      <c r="J1633" s="247">
        <v>55</v>
      </c>
      <c r="K1633" s="247">
        <v>55</v>
      </c>
      <c r="L1633" s="249" t="s">
        <v>791</v>
      </c>
      <c r="M1633" s="249" t="s">
        <v>929</v>
      </c>
      <c r="N1633" s="248">
        <v>144.41</v>
      </c>
      <c r="O1633" s="248">
        <v>276.64999999999998</v>
      </c>
      <c r="P1633" s="247" t="s">
        <v>1355</v>
      </c>
      <c r="Q1633" s="247" t="s">
        <v>88</v>
      </c>
    </row>
    <row r="1634" spans="1:17" x14ac:dyDescent="0.25">
      <c r="A1634" s="247" t="s">
        <v>646</v>
      </c>
      <c r="B1634" s="247" t="s">
        <v>265</v>
      </c>
      <c r="C1634" s="247" t="s">
        <v>1343</v>
      </c>
      <c r="D1634" s="247" t="s">
        <v>575</v>
      </c>
      <c r="E1634" s="247" t="s">
        <v>1284</v>
      </c>
      <c r="F1634" s="247" t="s">
        <v>2064</v>
      </c>
      <c r="G1634" s="247" t="s">
        <v>1354</v>
      </c>
      <c r="H1634" s="247" t="s">
        <v>1975</v>
      </c>
      <c r="I1634" s="247" t="s">
        <v>2065</v>
      </c>
      <c r="J1634" s="247">
        <v>55</v>
      </c>
      <c r="K1634" s="247">
        <v>55</v>
      </c>
      <c r="L1634" s="249" t="s">
        <v>935</v>
      </c>
      <c r="M1634" s="249" t="s">
        <v>929</v>
      </c>
      <c r="N1634" s="248">
        <v>135.47</v>
      </c>
      <c r="O1634" s="248">
        <v>412.12</v>
      </c>
      <c r="P1634" s="247" t="s">
        <v>1355</v>
      </c>
      <c r="Q1634" s="247" t="s">
        <v>89</v>
      </c>
    </row>
    <row r="1635" spans="1:17" x14ac:dyDescent="0.25">
      <c r="A1635" s="247" t="s">
        <v>646</v>
      </c>
      <c r="B1635" s="247" t="s">
        <v>265</v>
      </c>
      <c r="C1635" s="247" t="s">
        <v>1343</v>
      </c>
      <c r="D1635" s="247" t="s">
        <v>575</v>
      </c>
      <c r="E1635" s="247" t="s">
        <v>1284</v>
      </c>
      <c r="F1635" s="247" t="s">
        <v>2064</v>
      </c>
      <c r="G1635" s="247" t="s">
        <v>1354</v>
      </c>
      <c r="H1635" s="247" t="s">
        <v>1975</v>
      </c>
      <c r="I1635" s="247" t="s">
        <v>2065</v>
      </c>
      <c r="J1635" s="247">
        <v>55</v>
      </c>
      <c r="K1635" s="247">
        <v>55</v>
      </c>
      <c r="L1635" s="249" t="s">
        <v>936</v>
      </c>
      <c r="M1635" s="249" t="s">
        <v>929</v>
      </c>
      <c r="N1635" s="248">
        <v>228.14</v>
      </c>
      <c r="O1635" s="248">
        <v>640.26</v>
      </c>
      <c r="P1635" s="247" t="s">
        <v>1355</v>
      </c>
      <c r="Q1635" s="247" t="s">
        <v>90</v>
      </c>
    </row>
    <row r="1636" spans="1:17" x14ac:dyDescent="0.25">
      <c r="A1636" s="247" t="s">
        <v>646</v>
      </c>
      <c r="B1636" s="247" t="s">
        <v>265</v>
      </c>
      <c r="C1636" s="247" t="s">
        <v>1343</v>
      </c>
      <c r="D1636" s="247" t="s">
        <v>575</v>
      </c>
      <c r="E1636" s="247" t="s">
        <v>1284</v>
      </c>
      <c r="F1636" s="247" t="s">
        <v>2064</v>
      </c>
      <c r="G1636" s="247" t="s">
        <v>1354</v>
      </c>
      <c r="H1636" s="247" t="s">
        <v>1975</v>
      </c>
      <c r="I1636" s="247" t="s">
        <v>2065</v>
      </c>
      <c r="J1636" s="247">
        <v>55</v>
      </c>
      <c r="K1636" s="247">
        <v>55</v>
      </c>
      <c r="L1636" s="249" t="s">
        <v>937</v>
      </c>
      <c r="M1636" s="249" t="s">
        <v>929</v>
      </c>
      <c r="N1636" s="248">
        <v>117.08</v>
      </c>
      <c r="O1636" s="248">
        <v>757.34</v>
      </c>
      <c r="P1636" s="247" t="s">
        <v>1355</v>
      </c>
      <c r="Q1636" s="247" t="s">
        <v>91</v>
      </c>
    </row>
    <row r="1637" spans="1:17" x14ac:dyDescent="0.25">
      <c r="A1637" s="247" t="s">
        <v>646</v>
      </c>
      <c r="B1637" s="247" t="s">
        <v>265</v>
      </c>
      <c r="C1637" s="247" t="s">
        <v>1343</v>
      </c>
      <c r="D1637" s="247" t="s">
        <v>575</v>
      </c>
      <c r="E1637" s="247" t="s">
        <v>1284</v>
      </c>
      <c r="F1637" s="247" t="s">
        <v>2064</v>
      </c>
      <c r="G1637" s="247" t="s">
        <v>1354</v>
      </c>
      <c r="H1637" s="247" t="s">
        <v>1975</v>
      </c>
      <c r="I1637" s="247" t="s">
        <v>2065</v>
      </c>
      <c r="J1637" s="247">
        <v>55</v>
      </c>
      <c r="K1637" s="247">
        <v>55</v>
      </c>
      <c r="L1637" s="249" t="s">
        <v>938</v>
      </c>
      <c r="M1637" s="249" t="s">
        <v>929</v>
      </c>
      <c r="N1637" s="248">
        <v>81.92</v>
      </c>
      <c r="O1637" s="248">
        <v>839.26</v>
      </c>
      <c r="P1637" s="247" t="s">
        <v>1355</v>
      </c>
      <c r="Q1637" s="247" t="s">
        <v>92</v>
      </c>
    </row>
    <row r="1638" spans="1:17" x14ac:dyDescent="0.25">
      <c r="A1638" s="247" t="s">
        <v>646</v>
      </c>
      <c r="B1638" s="247" t="s">
        <v>265</v>
      </c>
      <c r="C1638" s="247" t="s">
        <v>1343</v>
      </c>
      <c r="D1638" s="247" t="s">
        <v>575</v>
      </c>
      <c r="E1638" s="247" t="s">
        <v>1284</v>
      </c>
      <c r="F1638" s="247" t="s">
        <v>2064</v>
      </c>
      <c r="G1638" s="247" t="s">
        <v>1354</v>
      </c>
      <c r="H1638" s="247" t="s">
        <v>1975</v>
      </c>
      <c r="I1638" s="247" t="s">
        <v>2065</v>
      </c>
      <c r="J1638" s="247">
        <v>55</v>
      </c>
      <c r="K1638" s="247">
        <v>55</v>
      </c>
      <c r="L1638" s="249" t="s">
        <v>939</v>
      </c>
      <c r="M1638" s="249" t="s">
        <v>929</v>
      </c>
      <c r="N1638" s="248">
        <v>79.459999999999994</v>
      </c>
      <c r="O1638" s="248">
        <v>918.72</v>
      </c>
      <c r="P1638" s="247" t="s">
        <v>1355</v>
      </c>
      <c r="Q1638" s="247" t="s">
        <v>93</v>
      </c>
    </row>
    <row r="1639" spans="1:17" x14ac:dyDescent="0.25">
      <c r="A1639" s="247" t="s">
        <v>646</v>
      </c>
      <c r="B1639" s="247" t="s">
        <v>265</v>
      </c>
      <c r="C1639" s="247" t="s">
        <v>1343</v>
      </c>
      <c r="D1639" s="247" t="s">
        <v>575</v>
      </c>
      <c r="E1639" s="247" t="s">
        <v>1284</v>
      </c>
      <c r="F1639" s="247" t="s">
        <v>2064</v>
      </c>
      <c r="G1639" s="247" t="s">
        <v>1354</v>
      </c>
      <c r="H1639" s="247" t="s">
        <v>1975</v>
      </c>
      <c r="I1639" s="247" t="s">
        <v>2065</v>
      </c>
      <c r="J1639" s="247">
        <v>55</v>
      </c>
      <c r="K1639" s="247">
        <v>55</v>
      </c>
      <c r="L1639" s="249" t="s">
        <v>940</v>
      </c>
      <c r="M1639" s="249" t="s">
        <v>929</v>
      </c>
      <c r="N1639" s="248">
        <v>80.25</v>
      </c>
      <c r="O1639" s="248">
        <v>998.97</v>
      </c>
      <c r="P1639" s="247" t="s">
        <v>1355</v>
      </c>
      <c r="Q1639" s="247" t="s">
        <v>94</v>
      </c>
    </row>
    <row r="1640" spans="1:17" x14ac:dyDescent="0.25">
      <c r="A1640" s="247" t="s">
        <v>646</v>
      </c>
      <c r="B1640" s="247" t="s">
        <v>265</v>
      </c>
      <c r="C1640" s="247" t="s">
        <v>1343</v>
      </c>
      <c r="D1640" s="247" t="s">
        <v>575</v>
      </c>
      <c r="E1640" s="247" t="s">
        <v>1284</v>
      </c>
      <c r="F1640" s="247" t="s">
        <v>2064</v>
      </c>
      <c r="G1640" s="247" t="s">
        <v>1354</v>
      </c>
      <c r="H1640" s="247" t="s">
        <v>1975</v>
      </c>
      <c r="I1640" s="247" t="s">
        <v>2065</v>
      </c>
      <c r="J1640" s="247">
        <v>55</v>
      </c>
      <c r="K1640" s="247">
        <v>55</v>
      </c>
      <c r="L1640" s="249" t="s">
        <v>642</v>
      </c>
      <c r="M1640" s="249" t="s">
        <v>929</v>
      </c>
      <c r="N1640" s="248">
        <v>225.1</v>
      </c>
      <c r="O1640" s="248">
        <v>1224.07</v>
      </c>
      <c r="P1640" s="247" t="s">
        <v>1355</v>
      </c>
      <c r="Q1640" s="247" t="s">
        <v>95</v>
      </c>
    </row>
    <row r="1641" spans="1:17" x14ac:dyDescent="0.25">
      <c r="A1641" s="247" t="s">
        <v>646</v>
      </c>
      <c r="B1641" s="247" t="s">
        <v>265</v>
      </c>
      <c r="C1641" s="247" t="s">
        <v>1343</v>
      </c>
      <c r="D1641" s="247" t="s">
        <v>1356</v>
      </c>
      <c r="E1641" s="247" t="s">
        <v>1284</v>
      </c>
      <c r="F1641" s="247" t="s">
        <v>2066</v>
      </c>
      <c r="G1641" s="247" t="s">
        <v>1357</v>
      </c>
      <c r="H1641" s="247" t="s">
        <v>1975</v>
      </c>
      <c r="I1641" s="247" t="s">
        <v>2067</v>
      </c>
      <c r="J1641" s="247">
        <v>55</v>
      </c>
      <c r="K1641" s="247">
        <v>55</v>
      </c>
      <c r="L1641" s="249" t="s">
        <v>646</v>
      </c>
      <c r="M1641" s="249" t="s">
        <v>933</v>
      </c>
      <c r="N1641" s="248">
        <v>0</v>
      </c>
      <c r="O1641" s="248">
        <v>110.86</v>
      </c>
      <c r="P1641" s="247" t="s">
        <v>1358</v>
      </c>
      <c r="Q1641" s="247" t="s">
        <v>84</v>
      </c>
    </row>
    <row r="1642" spans="1:17" x14ac:dyDescent="0.25">
      <c r="A1642" s="247" t="s">
        <v>646</v>
      </c>
      <c r="B1642" s="247" t="s">
        <v>265</v>
      </c>
      <c r="C1642" s="247" t="s">
        <v>1343</v>
      </c>
      <c r="D1642" s="247" t="s">
        <v>1356</v>
      </c>
      <c r="E1642" s="247" t="s">
        <v>1284</v>
      </c>
      <c r="F1642" s="247" t="s">
        <v>2066</v>
      </c>
      <c r="G1642" s="247" t="s">
        <v>1357</v>
      </c>
      <c r="H1642" s="247" t="s">
        <v>1975</v>
      </c>
      <c r="I1642" s="247" t="s">
        <v>2067</v>
      </c>
      <c r="J1642" s="247">
        <v>55</v>
      </c>
      <c r="K1642" s="247">
        <v>55</v>
      </c>
      <c r="L1642" s="249" t="s">
        <v>650</v>
      </c>
      <c r="M1642" s="249" t="s">
        <v>933</v>
      </c>
      <c r="N1642" s="248">
        <v>0</v>
      </c>
      <c r="O1642" s="248">
        <v>110.86</v>
      </c>
      <c r="P1642" s="247" t="s">
        <v>1358</v>
      </c>
      <c r="Q1642" s="247" t="s">
        <v>85</v>
      </c>
    </row>
    <row r="1643" spans="1:17" x14ac:dyDescent="0.25">
      <c r="A1643" s="247" t="s">
        <v>646</v>
      </c>
      <c r="B1643" s="247" t="s">
        <v>265</v>
      </c>
      <c r="C1643" s="247" t="s">
        <v>1343</v>
      </c>
      <c r="D1643" s="247" t="s">
        <v>1356</v>
      </c>
      <c r="E1643" s="247" t="s">
        <v>1284</v>
      </c>
      <c r="F1643" s="247" t="s">
        <v>2066</v>
      </c>
      <c r="G1643" s="247" t="s">
        <v>1357</v>
      </c>
      <c r="H1643" s="247" t="s">
        <v>1975</v>
      </c>
      <c r="I1643" s="247" t="s">
        <v>2067</v>
      </c>
      <c r="J1643" s="247">
        <v>55</v>
      </c>
      <c r="K1643" s="247">
        <v>55</v>
      </c>
      <c r="L1643" s="249" t="s">
        <v>652</v>
      </c>
      <c r="M1643" s="249" t="s">
        <v>933</v>
      </c>
      <c r="N1643" s="248">
        <v>0</v>
      </c>
      <c r="O1643" s="248">
        <v>110.86</v>
      </c>
      <c r="P1643" s="247" t="s">
        <v>1358</v>
      </c>
      <c r="Q1643" s="247" t="s">
        <v>86</v>
      </c>
    </row>
    <row r="1644" spans="1:17" x14ac:dyDescent="0.25">
      <c r="A1644" s="247" t="s">
        <v>646</v>
      </c>
      <c r="B1644" s="247" t="s">
        <v>265</v>
      </c>
      <c r="C1644" s="247" t="s">
        <v>1343</v>
      </c>
      <c r="D1644" s="247" t="s">
        <v>1356</v>
      </c>
      <c r="E1644" s="247" t="s">
        <v>1284</v>
      </c>
      <c r="F1644" s="247" t="s">
        <v>2066</v>
      </c>
      <c r="G1644" s="247" t="s">
        <v>1357</v>
      </c>
      <c r="H1644" s="247" t="s">
        <v>1975</v>
      </c>
      <c r="I1644" s="247" t="s">
        <v>2067</v>
      </c>
      <c r="J1644" s="247">
        <v>55</v>
      </c>
      <c r="K1644" s="247">
        <v>55</v>
      </c>
      <c r="L1644" s="249" t="s">
        <v>789</v>
      </c>
      <c r="M1644" s="249" t="s">
        <v>929</v>
      </c>
      <c r="N1644" s="248">
        <v>54.72</v>
      </c>
      <c r="O1644" s="248">
        <v>54.72</v>
      </c>
      <c r="P1644" s="247" t="s">
        <v>1358</v>
      </c>
      <c r="Q1644" s="247" t="s">
        <v>87</v>
      </c>
    </row>
    <row r="1645" spans="1:17" x14ac:dyDescent="0.25">
      <c r="A1645" s="247" t="s">
        <v>646</v>
      </c>
      <c r="B1645" s="247" t="s">
        <v>265</v>
      </c>
      <c r="C1645" s="247" t="s">
        <v>1343</v>
      </c>
      <c r="D1645" s="247" t="s">
        <v>1356</v>
      </c>
      <c r="E1645" s="247" t="s">
        <v>1284</v>
      </c>
      <c r="F1645" s="247" t="s">
        <v>2066</v>
      </c>
      <c r="G1645" s="247" t="s">
        <v>1357</v>
      </c>
      <c r="H1645" s="247" t="s">
        <v>1975</v>
      </c>
      <c r="I1645" s="247" t="s">
        <v>2067</v>
      </c>
      <c r="J1645" s="247">
        <v>55</v>
      </c>
      <c r="K1645" s="247">
        <v>55</v>
      </c>
      <c r="L1645" s="249" t="s">
        <v>791</v>
      </c>
      <c r="M1645" s="249" t="s">
        <v>929</v>
      </c>
      <c r="N1645" s="248">
        <v>57.15</v>
      </c>
      <c r="O1645" s="248">
        <v>111.87</v>
      </c>
      <c r="P1645" s="247" t="s">
        <v>1358</v>
      </c>
      <c r="Q1645" s="247" t="s">
        <v>88</v>
      </c>
    </row>
    <row r="1646" spans="1:17" x14ac:dyDescent="0.25">
      <c r="A1646" s="247" t="s">
        <v>646</v>
      </c>
      <c r="B1646" s="247" t="s">
        <v>265</v>
      </c>
      <c r="C1646" s="247" t="s">
        <v>1343</v>
      </c>
      <c r="D1646" s="247" t="s">
        <v>1356</v>
      </c>
      <c r="E1646" s="247" t="s">
        <v>1284</v>
      </c>
      <c r="F1646" s="247" t="s">
        <v>2066</v>
      </c>
      <c r="G1646" s="247" t="s">
        <v>1357</v>
      </c>
      <c r="H1646" s="247" t="s">
        <v>1975</v>
      </c>
      <c r="I1646" s="247" t="s">
        <v>2067</v>
      </c>
      <c r="J1646" s="247">
        <v>55</v>
      </c>
      <c r="K1646" s="247">
        <v>55</v>
      </c>
      <c r="L1646" s="249" t="s">
        <v>935</v>
      </c>
      <c r="M1646" s="249" t="s">
        <v>929</v>
      </c>
      <c r="N1646" s="248">
        <v>30.94</v>
      </c>
      <c r="O1646" s="248">
        <v>142.81</v>
      </c>
      <c r="P1646" s="247" t="s">
        <v>1358</v>
      </c>
      <c r="Q1646" s="247" t="s">
        <v>89</v>
      </c>
    </row>
    <row r="1647" spans="1:17" x14ac:dyDescent="0.25">
      <c r="A1647" s="247" t="s">
        <v>646</v>
      </c>
      <c r="B1647" s="247" t="s">
        <v>265</v>
      </c>
      <c r="C1647" s="247" t="s">
        <v>1343</v>
      </c>
      <c r="D1647" s="247" t="s">
        <v>1356</v>
      </c>
      <c r="E1647" s="247" t="s">
        <v>1284</v>
      </c>
      <c r="F1647" s="247" t="s">
        <v>2066</v>
      </c>
      <c r="G1647" s="247" t="s">
        <v>1357</v>
      </c>
      <c r="H1647" s="247" t="s">
        <v>1975</v>
      </c>
      <c r="I1647" s="247" t="s">
        <v>2067</v>
      </c>
      <c r="J1647" s="247">
        <v>55</v>
      </c>
      <c r="K1647" s="247">
        <v>55</v>
      </c>
      <c r="L1647" s="249" t="s">
        <v>936</v>
      </c>
      <c r="M1647" s="249" t="s">
        <v>929</v>
      </c>
      <c r="N1647" s="248">
        <v>20.239999999999998</v>
      </c>
      <c r="O1647" s="248">
        <v>163.05000000000001</v>
      </c>
      <c r="P1647" s="247" t="s">
        <v>1358</v>
      </c>
      <c r="Q1647" s="247" t="s">
        <v>90</v>
      </c>
    </row>
    <row r="1648" spans="1:17" x14ac:dyDescent="0.25">
      <c r="A1648" s="247" t="s">
        <v>646</v>
      </c>
      <c r="B1648" s="247" t="s">
        <v>265</v>
      </c>
      <c r="C1648" s="247" t="s">
        <v>1343</v>
      </c>
      <c r="D1648" s="247" t="s">
        <v>1356</v>
      </c>
      <c r="E1648" s="247" t="s">
        <v>1284</v>
      </c>
      <c r="F1648" s="247" t="s">
        <v>2066</v>
      </c>
      <c r="G1648" s="247" t="s">
        <v>1357</v>
      </c>
      <c r="H1648" s="247" t="s">
        <v>1975</v>
      </c>
      <c r="I1648" s="247" t="s">
        <v>2067</v>
      </c>
      <c r="J1648" s="247">
        <v>55</v>
      </c>
      <c r="K1648" s="247">
        <v>55</v>
      </c>
      <c r="L1648" s="249" t="s">
        <v>937</v>
      </c>
      <c r="M1648" s="249" t="s">
        <v>929</v>
      </c>
      <c r="N1648" s="248">
        <v>9.52</v>
      </c>
      <c r="O1648" s="248">
        <v>172.57</v>
      </c>
      <c r="P1648" s="247" t="s">
        <v>1358</v>
      </c>
      <c r="Q1648" s="247" t="s">
        <v>91</v>
      </c>
    </row>
    <row r="1649" spans="1:17" x14ac:dyDescent="0.25">
      <c r="A1649" s="247" t="s">
        <v>646</v>
      </c>
      <c r="B1649" s="247" t="s">
        <v>265</v>
      </c>
      <c r="C1649" s="247" t="s">
        <v>1343</v>
      </c>
      <c r="D1649" s="247" t="s">
        <v>1356</v>
      </c>
      <c r="E1649" s="247" t="s">
        <v>1284</v>
      </c>
      <c r="F1649" s="247" t="s">
        <v>2066</v>
      </c>
      <c r="G1649" s="247" t="s">
        <v>1357</v>
      </c>
      <c r="H1649" s="247" t="s">
        <v>1975</v>
      </c>
      <c r="I1649" s="247" t="s">
        <v>2067</v>
      </c>
      <c r="J1649" s="247">
        <v>55</v>
      </c>
      <c r="K1649" s="247">
        <v>55</v>
      </c>
      <c r="L1649" s="249" t="s">
        <v>938</v>
      </c>
      <c r="M1649" s="249" t="s">
        <v>929</v>
      </c>
      <c r="N1649" s="248">
        <v>10.17</v>
      </c>
      <c r="O1649" s="248">
        <v>182.74</v>
      </c>
      <c r="P1649" s="247" t="s">
        <v>1358</v>
      </c>
      <c r="Q1649" s="247" t="s">
        <v>92</v>
      </c>
    </row>
    <row r="1650" spans="1:17" x14ac:dyDescent="0.25">
      <c r="A1650" s="247" t="s">
        <v>646</v>
      </c>
      <c r="B1650" s="247" t="s">
        <v>265</v>
      </c>
      <c r="C1650" s="247" t="s">
        <v>1343</v>
      </c>
      <c r="D1650" s="247" t="s">
        <v>1356</v>
      </c>
      <c r="E1650" s="247" t="s">
        <v>1284</v>
      </c>
      <c r="F1650" s="247" t="s">
        <v>2066</v>
      </c>
      <c r="G1650" s="247" t="s">
        <v>1357</v>
      </c>
      <c r="H1650" s="247" t="s">
        <v>1975</v>
      </c>
      <c r="I1650" s="247" t="s">
        <v>2067</v>
      </c>
      <c r="J1650" s="247">
        <v>55</v>
      </c>
      <c r="K1650" s="247">
        <v>55</v>
      </c>
      <c r="L1650" s="249" t="s">
        <v>939</v>
      </c>
      <c r="M1650" s="249" t="s">
        <v>929</v>
      </c>
      <c r="N1650" s="248">
        <v>10.17</v>
      </c>
      <c r="O1650" s="248">
        <v>192.91</v>
      </c>
      <c r="P1650" s="247" t="s">
        <v>1358</v>
      </c>
      <c r="Q1650" s="247" t="s">
        <v>93</v>
      </c>
    </row>
    <row r="1651" spans="1:17" x14ac:dyDescent="0.25">
      <c r="A1651" s="247" t="s">
        <v>646</v>
      </c>
      <c r="B1651" s="247" t="s">
        <v>265</v>
      </c>
      <c r="C1651" s="247" t="s">
        <v>1343</v>
      </c>
      <c r="D1651" s="247" t="s">
        <v>1356</v>
      </c>
      <c r="E1651" s="247" t="s">
        <v>1284</v>
      </c>
      <c r="F1651" s="247" t="s">
        <v>2066</v>
      </c>
      <c r="G1651" s="247" t="s">
        <v>1357</v>
      </c>
      <c r="H1651" s="247" t="s">
        <v>1975</v>
      </c>
      <c r="I1651" s="247" t="s">
        <v>2067</v>
      </c>
      <c r="J1651" s="247">
        <v>55</v>
      </c>
      <c r="K1651" s="247">
        <v>55</v>
      </c>
      <c r="L1651" s="249" t="s">
        <v>940</v>
      </c>
      <c r="M1651" s="249" t="s">
        <v>929</v>
      </c>
      <c r="N1651" s="248">
        <v>5.01</v>
      </c>
      <c r="O1651" s="248">
        <v>197.92</v>
      </c>
      <c r="P1651" s="247" t="s">
        <v>1358</v>
      </c>
      <c r="Q1651" s="247" t="s">
        <v>94</v>
      </c>
    </row>
    <row r="1652" spans="1:17" x14ac:dyDescent="0.25">
      <c r="A1652" s="247" t="s">
        <v>646</v>
      </c>
      <c r="B1652" s="247" t="s">
        <v>265</v>
      </c>
      <c r="C1652" s="247" t="s">
        <v>1343</v>
      </c>
      <c r="D1652" s="247" t="s">
        <v>1356</v>
      </c>
      <c r="E1652" s="247" t="s">
        <v>1284</v>
      </c>
      <c r="F1652" s="247" t="s">
        <v>2066</v>
      </c>
      <c r="G1652" s="247" t="s">
        <v>1357</v>
      </c>
      <c r="H1652" s="247" t="s">
        <v>1975</v>
      </c>
      <c r="I1652" s="247" t="s">
        <v>2067</v>
      </c>
      <c r="J1652" s="247">
        <v>55</v>
      </c>
      <c r="K1652" s="247">
        <v>55</v>
      </c>
      <c r="L1652" s="249" t="s">
        <v>642</v>
      </c>
      <c r="M1652" s="249" t="s">
        <v>929</v>
      </c>
      <c r="N1652" s="248">
        <v>0</v>
      </c>
      <c r="O1652" s="248">
        <v>197.92</v>
      </c>
      <c r="P1652" s="247" t="s">
        <v>1358</v>
      </c>
      <c r="Q1652" s="247" t="s">
        <v>95</v>
      </c>
    </row>
    <row r="1653" spans="1:17" x14ac:dyDescent="0.25">
      <c r="A1653" s="247" t="s">
        <v>646</v>
      </c>
      <c r="B1653" s="247" t="s">
        <v>265</v>
      </c>
      <c r="C1653" s="247" t="s">
        <v>1343</v>
      </c>
      <c r="D1653" s="247" t="s">
        <v>946</v>
      </c>
      <c r="E1653" s="247" t="s">
        <v>1284</v>
      </c>
      <c r="F1653" s="247" t="s">
        <v>2068</v>
      </c>
      <c r="G1653" s="247" t="s">
        <v>1359</v>
      </c>
      <c r="H1653" s="247" t="s">
        <v>1975</v>
      </c>
      <c r="I1653" s="247" t="s">
        <v>2069</v>
      </c>
      <c r="J1653" s="247">
        <v>55</v>
      </c>
      <c r="K1653" s="247">
        <v>55</v>
      </c>
      <c r="L1653" s="249" t="s">
        <v>646</v>
      </c>
      <c r="M1653" s="249" t="s">
        <v>933</v>
      </c>
      <c r="N1653" s="248">
        <v>32.549999999999997</v>
      </c>
      <c r="O1653" s="248">
        <v>398.07</v>
      </c>
      <c r="P1653" s="247" t="s">
        <v>1360</v>
      </c>
      <c r="Q1653" s="247" t="s">
        <v>84</v>
      </c>
    </row>
    <row r="1654" spans="1:17" x14ac:dyDescent="0.25">
      <c r="A1654" s="247" t="s">
        <v>646</v>
      </c>
      <c r="B1654" s="247" t="s">
        <v>265</v>
      </c>
      <c r="C1654" s="247" t="s">
        <v>1343</v>
      </c>
      <c r="D1654" s="247" t="s">
        <v>946</v>
      </c>
      <c r="E1654" s="247" t="s">
        <v>1284</v>
      </c>
      <c r="F1654" s="247" t="s">
        <v>2068</v>
      </c>
      <c r="G1654" s="247" t="s">
        <v>1359</v>
      </c>
      <c r="H1654" s="247" t="s">
        <v>1975</v>
      </c>
      <c r="I1654" s="247" t="s">
        <v>2069</v>
      </c>
      <c r="J1654" s="247">
        <v>55</v>
      </c>
      <c r="K1654" s="247">
        <v>55</v>
      </c>
      <c r="L1654" s="249" t="s">
        <v>650</v>
      </c>
      <c r="M1654" s="249" t="s">
        <v>933</v>
      </c>
      <c r="N1654" s="248">
        <v>22.4</v>
      </c>
      <c r="O1654" s="248">
        <v>420.47</v>
      </c>
      <c r="P1654" s="247" t="s">
        <v>1360</v>
      </c>
      <c r="Q1654" s="247" t="s">
        <v>85</v>
      </c>
    </row>
    <row r="1655" spans="1:17" x14ac:dyDescent="0.25">
      <c r="A1655" s="247" t="s">
        <v>646</v>
      </c>
      <c r="B1655" s="247" t="s">
        <v>265</v>
      </c>
      <c r="C1655" s="247" t="s">
        <v>1343</v>
      </c>
      <c r="D1655" s="247" t="s">
        <v>946</v>
      </c>
      <c r="E1655" s="247" t="s">
        <v>1284</v>
      </c>
      <c r="F1655" s="247" t="s">
        <v>2068</v>
      </c>
      <c r="G1655" s="247" t="s">
        <v>1359</v>
      </c>
      <c r="H1655" s="247" t="s">
        <v>1975</v>
      </c>
      <c r="I1655" s="247" t="s">
        <v>2069</v>
      </c>
      <c r="J1655" s="247">
        <v>55</v>
      </c>
      <c r="K1655" s="247">
        <v>55</v>
      </c>
      <c r="L1655" s="249" t="s">
        <v>652</v>
      </c>
      <c r="M1655" s="249" t="s">
        <v>933</v>
      </c>
      <c r="N1655" s="248">
        <v>7.98</v>
      </c>
      <c r="O1655" s="248">
        <v>428.45</v>
      </c>
      <c r="P1655" s="247" t="s">
        <v>1360</v>
      </c>
      <c r="Q1655" s="247" t="s">
        <v>86</v>
      </c>
    </row>
    <row r="1656" spans="1:17" x14ac:dyDescent="0.25">
      <c r="A1656" s="247" t="s">
        <v>646</v>
      </c>
      <c r="B1656" s="247" t="s">
        <v>265</v>
      </c>
      <c r="C1656" s="247" t="s">
        <v>1343</v>
      </c>
      <c r="D1656" s="247" t="s">
        <v>946</v>
      </c>
      <c r="E1656" s="247" t="s">
        <v>1284</v>
      </c>
      <c r="F1656" s="247" t="s">
        <v>2068</v>
      </c>
      <c r="G1656" s="247" t="s">
        <v>1359</v>
      </c>
      <c r="H1656" s="247" t="s">
        <v>1975</v>
      </c>
      <c r="I1656" s="247" t="s">
        <v>2069</v>
      </c>
      <c r="J1656" s="247">
        <v>55</v>
      </c>
      <c r="K1656" s="247">
        <v>55</v>
      </c>
      <c r="L1656" s="249" t="s">
        <v>789</v>
      </c>
      <c r="M1656" s="249" t="s">
        <v>929</v>
      </c>
      <c r="N1656" s="248">
        <v>36</v>
      </c>
      <c r="O1656" s="248">
        <v>36</v>
      </c>
      <c r="P1656" s="247" t="s">
        <v>1360</v>
      </c>
      <c r="Q1656" s="247" t="s">
        <v>87</v>
      </c>
    </row>
    <row r="1657" spans="1:17" x14ac:dyDescent="0.25">
      <c r="A1657" s="247" t="s">
        <v>646</v>
      </c>
      <c r="B1657" s="247" t="s">
        <v>265</v>
      </c>
      <c r="C1657" s="247" t="s">
        <v>1343</v>
      </c>
      <c r="D1657" s="247" t="s">
        <v>946</v>
      </c>
      <c r="E1657" s="247" t="s">
        <v>1284</v>
      </c>
      <c r="F1657" s="247" t="s">
        <v>2068</v>
      </c>
      <c r="G1657" s="247" t="s">
        <v>1359</v>
      </c>
      <c r="H1657" s="247" t="s">
        <v>1975</v>
      </c>
      <c r="I1657" s="247" t="s">
        <v>2069</v>
      </c>
      <c r="J1657" s="247">
        <v>55</v>
      </c>
      <c r="K1657" s="247">
        <v>55</v>
      </c>
      <c r="L1657" s="249" t="s">
        <v>791</v>
      </c>
      <c r="M1657" s="249" t="s">
        <v>929</v>
      </c>
      <c r="N1657" s="248">
        <v>36.840000000000003</v>
      </c>
      <c r="O1657" s="248">
        <v>72.84</v>
      </c>
      <c r="P1657" s="247" t="s">
        <v>1360</v>
      </c>
      <c r="Q1657" s="247" t="s">
        <v>88</v>
      </c>
    </row>
    <row r="1658" spans="1:17" x14ac:dyDescent="0.25">
      <c r="A1658" s="247" t="s">
        <v>646</v>
      </c>
      <c r="B1658" s="247" t="s">
        <v>265</v>
      </c>
      <c r="C1658" s="247" t="s">
        <v>1343</v>
      </c>
      <c r="D1658" s="247" t="s">
        <v>946</v>
      </c>
      <c r="E1658" s="247" t="s">
        <v>1284</v>
      </c>
      <c r="F1658" s="247" t="s">
        <v>2068</v>
      </c>
      <c r="G1658" s="247" t="s">
        <v>1359</v>
      </c>
      <c r="H1658" s="247" t="s">
        <v>1975</v>
      </c>
      <c r="I1658" s="247" t="s">
        <v>2069</v>
      </c>
      <c r="J1658" s="247">
        <v>55</v>
      </c>
      <c r="K1658" s="247">
        <v>55</v>
      </c>
      <c r="L1658" s="249" t="s">
        <v>935</v>
      </c>
      <c r="M1658" s="249" t="s">
        <v>929</v>
      </c>
      <c r="N1658" s="248">
        <v>34.54</v>
      </c>
      <c r="O1658" s="248">
        <v>107.38</v>
      </c>
      <c r="P1658" s="247" t="s">
        <v>1360</v>
      </c>
      <c r="Q1658" s="247" t="s">
        <v>89</v>
      </c>
    </row>
    <row r="1659" spans="1:17" x14ac:dyDescent="0.25">
      <c r="A1659" s="247" t="s">
        <v>646</v>
      </c>
      <c r="B1659" s="247" t="s">
        <v>265</v>
      </c>
      <c r="C1659" s="247" t="s">
        <v>1343</v>
      </c>
      <c r="D1659" s="247" t="s">
        <v>946</v>
      </c>
      <c r="E1659" s="247" t="s">
        <v>1284</v>
      </c>
      <c r="F1659" s="247" t="s">
        <v>2068</v>
      </c>
      <c r="G1659" s="247" t="s">
        <v>1359</v>
      </c>
      <c r="H1659" s="247" t="s">
        <v>1975</v>
      </c>
      <c r="I1659" s="247" t="s">
        <v>2069</v>
      </c>
      <c r="J1659" s="247">
        <v>55</v>
      </c>
      <c r="K1659" s="247">
        <v>55</v>
      </c>
      <c r="L1659" s="249" t="s">
        <v>936</v>
      </c>
      <c r="M1659" s="249" t="s">
        <v>929</v>
      </c>
      <c r="N1659" s="248">
        <v>58.21</v>
      </c>
      <c r="O1659" s="248">
        <v>165.59</v>
      </c>
      <c r="P1659" s="247" t="s">
        <v>1360</v>
      </c>
      <c r="Q1659" s="247" t="s">
        <v>90</v>
      </c>
    </row>
    <row r="1660" spans="1:17" x14ac:dyDescent="0.25">
      <c r="A1660" s="247" t="s">
        <v>646</v>
      </c>
      <c r="B1660" s="247" t="s">
        <v>265</v>
      </c>
      <c r="C1660" s="247" t="s">
        <v>1343</v>
      </c>
      <c r="D1660" s="247" t="s">
        <v>946</v>
      </c>
      <c r="E1660" s="247" t="s">
        <v>1284</v>
      </c>
      <c r="F1660" s="247" t="s">
        <v>2068</v>
      </c>
      <c r="G1660" s="247" t="s">
        <v>1359</v>
      </c>
      <c r="H1660" s="247" t="s">
        <v>1975</v>
      </c>
      <c r="I1660" s="247" t="s">
        <v>2069</v>
      </c>
      <c r="J1660" s="247">
        <v>55</v>
      </c>
      <c r="K1660" s="247">
        <v>55</v>
      </c>
      <c r="L1660" s="249" t="s">
        <v>937</v>
      </c>
      <c r="M1660" s="249" t="s">
        <v>929</v>
      </c>
      <c r="N1660" s="248">
        <v>29.88</v>
      </c>
      <c r="O1660" s="248">
        <v>195.47</v>
      </c>
      <c r="P1660" s="247" t="s">
        <v>1360</v>
      </c>
      <c r="Q1660" s="247" t="s">
        <v>91</v>
      </c>
    </row>
    <row r="1661" spans="1:17" x14ac:dyDescent="0.25">
      <c r="A1661" s="247" t="s">
        <v>646</v>
      </c>
      <c r="B1661" s="247" t="s">
        <v>265</v>
      </c>
      <c r="C1661" s="247" t="s">
        <v>1343</v>
      </c>
      <c r="D1661" s="247" t="s">
        <v>946</v>
      </c>
      <c r="E1661" s="247" t="s">
        <v>1284</v>
      </c>
      <c r="F1661" s="247" t="s">
        <v>2068</v>
      </c>
      <c r="G1661" s="247" t="s">
        <v>1359</v>
      </c>
      <c r="H1661" s="247" t="s">
        <v>1975</v>
      </c>
      <c r="I1661" s="247" t="s">
        <v>2069</v>
      </c>
      <c r="J1661" s="247">
        <v>55</v>
      </c>
      <c r="K1661" s="247">
        <v>55</v>
      </c>
      <c r="L1661" s="249" t="s">
        <v>938</v>
      </c>
      <c r="M1661" s="249" t="s">
        <v>929</v>
      </c>
      <c r="N1661" s="248">
        <v>20.92</v>
      </c>
      <c r="O1661" s="248">
        <v>216.39</v>
      </c>
      <c r="P1661" s="247" t="s">
        <v>1360</v>
      </c>
      <c r="Q1661" s="247" t="s">
        <v>92</v>
      </c>
    </row>
    <row r="1662" spans="1:17" x14ac:dyDescent="0.25">
      <c r="A1662" s="247" t="s">
        <v>646</v>
      </c>
      <c r="B1662" s="247" t="s">
        <v>265</v>
      </c>
      <c r="C1662" s="247" t="s">
        <v>1343</v>
      </c>
      <c r="D1662" s="247" t="s">
        <v>946</v>
      </c>
      <c r="E1662" s="247" t="s">
        <v>1284</v>
      </c>
      <c r="F1662" s="247" t="s">
        <v>2068</v>
      </c>
      <c r="G1662" s="247" t="s">
        <v>1359</v>
      </c>
      <c r="H1662" s="247" t="s">
        <v>1975</v>
      </c>
      <c r="I1662" s="247" t="s">
        <v>2069</v>
      </c>
      <c r="J1662" s="247">
        <v>55</v>
      </c>
      <c r="K1662" s="247">
        <v>55</v>
      </c>
      <c r="L1662" s="249" t="s">
        <v>939</v>
      </c>
      <c r="M1662" s="249" t="s">
        <v>929</v>
      </c>
      <c r="N1662" s="248">
        <v>20.29</v>
      </c>
      <c r="O1662" s="248">
        <v>236.68</v>
      </c>
      <c r="P1662" s="247" t="s">
        <v>1360</v>
      </c>
      <c r="Q1662" s="247" t="s">
        <v>93</v>
      </c>
    </row>
    <row r="1663" spans="1:17" x14ac:dyDescent="0.25">
      <c r="A1663" s="247" t="s">
        <v>646</v>
      </c>
      <c r="B1663" s="247" t="s">
        <v>265</v>
      </c>
      <c r="C1663" s="247" t="s">
        <v>1343</v>
      </c>
      <c r="D1663" s="247" t="s">
        <v>946</v>
      </c>
      <c r="E1663" s="247" t="s">
        <v>1284</v>
      </c>
      <c r="F1663" s="247" t="s">
        <v>2068</v>
      </c>
      <c r="G1663" s="247" t="s">
        <v>1359</v>
      </c>
      <c r="H1663" s="247" t="s">
        <v>1975</v>
      </c>
      <c r="I1663" s="247" t="s">
        <v>2069</v>
      </c>
      <c r="J1663" s="247">
        <v>55</v>
      </c>
      <c r="K1663" s="247">
        <v>55</v>
      </c>
      <c r="L1663" s="249" t="s">
        <v>940</v>
      </c>
      <c r="M1663" s="249" t="s">
        <v>929</v>
      </c>
      <c r="N1663" s="248">
        <v>20.48</v>
      </c>
      <c r="O1663" s="248">
        <v>257.16000000000003</v>
      </c>
      <c r="P1663" s="247" t="s">
        <v>1360</v>
      </c>
      <c r="Q1663" s="247" t="s">
        <v>94</v>
      </c>
    </row>
    <row r="1664" spans="1:17" x14ac:dyDescent="0.25">
      <c r="A1664" s="247" t="s">
        <v>646</v>
      </c>
      <c r="B1664" s="247" t="s">
        <v>265</v>
      </c>
      <c r="C1664" s="247" t="s">
        <v>1343</v>
      </c>
      <c r="D1664" s="247" t="s">
        <v>946</v>
      </c>
      <c r="E1664" s="247" t="s">
        <v>1284</v>
      </c>
      <c r="F1664" s="247" t="s">
        <v>2068</v>
      </c>
      <c r="G1664" s="247" t="s">
        <v>1359</v>
      </c>
      <c r="H1664" s="247" t="s">
        <v>1975</v>
      </c>
      <c r="I1664" s="247" t="s">
        <v>2069</v>
      </c>
      <c r="J1664" s="247">
        <v>55</v>
      </c>
      <c r="K1664" s="247">
        <v>55</v>
      </c>
      <c r="L1664" s="249" t="s">
        <v>642</v>
      </c>
      <c r="M1664" s="249" t="s">
        <v>929</v>
      </c>
      <c r="N1664" s="248">
        <v>57.42</v>
      </c>
      <c r="O1664" s="248">
        <v>314.58</v>
      </c>
      <c r="P1664" s="247" t="s">
        <v>1360</v>
      </c>
      <c r="Q1664" s="247" t="s">
        <v>95</v>
      </c>
    </row>
    <row r="1665" spans="1:17" x14ac:dyDescent="0.25">
      <c r="A1665" s="247" t="s">
        <v>646</v>
      </c>
      <c r="B1665" s="247" t="s">
        <v>265</v>
      </c>
      <c r="C1665" s="247" t="s">
        <v>1343</v>
      </c>
      <c r="D1665" s="247" t="s">
        <v>1361</v>
      </c>
      <c r="E1665" s="247" t="s">
        <v>1284</v>
      </c>
      <c r="F1665" s="247" t="s">
        <v>2070</v>
      </c>
      <c r="G1665" s="247" t="s">
        <v>1362</v>
      </c>
      <c r="H1665" s="247" t="s">
        <v>1975</v>
      </c>
      <c r="I1665" s="247" t="s">
        <v>2071</v>
      </c>
      <c r="J1665" s="247">
        <v>54</v>
      </c>
      <c r="K1665" s="247">
        <v>54</v>
      </c>
      <c r="L1665" s="249" t="s">
        <v>646</v>
      </c>
      <c r="M1665" s="249" t="s">
        <v>933</v>
      </c>
      <c r="N1665" s="248">
        <v>547.70000000000005</v>
      </c>
      <c r="O1665" s="248">
        <v>5641.3</v>
      </c>
      <c r="P1665" s="247" t="s">
        <v>1363</v>
      </c>
      <c r="Q1665" s="247" t="s">
        <v>84</v>
      </c>
    </row>
    <row r="1666" spans="1:17" x14ac:dyDescent="0.25">
      <c r="A1666" s="247" t="s">
        <v>646</v>
      </c>
      <c r="B1666" s="247" t="s">
        <v>265</v>
      </c>
      <c r="C1666" s="247" t="s">
        <v>1343</v>
      </c>
      <c r="D1666" s="247" t="s">
        <v>1361</v>
      </c>
      <c r="E1666" s="247" t="s">
        <v>1284</v>
      </c>
      <c r="F1666" s="247" t="s">
        <v>2070</v>
      </c>
      <c r="G1666" s="247" t="s">
        <v>1362</v>
      </c>
      <c r="H1666" s="247" t="s">
        <v>1975</v>
      </c>
      <c r="I1666" s="247" t="s">
        <v>2071</v>
      </c>
      <c r="J1666" s="247">
        <v>54</v>
      </c>
      <c r="K1666" s="247">
        <v>54</v>
      </c>
      <c r="L1666" s="249" t="s">
        <v>650</v>
      </c>
      <c r="M1666" s="249" t="s">
        <v>933</v>
      </c>
      <c r="N1666" s="248">
        <v>542.67999999999995</v>
      </c>
      <c r="O1666" s="248">
        <v>6183.98</v>
      </c>
      <c r="P1666" s="247" t="s">
        <v>1363</v>
      </c>
      <c r="Q1666" s="247" t="s">
        <v>85</v>
      </c>
    </row>
    <row r="1667" spans="1:17" x14ac:dyDescent="0.25">
      <c r="A1667" s="247" t="s">
        <v>646</v>
      </c>
      <c r="B1667" s="247" t="s">
        <v>265</v>
      </c>
      <c r="C1667" s="247" t="s">
        <v>1343</v>
      </c>
      <c r="D1667" s="247" t="s">
        <v>1361</v>
      </c>
      <c r="E1667" s="247" t="s">
        <v>1284</v>
      </c>
      <c r="F1667" s="247" t="s">
        <v>2070</v>
      </c>
      <c r="G1667" s="247" t="s">
        <v>1362</v>
      </c>
      <c r="H1667" s="247" t="s">
        <v>1975</v>
      </c>
      <c r="I1667" s="247" t="s">
        <v>2071</v>
      </c>
      <c r="J1667" s="247">
        <v>54</v>
      </c>
      <c r="K1667" s="247">
        <v>54</v>
      </c>
      <c r="L1667" s="249" t="s">
        <v>652</v>
      </c>
      <c r="M1667" s="249" t="s">
        <v>933</v>
      </c>
      <c r="N1667" s="248">
        <v>520.70000000000005</v>
      </c>
      <c r="O1667" s="248">
        <v>6704.68</v>
      </c>
      <c r="P1667" s="247" t="s">
        <v>1363</v>
      </c>
      <c r="Q1667" s="247" t="s">
        <v>86</v>
      </c>
    </row>
    <row r="1668" spans="1:17" x14ac:dyDescent="0.25">
      <c r="A1668" s="247" t="s">
        <v>646</v>
      </c>
      <c r="B1668" s="247" t="s">
        <v>265</v>
      </c>
      <c r="C1668" s="247" t="s">
        <v>1343</v>
      </c>
      <c r="D1668" s="247" t="s">
        <v>1361</v>
      </c>
      <c r="E1668" s="247" t="s">
        <v>1284</v>
      </c>
      <c r="F1668" s="247" t="s">
        <v>2070</v>
      </c>
      <c r="G1668" s="247" t="s">
        <v>1362</v>
      </c>
      <c r="H1668" s="247" t="s">
        <v>1975</v>
      </c>
      <c r="I1668" s="247" t="s">
        <v>2071</v>
      </c>
      <c r="J1668" s="247">
        <v>54</v>
      </c>
      <c r="K1668" s="247">
        <v>54</v>
      </c>
      <c r="L1668" s="249" t="s">
        <v>789</v>
      </c>
      <c r="M1668" s="249" t="s">
        <v>929</v>
      </c>
      <c r="N1668" s="248">
        <v>939.09</v>
      </c>
      <c r="O1668" s="248">
        <v>939.09</v>
      </c>
      <c r="P1668" s="247" t="s">
        <v>1363</v>
      </c>
      <c r="Q1668" s="247" t="s">
        <v>87</v>
      </c>
    </row>
    <row r="1669" spans="1:17" x14ac:dyDescent="0.25">
      <c r="A1669" s="247" t="s">
        <v>646</v>
      </c>
      <c r="B1669" s="247" t="s">
        <v>265</v>
      </c>
      <c r="C1669" s="247" t="s">
        <v>1343</v>
      </c>
      <c r="D1669" s="247" t="s">
        <v>1361</v>
      </c>
      <c r="E1669" s="247" t="s">
        <v>1284</v>
      </c>
      <c r="F1669" s="247" t="s">
        <v>2070</v>
      </c>
      <c r="G1669" s="247" t="s">
        <v>1362</v>
      </c>
      <c r="H1669" s="247" t="s">
        <v>1975</v>
      </c>
      <c r="I1669" s="247" t="s">
        <v>2071</v>
      </c>
      <c r="J1669" s="247">
        <v>54</v>
      </c>
      <c r="K1669" s="247">
        <v>54</v>
      </c>
      <c r="L1669" s="249" t="s">
        <v>791</v>
      </c>
      <c r="M1669" s="249" t="s">
        <v>929</v>
      </c>
      <c r="N1669" s="248">
        <v>1168.4000000000001</v>
      </c>
      <c r="O1669" s="248">
        <v>2107.4899999999998</v>
      </c>
      <c r="P1669" s="247" t="s">
        <v>1363</v>
      </c>
      <c r="Q1669" s="247" t="s">
        <v>88</v>
      </c>
    </row>
    <row r="1670" spans="1:17" x14ac:dyDescent="0.25">
      <c r="A1670" s="247" t="s">
        <v>646</v>
      </c>
      <c r="B1670" s="247" t="s">
        <v>265</v>
      </c>
      <c r="C1670" s="247" t="s">
        <v>1343</v>
      </c>
      <c r="D1670" s="247" t="s">
        <v>1361</v>
      </c>
      <c r="E1670" s="247" t="s">
        <v>1284</v>
      </c>
      <c r="F1670" s="247" t="s">
        <v>2070</v>
      </c>
      <c r="G1670" s="247" t="s">
        <v>1362</v>
      </c>
      <c r="H1670" s="247" t="s">
        <v>1975</v>
      </c>
      <c r="I1670" s="247" t="s">
        <v>2071</v>
      </c>
      <c r="J1670" s="247">
        <v>54</v>
      </c>
      <c r="K1670" s="247">
        <v>54</v>
      </c>
      <c r="L1670" s="249" t="s">
        <v>935</v>
      </c>
      <c r="M1670" s="249" t="s">
        <v>929</v>
      </c>
      <c r="N1670" s="248">
        <v>1084.6300000000001</v>
      </c>
      <c r="O1670" s="248">
        <v>3192.12</v>
      </c>
      <c r="P1670" s="247" t="s">
        <v>1363</v>
      </c>
      <c r="Q1670" s="247" t="s">
        <v>89</v>
      </c>
    </row>
    <row r="1671" spans="1:17" x14ac:dyDescent="0.25">
      <c r="A1671" s="247" t="s">
        <v>646</v>
      </c>
      <c r="B1671" s="247" t="s">
        <v>265</v>
      </c>
      <c r="C1671" s="247" t="s">
        <v>1343</v>
      </c>
      <c r="D1671" s="247" t="s">
        <v>1361</v>
      </c>
      <c r="E1671" s="247" t="s">
        <v>1284</v>
      </c>
      <c r="F1671" s="247" t="s">
        <v>2070</v>
      </c>
      <c r="G1671" s="247" t="s">
        <v>1362</v>
      </c>
      <c r="H1671" s="247" t="s">
        <v>1975</v>
      </c>
      <c r="I1671" s="247" t="s">
        <v>2071</v>
      </c>
      <c r="J1671" s="247">
        <v>54</v>
      </c>
      <c r="K1671" s="247">
        <v>54</v>
      </c>
      <c r="L1671" s="249" t="s">
        <v>936</v>
      </c>
      <c r="M1671" s="249" t="s">
        <v>929</v>
      </c>
      <c r="N1671" s="248">
        <v>1604.18</v>
      </c>
      <c r="O1671" s="248">
        <v>4796.3</v>
      </c>
      <c r="P1671" s="247" t="s">
        <v>1363</v>
      </c>
      <c r="Q1671" s="247" t="s">
        <v>90</v>
      </c>
    </row>
    <row r="1672" spans="1:17" x14ac:dyDescent="0.25">
      <c r="A1672" s="247" t="s">
        <v>646</v>
      </c>
      <c r="B1672" s="247" t="s">
        <v>265</v>
      </c>
      <c r="C1672" s="247" t="s">
        <v>1343</v>
      </c>
      <c r="D1672" s="247" t="s">
        <v>1361</v>
      </c>
      <c r="E1672" s="247" t="s">
        <v>1284</v>
      </c>
      <c r="F1672" s="247" t="s">
        <v>2070</v>
      </c>
      <c r="G1672" s="247" t="s">
        <v>1362</v>
      </c>
      <c r="H1672" s="247" t="s">
        <v>1975</v>
      </c>
      <c r="I1672" s="247" t="s">
        <v>2071</v>
      </c>
      <c r="J1672" s="247">
        <v>54</v>
      </c>
      <c r="K1672" s="247">
        <v>54</v>
      </c>
      <c r="L1672" s="249" t="s">
        <v>937</v>
      </c>
      <c r="M1672" s="249" t="s">
        <v>929</v>
      </c>
      <c r="N1672" s="248">
        <v>914.17</v>
      </c>
      <c r="O1672" s="248">
        <v>5710.47</v>
      </c>
      <c r="P1672" s="247" t="s">
        <v>1363</v>
      </c>
      <c r="Q1672" s="247" t="s">
        <v>91</v>
      </c>
    </row>
    <row r="1673" spans="1:17" x14ac:dyDescent="0.25">
      <c r="A1673" s="247" t="s">
        <v>646</v>
      </c>
      <c r="B1673" s="247" t="s">
        <v>265</v>
      </c>
      <c r="C1673" s="247" t="s">
        <v>1343</v>
      </c>
      <c r="D1673" s="247" t="s">
        <v>1361</v>
      </c>
      <c r="E1673" s="247" t="s">
        <v>1284</v>
      </c>
      <c r="F1673" s="247" t="s">
        <v>2070</v>
      </c>
      <c r="G1673" s="247" t="s">
        <v>1362</v>
      </c>
      <c r="H1673" s="247" t="s">
        <v>1975</v>
      </c>
      <c r="I1673" s="247" t="s">
        <v>2071</v>
      </c>
      <c r="J1673" s="247">
        <v>54</v>
      </c>
      <c r="K1673" s="247">
        <v>54</v>
      </c>
      <c r="L1673" s="249" t="s">
        <v>938</v>
      </c>
      <c r="M1673" s="249" t="s">
        <v>929</v>
      </c>
      <c r="N1673" s="248">
        <v>373.24</v>
      </c>
      <c r="O1673" s="248">
        <v>6083.71</v>
      </c>
      <c r="P1673" s="247" t="s">
        <v>1363</v>
      </c>
      <c r="Q1673" s="247" t="s">
        <v>92</v>
      </c>
    </row>
    <row r="1674" spans="1:17" x14ac:dyDescent="0.25">
      <c r="A1674" s="247" t="s">
        <v>646</v>
      </c>
      <c r="B1674" s="247" t="s">
        <v>265</v>
      </c>
      <c r="C1674" s="247" t="s">
        <v>1343</v>
      </c>
      <c r="D1674" s="247" t="s">
        <v>1361</v>
      </c>
      <c r="E1674" s="247" t="s">
        <v>1284</v>
      </c>
      <c r="F1674" s="247" t="s">
        <v>2070</v>
      </c>
      <c r="G1674" s="247" t="s">
        <v>1362</v>
      </c>
      <c r="H1674" s="247" t="s">
        <v>1975</v>
      </c>
      <c r="I1674" s="247" t="s">
        <v>2071</v>
      </c>
      <c r="J1674" s="247">
        <v>54</v>
      </c>
      <c r="K1674" s="247">
        <v>54</v>
      </c>
      <c r="L1674" s="249" t="s">
        <v>939</v>
      </c>
      <c r="M1674" s="249" t="s">
        <v>929</v>
      </c>
      <c r="N1674" s="248">
        <v>598.28</v>
      </c>
      <c r="O1674" s="248">
        <v>6681.99</v>
      </c>
      <c r="P1674" s="247" t="s">
        <v>1363</v>
      </c>
      <c r="Q1674" s="247" t="s">
        <v>93</v>
      </c>
    </row>
    <row r="1675" spans="1:17" x14ac:dyDescent="0.25">
      <c r="A1675" s="247" t="s">
        <v>646</v>
      </c>
      <c r="B1675" s="247" t="s">
        <v>265</v>
      </c>
      <c r="C1675" s="247" t="s">
        <v>1343</v>
      </c>
      <c r="D1675" s="247" t="s">
        <v>1361</v>
      </c>
      <c r="E1675" s="247" t="s">
        <v>1284</v>
      </c>
      <c r="F1675" s="247" t="s">
        <v>2070</v>
      </c>
      <c r="G1675" s="247" t="s">
        <v>1362</v>
      </c>
      <c r="H1675" s="247" t="s">
        <v>1975</v>
      </c>
      <c r="I1675" s="247" t="s">
        <v>2071</v>
      </c>
      <c r="J1675" s="247">
        <v>54</v>
      </c>
      <c r="K1675" s="247">
        <v>54</v>
      </c>
      <c r="L1675" s="249" t="s">
        <v>940</v>
      </c>
      <c r="M1675" s="249" t="s">
        <v>929</v>
      </c>
      <c r="N1675" s="248">
        <v>724.78</v>
      </c>
      <c r="O1675" s="248">
        <v>7406.77</v>
      </c>
      <c r="P1675" s="247" t="s">
        <v>1363</v>
      </c>
      <c r="Q1675" s="247" t="s">
        <v>94</v>
      </c>
    </row>
    <row r="1676" spans="1:17" x14ac:dyDescent="0.25">
      <c r="A1676" s="247" t="s">
        <v>646</v>
      </c>
      <c r="B1676" s="247" t="s">
        <v>265</v>
      </c>
      <c r="C1676" s="247" t="s">
        <v>1343</v>
      </c>
      <c r="D1676" s="247" t="s">
        <v>1361</v>
      </c>
      <c r="E1676" s="247" t="s">
        <v>1284</v>
      </c>
      <c r="F1676" s="247" t="s">
        <v>2070</v>
      </c>
      <c r="G1676" s="247" t="s">
        <v>1362</v>
      </c>
      <c r="H1676" s="247" t="s">
        <v>1975</v>
      </c>
      <c r="I1676" s="247" t="s">
        <v>2071</v>
      </c>
      <c r="J1676" s="247">
        <v>54</v>
      </c>
      <c r="K1676" s="247">
        <v>54</v>
      </c>
      <c r="L1676" s="249" t="s">
        <v>642</v>
      </c>
      <c r="M1676" s="249" t="s">
        <v>929</v>
      </c>
      <c r="N1676" s="248">
        <v>1652.4</v>
      </c>
      <c r="O1676" s="248">
        <v>9059.17</v>
      </c>
      <c r="P1676" s="247" t="s">
        <v>1363</v>
      </c>
      <c r="Q1676" s="247" t="s">
        <v>95</v>
      </c>
    </row>
    <row r="1677" spans="1:17" x14ac:dyDescent="0.25">
      <c r="A1677" s="247" t="s">
        <v>646</v>
      </c>
      <c r="B1677" s="247" t="s">
        <v>265</v>
      </c>
      <c r="C1677" s="247" t="s">
        <v>1343</v>
      </c>
      <c r="D1677" s="247" t="s">
        <v>1172</v>
      </c>
      <c r="E1677" s="247" t="s">
        <v>1284</v>
      </c>
      <c r="F1677" s="247" t="s">
        <v>2072</v>
      </c>
      <c r="G1677" s="247" t="s">
        <v>1364</v>
      </c>
      <c r="H1677" s="247" t="s">
        <v>1975</v>
      </c>
      <c r="I1677" s="247" t="s">
        <v>2073</v>
      </c>
      <c r="J1677" s="247">
        <v>56</v>
      </c>
      <c r="K1677" s="247">
        <v>56</v>
      </c>
      <c r="L1677" s="249" t="s">
        <v>646</v>
      </c>
      <c r="M1677" s="249" t="s">
        <v>933</v>
      </c>
      <c r="N1677" s="248">
        <v>0</v>
      </c>
      <c r="O1677" s="248">
        <v>156.57</v>
      </c>
      <c r="P1677" s="247" t="s">
        <v>1365</v>
      </c>
      <c r="Q1677" s="247" t="s">
        <v>84</v>
      </c>
    </row>
    <row r="1678" spans="1:17" x14ac:dyDescent="0.25">
      <c r="A1678" s="247" t="s">
        <v>646</v>
      </c>
      <c r="B1678" s="247" t="s">
        <v>265</v>
      </c>
      <c r="C1678" s="247" t="s">
        <v>1343</v>
      </c>
      <c r="D1678" s="247" t="s">
        <v>1172</v>
      </c>
      <c r="E1678" s="247" t="s">
        <v>1284</v>
      </c>
      <c r="F1678" s="247" t="s">
        <v>2072</v>
      </c>
      <c r="G1678" s="247" t="s">
        <v>1364</v>
      </c>
      <c r="H1678" s="247" t="s">
        <v>1975</v>
      </c>
      <c r="I1678" s="247" t="s">
        <v>2073</v>
      </c>
      <c r="J1678" s="247">
        <v>56</v>
      </c>
      <c r="K1678" s="247">
        <v>56</v>
      </c>
      <c r="L1678" s="249" t="s">
        <v>650</v>
      </c>
      <c r="M1678" s="249" t="s">
        <v>933</v>
      </c>
      <c r="N1678" s="248">
        <v>524.75</v>
      </c>
      <c r="O1678" s="248">
        <v>681.32</v>
      </c>
      <c r="P1678" s="247" t="s">
        <v>1365</v>
      </c>
      <c r="Q1678" s="247" t="s">
        <v>85</v>
      </c>
    </row>
    <row r="1679" spans="1:17" x14ac:dyDescent="0.25">
      <c r="A1679" s="247" t="s">
        <v>646</v>
      </c>
      <c r="B1679" s="247" t="s">
        <v>265</v>
      </c>
      <c r="C1679" s="247" t="s">
        <v>1343</v>
      </c>
      <c r="D1679" s="247" t="s">
        <v>1172</v>
      </c>
      <c r="E1679" s="247" t="s">
        <v>1284</v>
      </c>
      <c r="F1679" s="247" t="s">
        <v>2072</v>
      </c>
      <c r="G1679" s="247" t="s">
        <v>1364</v>
      </c>
      <c r="H1679" s="247" t="s">
        <v>1975</v>
      </c>
      <c r="I1679" s="247" t="s">
        <v>2073</v>
      </c>
      <c r="J1679" s="247">
        <v>56</v>
      </c>
      <c r="K1679" s="247">
        <v>56</v>
      </c>
      <c r="L1679" s="249" t="s">
        <v>652</v>
      </c>
      <c r="M1679" s="249" t="s">
        <v>933</v>
      </c>
      <c r="N1679" s="248">
        <v>0</v>
      </c>
      <c r="O1679" s="248">
        <v>681.32</v>
      </c>
      <c r="P1679" s="247" t="s">
        <v>1365</v>
      </c>
      <c r="Q1679" s="247" t="s">
        <v>86</v>
      </c>
    </row>
    <row r="1680" spans="1:17" x14ac:dyDescent="0.25">
      <c r="A1680" s="247" t="s">
        <v>646</v>
      </c>
      <c r="B1680" s="247" t="s">
        <v>265</v>
      </c>
      <c r="C1680" s="247" t="s">
        <v>1343</v>
      </c>
      <c r="D1680" s="247" t="s">
        <v>926</v>
      </c>
      <c r="E1680" s="247" t="s">
        <v>1291</v>
      </c>
      <c r="F1680" s="247" t="s">
        <v>2074</v>
      </c>
      <c r="G1680" s="247" t="s">
        <v>1344</v>
      </c>
      <c r="H1680" s="247" t="s">
        <v>1982</v>
      </c>
      <c r="I1680" s="247" t="s">
        <v>2075</v>
      </c>
      <c r="J1680" s="247">
        <v>52</v>
      </c>
      <c r="K1680" s="247">
        <v>52</v>
      </c>
      <c r="L1680" s="249" t="s">
        <v>646</v>
      </c>
      <c r="M1680" s="249" t="s">
        <v>933</v>
      </c>
      <c r="N1680" s="248">
        <v>1711.91</v>
      </c>
      <c r="O1680" s="248">
        <v>20672.75</v>
      </c>
      <c r="P1680" s="247" t="s">
        <v>1366</v>
      </c>
      <c r="Q1680" s="247" t="s">
        <v>84</v>
      </c>
    </row>
    <row r="1681" spans="1:17" x14ac:dyDescent="0.25">
      <c r="A1681" s="247" t="s">
        <v>646</v>
      </c>
      <c r="B1681" s="247" t="s">
        <v>265</v>
      </c>
      <c r="C1681" s="247" t="s">
        <v>1343</v>
      </c>
      <c r="D1681" s="247" t="s">
        <v>926</v>
      </c>
      <c r="E1681" s="247" t="s">
        <v>1291</v>
      </c>
      <c r="F1681" s="247" t="s">
        <v>2074</v>
      </c>
      <c r="G1681" s="247" t="s">
        <v>1344</v>
      </c>
      <c r="H1681" s="247" t="s">
        <v>1982</v>
      </c>
      <c r="I1681" s="247" t="s">
        <v>2075</v>
      </c>
      <c r="J1681" s="247">
        <v>52</v>
      </c>
      <c r="K1681" s="247">
        <v>52</v>
      </c>
      <c r="L1681" s="249" t="s">
        <v>650</v>
      </c>
      <c r="M1681" s="249" t="s">
        <v>933</v>
      </c>
      <c r="N1681" s="248">
        <v>1288.17</v>
      </c>
      <c r="O1681" s="248">
        <v>21960.92</v>
      </c>
      <c r="P1681" s="247" t="s">
        <v>1366</v>
      </c>
      <c r="Q1681" s="247" t="s">
        <v>85</v>
      </c>
    </row>
    <row r="1682" spans="1:17" x14ac:dyDescent="0.25">
      <c r="A1682" s="247" t="s">
        <v>646</v>
      </c>
      <c r="B1682" s="247" t="s">
        <v>265</v>
      </c>
      <c r="C1682" s="247" t="s">
        <v>1343</v>
      </c>
      <c r="D1682" s="247" t="s">
        <v>926</v>
      </c>
      <c r="E1682" s="247" t="s">
        <v>1291</v>
      </c>
      <c r="F1682" s="247" t="s">
        <v>2074</v>
      </c>
      <c r="G1682" s="247" t="s">
        <v>1344</v>
      </c>
      <c r="H1682" s="247" t="s">
        <v>1982</v>
      </c>
      <c r="I1682" s="247" t="s">
        <v>2075</v>
      </c>
      <c r="J1682" s="247">
        <v>52</v>
      </c>
      <c r="K1682" s="247">
        <v>52</v>
      </c>
      <c r="L1682" s="249" t="s">
        <v>652</v>
      </c>
      <c r="M1682" s="249" t="s">
        <v>933</v>
      </c>
      <c r="N1682" s="248">
        <v>3464.59</v>
      </c>
      <c r="O1682" s="248">
        <v>25425.51</v>
      </c>
      <c r="P1682" s="247" t="s">
        <v>1366</v>
      </c>
      <c r="Q1682" s="247" t="s">
        <v>86</v>
      </c>
    </row>
    <row r="1683" spans="1:17" x14ac:dyDescent="0.25">
      <c r="A1683" s="247" t="s">
        <v>646</v>
      </c>
      <c r="B1683" s="247" t="s">
        <v>265</v>
      </c>
      <c r="C1683" s="247" t="s">
        <v>1343</v>
      </c>
      <c r="D1683" s="247" t="s">
        <v>926</v>
      </c>
      <c r="E1683" s="247" t="s">
        <v>1291</v>
      </c>
      <c r="F1683" s="247" t="s">
        <v>2074</v>
      </c>
      <c r="G1683" s="247" t="s">
        <v>1344</v>
      </c>
      <c r="H1683" s="247" t="s">
        <v>1982</v>
      </c>
      <c r="I1683" s="247" t="s">
        <v>2075</v>
      </c>
      <c r="J1683" s="247">
        <v>52</v>
      </c>
      <c r="K1683" s="247">
        <v>52</v>
      </c>
      <c r="L1683" s="249" t="s">
        <v>789</v>
      </c>
      <c r="M1683" s="249" t="s">
        <v>929</v>
      </c>
      <c r="N1683" s="248">
        <v>1857.87</v>
      </c>
      <c r="O1683" s="248">
        <v>1857.87</v>
      </c>
      <c r="P1683" s="247" t="s">
        <v>1366</v>
      </c>
      <c r="Q1683" s="247" t="s">
        <v>87</v>
      </c>
    </row>
    <row r="1684" spans="1:17" x14ac:dyDescent="0.25">
      <c r="A1684" s="247" t="s">
        <v>646</v>
      </c>
      <c r="B1684" s="247" t="s">
        <v>265</v>
      </c>
      <c r="C1684" s="247" t="s">
        <v>1343</v>
      </c>
      <c r="D1684" s="247" t="s">
        <v>926</v>
      </c>
      <c r="E1684" s="247" t="s">
        <v>1291</v>
      </c>
      <c r="F1684" s="247" t="s">
        <v>2074</v>
      </c>
      <c r="G1684" s="247" t="s">
        <v>1344</v>
      </c>
      <c r="H1684" s="247" t="s">
        <v>1982</v>
      </c>
      <c r="I1684" s="247" t="s">
        <v>2075</v>
      </c>
      <c r="J1684" s="247">
        <v>52</v>
      </c>
      <c r="K1684" s="247">
        <v>52</v>
      </c>
      <c r="L1684" s="249" t="s">
        <v>791</v>
      </c>
      <c r="M1684" s="249" t="s">
        <v>929</v>
      </c>
      <c r="N1684" s="248">
        <v>1857.87</v>
      </c>
      <c r="O1684" s="248">
        <v>3715.74</v>
      </c>
      <c r="P1684" s="247" t="s">
        <v>1366</v>
      </c>
      <c r="Q1684" s="247" t="s">
        <v>88</v>
      </c>
    </row>
    <row r="1685" spans="1:17" x14ac:dyDescent="0.25">
      <c r="A1685" s="247" t="s">
        <v>646</v>
      </c>
      <c r="B1685" s="247" t="s">
        <v>265</v>
      </c>
      <c r="C1685" s="247" t="s">
        <v>1343</v>
      </c>
      <c r="D1685" s="247" t="s">
        <v>926</v>
      </c>
      <c r="E1685" s="247" t="s">
        <v>1291</v>
      </c>
      <c r="F1685" s="247" t="s">
        <v>2074</v>
      </c>
      <c r="G1685" s="247" t="s">
        <v>1344</v>
      </c>
      <c r="H1685" s="247" t="s">
        <v>1982</v>
      </c>
      <c r="I1685" s="247" t="s">
        <v>2075</v>
      </c>
      <c r="J1685" s="247">
        <v>52</v>
      </c>
      <c r="K1685" s="247">
        <v>52</v>
      </c>
      <c r="L1685" s="249" t="s">
        <v>935</v>
      </c>
      <c r="M1685" s="249" t="s">
        <v>929</v>
      </c>
      <c r="N1685" s="248">
        <v>1670.31</v>
      </c>
      <c r="O1685" s="248">
        <v>5386.05</v>
      </c>
      <c r="P1685" s="247" t="s">
        <v>1366</v>
      </c>
      <c r="Q1685" s="247" t="s">
        <v>89</v>
      </c>
    </row>
    <row r="1686" spans="1:17" x14ac:dyDescent="0.25">
      <c r="A1686" s="247" t="s">
        <v>646</v>
      </c>
      <c r="B1686" s="247" t="s">
        <v>265</v>
      </c>
      <c r="C1686" s="247" t="s">
        <v>1343</v>
      </c>
      <c r="D1686" s="247" t="s">
        <v>926</v>
      </c>
      <c r="E1686" s="247" t="s">
        <v>1291</v>
      </c>
      <c r="F1686" s="247" t="s">
        <v>2074</v>
      </c>
      <c r="G1686" s="247" t="s">
        <v>1344</v>
      </c>
      <c r="H1686" s="247" t="s">
        <v>1982</v>
      </c>
      <c r="I1686" s="247" t="s">
        <v>2075</v>
      </c>
      <c r="J1686" s="247">
        <v>52</v>
      </c>
      <c r="K1686" s="247">
        <v>52</v>
      </c>
      <c r="L1686" s="249" t="s">
        <v>936</v>
      </c>
      <c r="M1686" s="249" t="s">
        <v>929</v>
      </c>
      <c r="N1686" s="248">
        <v>1670.31</v>
      </c>
      <c r="O1686" s="248">
        <v>7056.36</v>
      </c>
      <c r="P1686" s="247" t="s">
        <v>1366</v>
      </c>
      <c r="Q1686" s="247" t="s">
        <v>90</v>
      </c>
    </row>
    <row r="1687" spans="1:17" x14ac:dyDescent="0.25">
      <c r="A1687" s="247" t="s">
        <v>646</v>
      </c>
      <c r="B1687" s="247" t="s">
        <v>265</v>
      </c>
      <c r="C1687" s="247" t="s">
        <v>1343</v>
      </c>
      <c r="D1687" s="247" t="s">
        <v>926</v>
      </c>
      <c r="E1687" s="247" t="s">
        <v>1291</v>
      </c>
      <c r="F1687" s="247" t="s">
        <v>2074</v>
      </c>
      <c r="G1687" s="247" t="s">
        <v>1344</v>
      </c>
      <c r="H1687" s="247" t="s">
        <v>1982</v>
      </c>
      <c r="I1687" s="247" t="s">
        <v>2075</v>
      </c>
      <c r="J1687" s="247">
        <v>52</v>
      </c>
      <c r="K1687" s="247">
        <v>52</v>
      </c>
      <c r="L1687" s="249" t="s">
        <v>937</v>
      </c>
      <c r="M1687" s="249" t="s">
        <v>929</v>
      </c>
      <c r="N1687" s="248">
        <v>1857.87</v>
      </c>
      <c r="O1687" s="248">
        <v>8914.23</v>
      </c>
      <c r="P1687" s="247" t="s">
        <v>1366</v>
      </c>
      <c r="Q1687" s="247" t="s">
        <v>91</v>
      </c>
    </row>
    <row r="1688" spans="1:17" x14ac:dyDescent="0.25">
      <c r="A1688" s="247" t="s">
        <v>646</v>
      </c>
      <c r="B1688" s="247" t="s">
        <v>265</v>
      </c>
      <c r="C1688" s="247" t="s">
        <v>1343</v>
      </c>
      <c r="D1688" s="247" t="s">
        <v>926</v>
      </c>
      <c r="E1688" s="247" t="s">
        <v>1291</v>
      </c>
      <c r="F1688" s="247" t="s">
        <v>2074</v>
      </c>
      <c r="G1688" s="247" t="s">
        <v>1344</v>
      </c>
      <c r="H1688" s="247" t="s">
        <v>1982</v>
      </c>
      <c r="I1688" s="247" t="s">
        <v>2075</v>
      </c>
      <c r="J1688" s="247">
        <v>52</v>
      </c>
      <c r="K1688" s="247">
        <v>52</v>
      </c>
      <c r="L1688" s="249" t="s">
        <v>938</v>
      </c>
      <c r="M1688" s="249" t="s">
        <v>929</v>
      </c>
      <c r="N1688" s="248">
        <v>1857.87</v>
      </c>
      <c r="O1688" s="248">
        <v>10772.1</v>
      </c>
      <c r="P1688" s="247" t="s">
        <v>1366</v>
      </c>
      <c r="Q1688" s="247" t="s">
        <v>92</v>
      </c>
    </row>
    <row r="1689" spans="1:17" x14ac:dyDescent="0.25">
      <c r="A1689" s="247" t="s">
        <v>646</v>
      </c>
      <c r="B1689" s="247" t="s">
        <v>265</v>
      </c>
      <c r="C1689" s="247" t="s">
        <v>1343</v>
      </c>
      <c r="D1689" s="247" t="s">
        <v>926</v>
      </c>
      <c r="E1689" s="247" t="s">
        <v>1291</v>
      </c>
      <c r="F1689" s="247" t="s">
        <v>2074</v>
      </c>
      <c r="G1689" s="247" t="s">
        <v>1344</v>
      </c>
      <c r="H1689" s="247" t="s">
        <v>1982</v>
      </c>
      <c r="I1689" s="247" t="s">
        <v>2075</v>
      </c>
      <c r="J1689" s="247">
        <v>52</v>
      </c>
      <c r="K1689" s="247">
        <v>52</v>
      </c>
      <c r="L1689" s="249" t="s">
        <v>939</v>
      </c>
      <c r="M1689" s="249" t="s">
        <v>929</v>
      </c>
      <c r="N1689" s="248">
        <v>1857.87</v>
      </c>
      <c r="O1689" s="248">
        <v>12629.97</v>
      </c>
      <c r="P1689" s="247" t="s">
        <v>1366</v>
      </c>
      <c r="Q1689" s="247" t="s">
        <v>93</v>
      </c>
    </row>
    <row r="1690" spans="1:17" x14ac:dyDescent="0.25">
      <c r="A1690" s="247" t="s">
        <v>646</v>
      </c>
      <c r="B1690" s="247" t="s">
        <v>265</v>
      </c>
      <c r="C1690" s="247" t="s">
        <v>1343</v>
      </c>
      <c r="D1690" s="247" t="s">
        <v>926</v>
      </c>
      <c r="E1690" s="247" t="s">
        <v>1291</v>
      </c>
      <c r="F1690" s="247" t="s">
        <v>2074</v>
      </c>
      <c r="G1690" s="247" t="s">
        <v>1344</v>
      </c>
      <c r="H1690" s="247" t="s">
        <v>1982</v>
      </c>
      <c r="I1690" s="247" t="s">
        <v>2075</v>
      </c>
      <c r="J1690" s="247">
        <v>52</v>
      </c>
      <c r="K1690" s="247">
        <v>52</v>
      </c>
      <c r="L1690" s="249" t="s">
        <v>940</v>
      </c>
      <c r="M1690" s="249" t="s">
        <v>929</v>
      </c>
      <c r="N1690" s="248">
        <v>1857.87</v>
      </c>
      <c r="O1690" s="248">
        <v>14487.84</v>
      </c>
      <c r="P1690" s="247" t="s">
        <v>1366</v>
      </c>
      <c r="Q1690" s="247" t="s">
        <v>94</v>
      </c>
    </row>
    <row r="1691" spans="1:17" x14ac:dyDescent="0.25">
      <c r="A1691" s="247" t="s">
        <v>646</v>
      </c>
      <c r="B1691" s="247" t="s">
        <v>265</v>
      </c>
      <c r="C1691" s="247" t="s">
        <v>1343</v>
      </c>
      <c r="D1691" s="247" t="s">
        <v>926</v>
      </c>
      <c r="E1691" s="247" t="s">
        <v>1291</v>
      </c>
      <c r="F1691" s="247" t="s">
        <v>2074</v>
      </c>
      <c r="G1691" s="247" t="s">
        <v>1344</v>
      </c>
      <c r="H1691" s="247" t="s">
        <v>1982</v>
      </c>
      <c r="I1691" s="247" t="s">
        <v>2075</v>
      </c>
      <c r="J1691" s="247">
        <v>52</v>
      </c>
      <c r="K1691" s="247">
        <v>52</v>
      </c>
      <c r="L1691" s="249" t="s">
        <v>642</v>
      </c>
      <c r="M1691" s="249" t="s">
        <v>929</v>
      </c>
      <c r="N1691" s="248">
        <v>1857.87</v>
      </c>
      <c r="O1691" s="248">
        <v>16345.71</v>
      </c>
      <c r="P1691" s="247" t="s">
        <v>1366</v>
      </c>
      <c r="Q1691" s="247" t="s">
        <v>95</v>
      </c>
    </row>
    <row r="1692" spans="1:17" x14ac:dyDescent="0.25">
      <c r="A1692" s="247" t="s">
        <v>646</v>
      </c>
      <c r="B1692" s="247" t="s">
        <v>265</v>
      </c>
      <c r="C1692" s="247" t="s">
        <v>1343</v>
      </c>
      <c r="D1692" s="247" t="s">
        <v>711</v>
      </c>
      <c r="E1692" s="247" t="s">
        <v>1291</v>
      </c>
      <c r="F1692" s="247" t="s">
        <v>2076</v>
      </c>
      <c r="G1692" s="247" t="s">
        <v>1346</v>
      </c>
      <c r="H1692" s="247" t="s">
        <v>1982</v>
      </c>
      <c r="I1692" s="247" t="s">
        <v>2077</v>
      </c>
      <c r="J1692" s="247">
        <v>53</v>
      </c>
      <c r="K1692" s="247">
        <v>53</v>
      </c>
      <c r="L1692" s="249" t="s">
        <v>646</v>
      </c>
      <c r="M1692" s="249" t="s">
        <v>933</v>
      </c>
      <c r="N1692" s="248">
        <v>1000.58</v>
      </c>
      <c r="O1692" s="248">
        <v>8344.98</v>
      </c>
      <c r="P1692" s="247" t="s">
        <v>1367</v>
      </c>
      <c r="Q1692" s="247" t="s">
        <v>84</v>
      </c>
    </row>
    <row r="1693" spans="1:17" x14ac:dyDescent="0.25">
      <c r="A1693" s="247" t="s">
        <v>646</v>
      </c>
      <c r="B1693" s="247" t="s">
        <v>265</v>
      </c>
      <c r="C1693" s="247" t="s">
        <v>1343</v>
      </c>
      <c r="D1693" s="247" t="s">
        <v>711</v>
      </c>
      <c r="E1693" s="247" t="s">
        <v>1291</v>
      </c>
      <c r="F1693" s="247" t="s">
        <v>2076</v>
      </c>
      <c r="G1693" s="247" t="s">
        <v>1346</v>
      </c>
      <c r="H1693" s="247" t="s">
        <v>1982</v>
      </c>
      <c r="I1693" s="247" t="s">
        <v>2077</v>
      </c>
      <c r="J1693" s="247">
        <v>53</v>
      </c>
      <c r="K1693" s="247">
        <v>53</v>
      </c>
      <c r="L1693" s="249" t="s">
        <v>650</v>
      </c>
      <c r="M1693" s="249" t="s">
        <v>933</v>
      </c>
      <c r="N1693" s="248">
        <v>693.69</v>
      </c>
      <c r="O1693" s="248">
        <v>9038.67</v>
      </c>
      <c r="P1693" s="247" t="s">
        <v>1367</v>
      </c>
      <c r="Q1693" s="247" t="s">
        <v>85</v>
      </c>
    </row>
    <row r="1694" spans="1:17" x14ac:dyDescent="0.25">
      <c r="A1694" s="247" t="s">
        <v>646</v>
      </c>
      <c r="B1694" s="247" t="s">
        <v>265</v>
      </c>
      <c r="C1694" s="247" t="s">
        <v>1343</v>
      </c>
      <c r="D1694" s="247" t="s">
        <v>711</v>
      </c>
      <c r="E1694" s="247" t="s">
        <v>1291</v>
      </c>
      <c r="F1694" s="247" t="s">
        <v>2076</v>
      </c>
      <c r="G1694" s="247" t="s">
        <v>1346</v>
      </c>
      <c r="H1694" s="247" t="s">
        <v>1982</v>
      </c>
      <c r="I1694" s="247" t="s">
        <v>2077</v>
      </c>
      <c r="J1694" s="247">
        <v>53</v>
      </c>
      <c r="K1694" s="247">
        <v>53</v>
      </c>
      <c r="L1694" s="249" t="s">
        <v>652</v>
      </c>
      <c r="M1694" s="249" t="s">
        <v>933</v>
      </c>
      <c r="N1694" s="248">
        <v>674.18</v>
      </c>
      <c r="O1694" s="248">
        <v>9712.85</v>
      </c>
      <c r="P1694" s="247" t="s">
        <v>1367</v>
      </c>
      <c r="Q1694" s="247" t="s">
        <v>86</v>
      </c>
    </row>
    <row r="1695" spans="1:17" x14ac:dyDescent="0.25">
      <c r="A1695" s="247" t="s">
        <v>646</v>
      </c>
      <c r="B1695" s="247" t="s">
        <v>265</v>
      </c>
      <c r="C1695" s="247" t="s">
        <v>1343</v>
      </c>
      <c r="D1695" s="247" t="s">
        <v>711</v>
      </c>
      <c r="E1695" s="247" t="s">
        <v>1291</v>
      </c>
      <c r="F1695" s="247" t="s">
        <v>2076</v>
      </c>
      <c r="G1695" s="247" t="s">
        <v>1346</v>
      </c>
      <c r="H1695" s="247" t="s">
        <v>1982</v>
      </c>
      <c r="I1695" s="247" t="s">
        <v>2077</v>
      </c>
      <c r="J1695" s="247">
        <v>53</v>
      </c>
      <c r="K1695" s="247">
        <v>53</v>
      </c>
      <c r="L1695" s="249" t="s">
        <v>789</v>
      </c>
      <c r="M1695" s="249" t="s">
        <v>929</v>
      </c>
      <c r="N1695" s="248">
        <v>720.54</v>
      </c>
      <c r="O1695" s="248">
        <v>720.54</v>
      </c>
      <c r="P1695" s="247" t="s">
        <v>1367</v>
      </c>
      <c r="Q1695" s="247" t="s">
        <v>87</v>
      </c>
    </row>
    <row r="1696" spans="1:17" x14ac:dyDescent="0.25">
      <c r="A1696" s="247" t="s">
        <v>646</v>
      </c>
      <c r="B1696" s="247" t="s">
        <v>265</v>
      </c>
      <c r="C1696" s="247" t="s">
        <v>1343</v>
      </c>
      <c r="D1696" s="247" t="s">
        <v>711</v>
      </c>
      <c r="E1696" s="247" t="s">
        <v>1291</v>
      </c>
      <c r="F1696" s="247" t="s">
        <v>2076</v>
      </c>
      <c r="G1696" s="247" t="s">
        <v>1346</v>
      </c>
      <c r="H1696" s="247" t="s">
        <v>1982</v>
      </c>
      <c r="I1696" s="247" t="s">
        <v>2077</v>
      </c>
      <c r="J1696" s="247">
        <v>53</v>
      </c>
      <c r="K1696" s="247">
        <v>53</v>
      </c>
      <c r="L1696" s="249" t="s">
        <v>791</v>
      </c>
      <c r="M1696" s="249" t="s">
        <v>929</v>
      </c>
      <c r="N1696" s="248">
        <v>719.27</v>
      </c>
      <c r="O1696" s="248">
        <v>1439.81</v>
      </c>
      <c r="P1696" s="247" t="s">
        <v>1367</v>
      </c>
      <c r="Q1696" s="247" t="s">
        <v>88</v>
      </c>
    </row>
    <row r="1697" spans="1:17" x14ac:dyDescent="0.25">
      <c r="A1697" s="247" t="s">
        <v>646</v>
      </c>
      <c r="B1697" s="247" t="s">
        <v>265</v>
      </c>
      <c r="C1697" s="247" t="s">
        <v>1343</v>
      </c>
      <c r="D1697" s="247" t="s">
        <v>711</v>
      </c>
      <c r="E1697" s="247" t="s">
        <v>1291</v>
      </c>
      <c r="F1697" s="247" t="s">
        <v>2076</v>
      </c>
      <c r="G1697" s="247" t="s">
        <v>1346</v>
      </c>
      <c r="H1697" s="247" t="s">
        <v>1982</v>
      </c>
      <c r="I1697" s="247" t="s">
        <v>2077</v>
      </c>
      <c r="J1697" s="247">
        <v>53</v>
      </c>
      <c r="K1697" s="247">
        <v>53</v>
      </c>
      <c r="L1697" s="249" t="s">
        <v>935</v>
      </c>
      <c r="M1697" s="249" t="s">
        <v>929</v>
      </c>
      <c r="N1697" s="248">
        <v>724.03</v>
      </c>
      <c r="O1697" s="248">
        <v>2163.84</v>
      </c>
      <c r="P1697" s="247" t="s">
        <v>1367</v>
      </c>
      <c r="Q1697" s="247" t="s">
        <v>89</v>
      </c>
    </row>
    <row r="1698" spans="1:17" x14ac:dyDescent="0.25">
      <c r="A1698" s="247" t="s">
        <v>646</v>
      </c>
      <c r="B1698" s="247" t="s">
        <v>265</v>
      </c>
      <c r="C1698" s="247" t="s">
        <v>1343</v>
      </c>
      <c r="D1698" s="247" t="s">
        <v>711</v>
      </c>
      <c r="E1698" s="247" t="s">
        <v>1291</v>
      </c>
      <c r="F1698" s="247" t="s">
        <v>2076</v>
      </c>
      <c r="G1698" s="247" t="s">
        <v>1346</v>
      </c>
      <c r="H1698" s="247" t="s">
        <v>1982</v>
      </c>
      <c r="I1698" s="247" t="s">
        <v>2077</v>
      </c>
      <c r="J1698" s="247">
        <v>53</v>
      </c>
      <c r="K1698" s="247">
        <v>53</v>
      </c>
      <c r="L1698" s="249" t="s">
        <v>936</v>
      </c>
      <c r="M1698" s="249" t="s">
        <v>929</v>
      </c>
      <c r="N1698" s="248">
        <v>1079.7</v>
      </c>
      <c r="O1698" s="248">
        <v>3243.54</v>
      </c>
      <c r="P1698" s="247" t="s">
        <v>1367</v>
      </c>
      <c r="Q1698" s="247" t="s">
        <v>90</v>
      </c>
    </row>
    <row r="1699" spans="1:17" x14ac:dyDescent="0.25">
      <c r="A1699" s="247" t="s">
        <v>646</v>
      </c>
      <c r="B1699" s="247" t="s">
        <v>265</v>
      </c>
      <c r="C1699" s="247" t="s">
        <v>1343</v>
      </c>
      <c r="D1699" s="247" t="s">
        <v>711</v>
      </c>
      <c r="E1699" s="247" t="s">
        <v>1291</v>
      </c>
      <c r="F1699" s="247" t="s">
        <v>2076</v>
      </c>
      <c r="G1699" s="247" t="s">
        <v>1346</v>
      </c>
      <c r="H1699" s="247" t="s">
        <v>1982</v>
      </c>
      <c r="I1699" s="247" t="s">
        <v>2077</v>
      </c>
      <c r="J1699" s="247">
        <v>53</v>
      </c>
      <c r="K1699" s="247">
        <v>53</v>
      </c>
      <c r="L1699" s="249" t="s">
        <v>937</v>
      </c>
      <c r="M1699" s="249" t="s">
        <v>929</v>
      </c>
      <c r="N1699" s="248">
        <v>706.69</v>
      </c>
      <c r="O1699" s="248">
        <v>3950.23</v>
      </c>
      <c r="P1699" s="247" t="s">
        <v>1367</v>
      </c>
      <c r="Q1699" s="247" t="s">
        <v>91</v>
      </c>
    </row>
    <row r="1700" spans="1:17" x14ac:dyDescent="0.25">
      <c r="A1700" s="247" t="s">
        <v>646</v>
      </c>
      <c r="B1700" s="247" t="s">
        <v>265</v>
      </c>
      <c r="C1700" s="247" t="s">
        <v>1343</v>
      </c>
      <c r="D1700" s="247" t="s">
        <v>711</v>
      </c>
      <c r="E1700" s="247" t="s">
        <v>1291</v>
      </c>
      <c r="F1700" s="247" t="s">
        <v>2076</v>
      </c>
      <c r="G1700" s="247" t="s">
        <v>1346</v>
      </c>
      <c r="H1700" s="247" t="s">
        <v>1982</v>
      </c>
      <c r="I1700" s="247" t="s">
        <v>2077</v>
      </c>
      <c r="J1700" s="247">
        <v>53</v>
      </c>
      <c r="K1700" s="247">
        <v>53</v>
      </c>
      <c r="L1700" s="249" t="s">
        <v>938</v>
      </c>
      <c r="M1700" s="249" t="s">
        <v>929</v>
      </c>
      <c r="N1700" s="248">
        <v>740.78</v>
      </c>
      <c r="O1700" s="248">
        <v>4691.01</v>
      </c>
      <c r="P1700" s="247" t="s">
        <v>1367</v>
      </c>
      <c r="Q1700" s="247" t="s">
        <v>92</v>
      </c>
    </row>
    <row r="1701" spans="1:17" x14ac:dyDescent="0.25">
      <c r="A1701" s="247" t="s">
        <v>646</v>
      </c>
      <c r="B1701" s="247" t="s">
        <v>265</v>
      </c>
      <c r="C1701" s="247" t="s">
        <v>1343</v>
      </c>
      <c r="D1701" s="247" t="s">
        <v>711</v>
      </c>
      <c r="E1701" s="247" t="s">
        <v>1291</v>
      </c>
      <c r="F1701" s="247" t="s">
        <v>2076</v>
      </c>
      <c r="G1701" s="247" t="s">
        <v>1346</v>
      </c>
      <c r="H1701" s="247" t="s">
        <v>1982</v>
      </c>
      <c r="I1701" s="247" t="s">
        <v>2077</v>
      </c>
      <c r="J1701" s="247">
        <v>53</v>
      </c>
      <c r="K1701" s="247">
        <v>53</v>
      </c>
      <c r="L1701" s="249" t="s">
        <v>939</v>
      </c>
      <c r="M1701" s="249" t="s">
        <v>929</v>
      </c>
      <c r="N1701" s="248">
        <v>773.56</v>
      </c>
      <c r="O1701" s="248">
        <v>5464.57</v>
      </c>
      <c r="P1701" s="247" t="s">
        <v>1367</v>
      </c>
      <c r="Q1701" s="247" t="s">
        <v>93</v>
      </c>
    </row>
    <row r="1702" spans="1:17" x14ac:dyDescent="0.25">
      <c r="A1702" s="247" t="s">
        <v>646</v>
      </c>
      <c r="B1702" s="247" t="s">
        <v>265</v>
      </c>
      <c r="C1702" s="247" t="s">
        <v>1343</v>
      </c>
      <c r="D1702" s="247" t="s">
        <v>711</v>
      </c>
      <c r="E1702" s="247" t="s">
        <v>1291</v>
      </c>
      <c r="F1702" s="247" t="s">
        <v>2076</v>
      </c>
      <c r="G1702" s="247" t="s">
        <v>1346</v>
      </c>
      <c r="H1702" s="247" t="s">
        <v>1982</v>
      </c>
      <c r="I1702" s="247" t="s">
        <v>2077</v>
      </c>
      <c r="J1702" s="247">
        <v>53</v>
      </c>
      <c r="K1702" s="247">
        <v>53</v>
      </c>
      <c r="L1702" s="249" t="s">
        <v>940</v>
      </c>
      <c r="M1702" s="249" t="s">
        <v>929</v>
      </c>
      <c r="N1702" s="248">
        <v>769.11</v>
      </c>
      <c r="O1702" s="248">
        <v>6233.68</v>
      </c>
      <c r="P1702" s="247" t="s">
        <v>1367</v>
      </c>
      <c r="Q1702" s="247" t="s">
        <v>94</v>
      </c>
    </row>
    <row r="1703" spans="1:17" x14ac:dyDescent="0.25">
      <c r="A1703" s="247" t="s">
        <v>646</v>
      </c>
      <c r="B1703" s="247" t="s">
        <v>265</v>
      </c>
      <c r="C1703" s="247" t="s">
        <v>1343</v>
      </c>
      <c r="D1703" s="247" t="s">
        <v>711</v>
      </c>
      <c r="E1703" s="247" t="s">
        <v>1291</v>
      </c>
      <c r="F1703" s="247" t="s">
        <v>2076</v>
      </c>
      <c r="G1703" s="247" t="s">
        <v>1346</v>
      </c>
      <c r="H1703" s="247" t="s">
        <v>1982</v>
      </c>
      <c r="I1703" s="247" t="s">
        <v>2077</v>
      </c>
      <c r="J1703" s="247">
        <v>53</v>
      </c>
      <c r="K1703" s="247">
        <v>53</v>
      </c>
      <c r="L1703" s="249" t="s">
        <v>642</v>
      </c>
      <c r="M1703" s="249" t="s">
        <v>929</v>
      </c>
      <c r="N1703" s="248">
        <v>1170.21</v>
      </c>
      <c r="O1703" s="248">
        <v>7403.89</v>
      </c>
      <c r="P1703" s="247" t="s">
        <v>1367</v>
      </c>
      <c r="Q1703" s="247" t="s">
        <v>95</v>
      </c>
    </row>
    <row r="1704" spans="1:17" x14ac:dyDescent="0.25">
      <c r="A1704" s="247" t="s">
        <v>646</v>
      </c>
      <c r="B1704" s="247" t="s">
        <v>265</v>
      </c>
      <c r="C1704" s="247" t="s">
        <v>1343</v>
      </c>
      <c r="D1704" s="247" t="s">
        <v>755</v>
      </c>
      <c r="E1704" s="247" t="s">
        <v>1291</v>
      </c>
      <c r="F1704" s="247" t="s">
        <v>2078</v>
      </c>
      <c r="G1704" s="247" t="s">
        <v>1348</v>
      </c>
      <c r="H1704" s="247" t="s">
        <v>1982</v>
      </c>
      <c r="I1704" s="247" t="s">
        <v>2079</v>
      </c>
      <c r="J1704" s="247">
        <v>53</v>
      </c>
      <c r="K1704" s="247">
        <v>53</v>
      </c>
      <c r="L1704" s="249" t="s">
        <v>646</v>
      </c>
      <c r="M1704" s="249" t="s">
        <v>933</v>
      </c>
      <c r="N1704" s="248">
        <v>-67.73</v>
      </c>
      <c r="O1704" s="248">
        <v>717.02</v>
      </c>
      <c r="P1704" s="247" t="s">
        <v>1368</v>
      </c>
      <c r="Q1704" s="247" t="s">
        <v>84</v>
      </c>
    </row>
    <row r="1705" spans="1:17" x14ac:dyDescent="0.25">
      <c r="A1705" s="247" t="s">
        <v>646</v>
      </c>
      <c r="B1705" s="247" t="s">
        <v>265</v>
      </c>
      <c r="C1705" s="247" t="s">
        <v>1343</v>
      </c>
      <c r="D1705" s="247" t="s">
        <v>755</v>
      </c>
      <c r="E1705" s="247" t="s">
        <v>1291</v>
      </c>
      <c r="F1705" s="247" t="s">
        <v>2078</v>
      </c>
      <c r="G1705" s="247" t="s">
        <v>1348</v>
      </c>
      <c r="H1705" s="247" t="s">
        <v>1982</v>
      </c>
      <c r="I1705" s="247" t="s">
        <v>2079</v>
      </c>
      <c r="J1705" s="247">
        <v>53</v>
      </c>
      <c r="K1705" s="247">
        <v>53</v>
      </c>
      <c r="L1705" s="249" t="s">
        <v>650</v>
      </c>
      <c r="M1705" s="249" t="s">
        <v>933</v>
      </c>
      <c r="N1705" s="248">
        <v>75.25</v>
      </c>
      <c r="O1705" s="248">
        <v>792.27</v>
      </c>
      <c r="P1705" s="247" t="s">
        <v>1368</v>
      </c>
      <c r="Q1705" s="247" t="s">
        <v>85</v>
      </c>
    </row>
    <row r="1706" spans="1:17" x14ac:dyDescent="0.25">
      <c r="A1706" s="247" t="s">
        <v>646</v>
      </c>
      <c r="B1706" s="247" t="s">
        <v>265</v>
      </c>
      <c r="C1706" s="247" t="s">
        <v>1343</v>
      </c>
      <c r="D1706" s="247" t="s">
        <v>755</v>
      </c>
      <c r="E1706" s="247" t="s">
        <v>1291</v>
      </c>
      <c r="F1706" s="247" t="s">
        <v>2078</v>
      </c>
      <c r="G1706" s="247" t="s">
        <v>1348</v>
      </c>
      <c r="H1706" s="247" t="s">
        <v>1982</v>
      </c>
      <c r="I1706" s="247" t="s">
        <v>2079</v>
      </c>
      <c r="J1706" s="247">
        <v>53</v>
      </c>
      <c r="K1706" s="247">
        <v>53</v>
      </c>
      <c r="L1706" s="249" t="s">
        <v>652</v>
      </c>
      <c r="M1706" s="249" t="s">
        <v>933</v>
      </c>
      <c r="N1706" s="248">
        <v>75.25</v>
      </c>
      <c r="O1706" s="248">
        <v>867.52</v>
      </c>
      <c r="P1706" s="247" t="s">
        <v>1368</v>
      </c>
      <c r="Q1706" s="247" t="s">
        <v>86</v>
      </c>
    </row>
    <row r="1707" spans="1:17" x14ac:dyDescent="0.25">
      <c r="A1707" s="247" t="s">
        <v>646</v>
      </c>
      <c r="B1707" s="247" t="s">
        <v>265</v>
      </c>
      <c r="C1707" s="247" t="s">
        <v>1343</v>
      </c>
      <c r="D1707" s="247" t="s">
        <v>755</v>
      </c>
      <c r="E1707" s="247" t="s">
        <v>1291</v>
      </c>
      <c r="F1707" s="247" t="s">
        <v>2078</v>
      </c>
      <c r="G1707" s="247" t="s">
        <v>1348</v>
      </c>
      <c r="H1707" s="247" t="s">
        <v>1982</v>
      </c>
      <c r="I1707" s="247" t="s">
        <v>2079</v>
      </c>
      <c r="J1707" s="247">
        <v>53</v>
      </c>
      <c r="K1707" s="247">
        <v>53</v>
      </c>
      <c r="L1707" s="249" t="s">
        <v>789</v>
      </c>
      <c r="M1707" s="249" t="s">
        <v>929</v>
      </c>
      <c r="N1707" s="248">
        <v>75.25</v>
      </c>
      <c r="O1707" s="248">
        <v>75.25</v>
      </c>
      <c r="P1707" s="247" t="s">
        <v>1368</v>
      </c>
      <c r="Q1707" s="247" t="s">
        <v>87</v>
      </c>
    </row>
    <row r="1708" spans="1:17" x14ac:dyDescent="0.25">
      <c r="A1708" s="247" t="s">
        <v>646</v>
      </c>
      <c r="B1708" s="247" t="s">
        <v>265</v>
      </c>
      <c r="C1708" s="247" t="s">
        <v>1343</v>
      </c>
      <c r="D1708" s="247" t="s">
        <v>755</v>
      </c>
      <c r="E1708" s="247" t="s">
        <v>1291</v>
      </c>
      <c r="F1708" s="247" t="s">
        <v>2078</v>
      </c>
      <c r="G1708" s="247" t="s">
        <v>1348</v>
      </c>
      <c r="H1708" s="247" t="s">
        <v>1982</v>
      </c>
      <c r="I1708" s="247" t="s">
        <v>2079</v>
      </c>
      <c r="J1708" s="247">
        <v>53</v>
      </c>
      <c r="K1708" s="247">
        <v>53</v>
      </c>
      <c r="L1708" s="249" t="s">
        <v>791</v>
      </c>
      <c r="M1708" s="249" t="s">
        <v>929</v>
      </c>
      <c r="N1708" s="248">
        <v>75.25</v>
      </c>
      <c r="O1708" s="248">
        <v>150.5</v>
      </c>
      <c r="P1708" s="247" t="s">
        <v>1368</v>
      </c>
      <c r="Q1708" s="247" t="s">
        <v>88</v>
      </c>
    </row>
    <row r="1709" spans="1:17" x14ac:dyDescent="0.25">
      <c r="A1709" s="247" t="s">
        <v>646</v>
      </c>
      <c r="B1709" s="247" t="s">
        <v>265</v>
      </c>
      <c r="C1709" s="247" t="s">
        <v>1343</v>
      </c>
      <c r="D1709" s="247" t="s">
        <v>755</v>
      </c>
      <c r="E1709" s="247" t="s">
        <v>1291</v>
      </c>
      <c r="F1709" s="247" t="s">
        <v>2078</v>
      </c>
      <c r="G1709" s="247" t="s">
        <v>1348</v>
      </c>
      <c r="H1709" s="247" t="s">
        <v>1982</v>
      </c>
      <c r="I1709" s="247" t="s">
        <v>2079</v>
      </c>
      <c r="J1709" s="247">
        <v>53</v>
      </c>
      <c r="K1709" s="247">
        <v>53</v>
      </c>
      <c r="L1709" s="249" t="s">
        <v>935</v>
      </c>
      <c r="M1709" s="249" t="s">
        <v>929</v>
      </c>
      <c r="N1709" s="248">
        <v>75.25</v>
      </c>
      <c r="O1709" s="248">
        <v>225.75</v>
      </c>
      <c r="P1709" s="247" t="s">
        <v>1368</v>
      </c>
      <c r="Q1709" s="247" t="s">
        <v>89</v>
      </c>
    </row>
    <row r="1710" spans="1:17" x14ac:dyDescent="0.25">
      <c r="A1710" s="247" t="s">
        <v>646</v>
      </c>
      <c r="B1710" s="247" t="s">
        <v>265</v>
      </c>
      <c r="C1710" s="247" t="s">
        <v>1343</v>
      </c>
      <c r="D1710" s="247" t="s">
        <v>755</v>
      </c>
      <c r="E1710" s="247" t="s">
        <v>1291</v>
      </c>
      <c r="F1710" s="247" t="s">
        <v>2078</v>
      </c>
      <c r="G1710" s="247" t="s">
        <v>1348</v>
      </c>
      <c r="H1710" s="247" t="s">
        <v>1982</v>
      </c>
      <c r="I1710" s="247" t="s">
        <v>2079</v>
      </c>
      <c r="J1710" s="247">
        <v>53</v>
      </c>
      <c r="K1710" s="247">
        <v>53</v>
      </c>
      <c r="L1710" s="249" t="s">
        <v>936</v>
      </c>
      <c r="M1710" s="249" t="s">
        <v>929</v>
      </c>
      <c r="N1710" s="248">
        <v>75.25</v>
      </c>
      <c r="O1710" s="248">
        <v>301</v>
      </c>
      <c r="P1710" s="247" t="s">
        <v>1368</v>
      </c>
      <c r="Q1710" s="247" t="s">
        <v>90</v>
      </c>
    </row>
    <row r="1711" spans="1:17" x14ac:dyDescent="0.25">
      <c r="A1711" s="247" t="s">
        <v>646</v>
      </c>
      <c r="B1711" s="247" t="s">
        <v>265</v>
      </c>
      <c r="C1711" s="247" t="s">
        <v>1343</v>
      </c>
      <c r="D1711" s="247" t="s">
        <v>755</v>
      </c>
      <c r="E1711" s="247" t="s">
        <v>1291</v>
      </c>
      <c r="F1711" s="247" t="s">
        <v>2078</v>
      </c>
      <c r="G1711" s="247" t="s">
        <v>1348</v>
      </c>
      <c r="H1711" s="247" t="s">
        <v>1982</v>
      </c>
      <c r="I1711" s="247" t="s">
        <v>2079</v>
      </c>
      <c r="J1711" s="247">
        <v>53</v>
      </c>
      <c r="K1711" s="247">
        <v>53</v>
      </c>
      <c r="L1711" s="249" t="s">
        <v>937</v>
      </c>
      <c r="M1711" s="249" t="s">
        <v>929</v>
      </c>
      <c r="N1711" s="248">
        <v>75.25</v>
      </c>
      <c r="O1711" s="248">
        <v>376.25</v>
      </c>
      <c r="P1711" s="247" t="s">
        <v>1368</v>
      </c>
      <c r="Q1711" s="247" t="s">
        <v>91</v>
      </c>
    </row>
    <row r="1712" spans="1:17" x14ac:dyDescent="0.25">
      <c r="A1712" s="247" t="s">
        <v>646</v>
      </c>
      <c r="B1712" s="247" t="s">
        <v>265</v>
      </c>
      <c r="C1712" s="247" t="s">
        <v>1343</v>
      </c>
      <c r="D1712" s="247" t="s">
        <v>755</v>
      </c>
      <c r="E1712" s="247" t="s">
        <v>1291</v>
      </c>
      <c r="F1712" s="247" t="s">
        <v>2078</v>
      </c>
      <c r="G1712" s="247" t="s">
        <v>1348</v>
      </c>
      <c r="H1712" s="247" t="s">
        <v>1982</v>
      </c>
      <c r="I1712" s="247" t="s">
        <v>2079</v>
      </c>
      <c r="J1712" s="247">
        <v>53</v>
      </c>
      <c r="K1712" s="247">
        <v>53</v>
      </c>
      <c r="L1712" s="249" t="s">
        <v>938</v>
      </c>
      <c r="M1712" s="249" t="s">
        <v>929</v>
      </c>
      <c r="N1712" s="248">
        <v>75.25</v>
      </c>
      <c r="O1712" s="248">
        <v>451.5</v>
      </c>
      <c r="P1712" s="247" t="s">
        <v>1368</v>
      </c>
      <c r="Q1712" s="247" t="s">
        <v>92</v>
      </c>
    </row>
    <row r="1713" spans="1:17" x14ac:dyDescent="0.25">
      <c r="A1713" s="247" t="s">
        <v>646</v>
      </c>
      <c r="B1713" s="247" t="s">
        <v>265</v>
      </c>
      <c r="C1713" s="247" t="s">
        <v>1343</v>
      </c>
      <c r="D1713" s="247" t="s">
        <v>755</v>
      </c>
      <c r="E1713" s="247" t="s">
        <v>1291</v>
      </c>
      <c r="F1713" s="247" t="s">
        <v>2078</v>
      </c>
      <c r="G1713" s="247" t="s">
        <v>1348</v>
      </c>
      <c r="H1713" s="247" t="s">
        <v>1982</v>
      </c>
      <c r="I1713" s="247" t="s">
        <v>2079</v>
      </c>
      <c r="J1713" s="247">
        <v>53</v>
      </c>
      <c r="K1713" s="247">
        <v>53</v>
      </c>
      <c r="L1713" s="249" t="s">
        <v>939</v>
      </c>
      <c r="M1713" s="249" t="s">
        <v>929</v>
      </c>
      <c r="N1713" s="248">
        <v>75.25</v>
      </c>
      <c r="O1713" s="248">
        <v>526.75</v>
      </c>
      <c r="P1713" s="247" t="s">
        <v>1368</v>
      </c>
      <c r="Q1713" s="247" t="s">
        <v>93</v>
      </c>
    </row>
    <row r="1714" spans="1:17" x14ac:dyDescent="0.25">
      <c r="A1714" s="247" t="s">
        <v>646</v>
      </c>
      <c r="B1714" s="247" t="s">
        <v>265</v>
      </c>
      <c r="C1714" s="247" t="s">
        <v>1343</v>
      </c>
      <c r="D1714" s="247" t="s">
        <v>755</v>
      </c>
      <c r="E1714" s="247" t="s">
        <v>1291</v>
      </c>
      <c r="F1714" s="247" t="s">
        <v>2078</v>
      </c>
      <c r="G1714" s="247" t="s">
        <v>1348</v>
      </c>
      <c r="H1714" s="247" t="s">
        <v>1982</v>
      </c>
      <c r="I1714" s="247" t="s">
        <v>2079</v>
      </c>
      <c r="J1714" s="247">
        <v>53</v>
      </c>
      <c r="K1714" s="247">
        <v>53</v>
      </c>
      <c r="L1714" s="249" t="s">
        <v>940</v>
      </c>
      <c r="M1714" s="249" t="s">
        <v>929</v>
      </c>
      <c r="N1714" s="248">
        <v>75.25</v>
      </c>
      <c r="O1714" s="248">
        <v>602</v>
      </c>
      <c r="P1714" s="247" t="s">
        <v>1368</v>
      </c>
      <c r="Q1714" s="247" t="s">
        <v>94</v>
      </c>
    </row>
    <row r="1715" spans="1:17" x14ac:dyDescent="0.25">
      <c r="A1715" s="247" t="s">
        <v>646</v>
      </c>
      <c r="B1715" s="247" t="s">
        <v>265</v>
      </c>
      <c r="C1715" s="247" t="s">
        <v>1343</v>
      </c>
      <c r="D1715" s="247" t="s">
        <v>755</v>
      </c>
      <c r="E1715" s="247" t="s">
        <v>1291</v>
      </c>
      <c r="F1715" s="247" t="s">
        <v>2078</v>
      </c>
      <c r="G1715" s="247" t="s">
        <v>1348</v>
      </c>
      <c r="H1715" s="247" t="s">
        <v>1982</v>
      </c>
      <c r="I1715" s="247" t="s">
        <v>2079</v>
      </c>
      <c r="J1715" s="247">
        <v>53</v>
      </c>
      <c r="K1715" s="247">
        <v>53</v>
      </c>
      <c r="L1715" s="249" t="s">
        <v>642</v>
      </c>
      <c r="M1715" s="249" t="s">
        <v>929</v>
      </c>
      <c r="N1715" s="248">
        <v>75.25</v>
      </c>
      <c r="O1715" s="248">
        <v>677.25</v>
      </c>
      <c r="P1715" s="247" t="s">
        <v>1368</v>
      </c>
      <c r="Q1715" s="247" t="s">
        <v>95</v>
      </c>
    </row>
    <row r="1716" spans="1:17" x14ac:dyDescent="0.25">
      <c r="A1716" s="247" t="s">
        <v>646</v>
      </c>
      <c r="B1716" s="247" t="s">
        <v>265</v>
      </c>
      <c r="C1716" s="247" t="s">
        <v>1343</v>
      </c>
      <c r="D1716" s="247" t="s">
        <v>823</v>
      </c>
      <c r="E1716" s="247" t="s">
        <v>1291</v>
      </c>
      <c r="F1716" s="247" t="s">
        <v>2080</v>
      </c>
      <c r="G1716" s="247" t="s">
        <v>1350</v>
      </c>
      <c r="H1716" s="247" t="s">
        <v>1982</v>
      </c>
      <c r="I1716" s="247" t="s">
        <v>2081</v>
      </c>
      <c r="J1716" s="247">
        <v>51</v>
      </c>
      <c r="K1716" s="247">
        <v>51</v>
      </c>
      <c r="L1716" s="249" t="s">
        <v>646</v>
      </c>
      <c r="M1716" s="249" t="s">
        <v>933</v>
      </c>
      <c r="N1716" s="248">
        <v>1783.2</v>
      </c>
      <c r="O1716" s="248">
        <v>5801.28</v>
      </c>
      <c r="P1716" s="247" t="s">
        <v>1369</v>
      </c>
      <c r="Q1716" s="247" t="s">
        <v>84</v>
      </c>
    </row>
    <row r="1717" spans="1:17" x14ac:dyDescent="0.25">
      <c r="A1717" s="247" t="s">
        <v>646</v>
      </c>
      <c r="B1717" s="247" t="s">
        <v>265</v>
      </c>
      <c r="C1717" s="247" t="s">
        <v>1343</v>
      </c>
      <c r="D1717" s="247" t="s">
        <v>823</v>
      </c>
      <c r="E1717" s="247" t="s">
        <v>1291</v>
      </c>
      <c r="F1717" s="247" t="s">
        <v>2080</v>
      </c>
      <c r="G1717" s="247" t="s">
        <v>1350</v>
      </c>
      <c r="H1717" s="247" t="s">
        <v>1982</v>
      </c>
      <c r="I1717" s="247" t="s">
        <v>2081</v>
      </c>
      <c r="J1717" s="247">
        <v>51</v>
      </c>
      <c r="K1717" s="247">
        <v>51</v>
      </c>
      <c r="L1717" s="249" t="s">
        <v>650</v>
      </c>
      <c r="M1717" s="249" t="s">
        <v>933</v>
      </c>
      <c r="N1717" s="248">
        <v>2228.4</v>
      </c>
      <c r="O1717" s="248">
        <v>8029.68</v>
      </c>
      <c r="P1717" s="247" t="s">
        <v>1369</v>
      </c>
      <c r="Q1717" s="247" t="s">
        <v>85</v>
      </c>
    </row>
    <row r="1718" spans="1:17" x14ac:dyDescent="0.25">
      <c r="A1718" s="247" t="s">
        <v>646</v>
      </c>
      <c r="B1718" s="247" t="s">
        <v>265</v>
      </c>
      <c r="C1718" s="247" t="s">
        <v>1343</v>
      </c>
      <c r="D1718" s="247" t="s">
        <v>823</v>
      </c>
      <c r="E1718" s="247" t="s">
        <v>1291</v>
      </c>
      <c r="F1718" s="247" t="s">
        <v>2080</v>
      </c>
      <c r="G1718" s="247" t="s">
        <v>1350</v>
      </c>
      <c r="H1718" s="247" t="s">
        <v>1982</v>
      </c>
      <c r="I1718" s="247" t="s">
        <v>2081</v>
      </c>
      <c r="J1718" s="247">
        <v>51</v>
      </c>
      <c r="K1718" s="247">
        <v>51</v>
      </c>
      <c r="L1718" s="249" t="s">
        <v>652</v>
      </c>
      <c r="M1718" s="249" t="s">
        <v>933</v>
      </c>
      <c r="N1718" s="248">
        <v>356.64</v>
      </c>
      <c r="O1718" s="248">
        <v>8386.32</v>
      </c>
      <c r="P1718" s="247" t="s">
        <v>1369</v>
      </c>
      <c r="Q1718" s="247" t="s">
        <v>86</v>
      </c>
    </row>
    <row r="1719" spans="1:17" x14ac:dyDescent="0.25">
      <c r="A1719" s="247" t="s">
        <v>646</v>
      </c>
      <c r="B1719" s="247" t="s">
        <v>265</v>
      </c>
      <c r="C1719" s="247" t="s">
        <v>1343</v>
      </c>
      <c r="D1719" s="247" t="s">
        <v>823</v>
      </c>
      <c r="E1719" s="247" t="s">
        <v>1291</v>
      </c>
      <c r="F1719" s="247" t="s">
        <v>2080</v>
      </c>
      <c r="G1719" s="247" t="s">
        <v>1350</v>
      </c>
      <c r="H1719" s="247" t="s">
        <v>1982</v>
      </c>
      <c r="I1719" s="247" t="s">
        <v>2081</v>
      </c>
      <c r="J1719" s="247">
        <v>51</v>
      </c>
      <c r="K1719" s="247">
        <v>51</v>
      </c>
      <c r="L1719" s="249" t="s">
        <v>789</v>
      </c>
      <c r="M1719" s="249" t="s">
        <v>929</v>
      </c>
      <c r="N1719" s="248">
        <v>1140.69</v>
      </c>
      <c r="O1719" s="248">
        <v>1140.69</v>
      </c>
      <c r="P1719" s="247" t="s">
        <v>1369</v>
      </c>
      <c r="Q1719" s="247" t="s">
        <v>87</v>
      </c>
    </row>
    <row r="1720" spans="1:17" x14ac:dyDescent="0.25">
      <c r="A1720" s="247" t="s">
        <v>646</v>
      </c>
      <c r="B1720" s="247" t="s">
        <v>265</v>
      </c>
      <c r="C1720" s="247" t="s">
        <v>1343</v>
      </c>
      <c r="D1720" s="247" t="s">
        <v>823</v>
      </c>
      <c r="E1720" s="247" t="s">
        <v>1291</v>
      </c>
      <c r="F1720" s="247" t="s">
        <v>2080</v>
      </c>
      <c r="G1720" s="247" t="s">
        <v>1350</v>
      </c>
      <c r="H1720" s="247" t="s">
        <v>1982</v>
      </c>
      <c r="I1720" s="247" t="s">
        <v>2081</v>
      </c>
      <c r="J1720" s="247">
        <v>51</v>
      </c>
      <c r="K1720" s="247">
        <v>51</v>
      </c>
      <c r="L1720" s="249" t="s">
        <v>791</v>
      </c>
      <c r="M1720" s="249" t="s">
        <v>929</v>
      </c>
      <c r="N1720" s="248">
        <v>1140.69</v>
      </c>
      <c r="O1720" s="248">
        <v>2281.38</v>
      </c>
      <c r="P1720" s="247" t="s">
        <v>1369</v>
      </c>
      <c r="Q1720" s="247" t="s">
        <v>88</v>
      </c>
    </row>
    <row r="1721" spans="1:17" x14ac:dyDescent="0.25">
      <c r="A1721" s="247" t="s">
        <v>646</v>
      </c>
      <c r="B1721" s="247" t="s">
        <v>265</v>
      </c>
      <c r="C1721" s="247" t="s">
        <v>1343</v>
      </c>
      <c r="D1721" s="247" t="s">
        <v>823</v>
      </c>
      <c r="E1721" s="247" t="s">
        <v>1291</v>
      </c>
      <c r="F1721" s="247" t="s">
        <v>2080</v>
      </c>
      <c r="G1721" s="247" t="s">
        <v>1350</v>
      </c>
      <c r="H1721" s="247" t="s">
        <v>1982</v>
      </c>
      <c r="I1721" s="247" t="s">
        <v>2081</v>
      </c>
      <c r="J1721" s="247">
        <v>51</v>
      </c>
      <c r="K1721" s="247">
        <v>51</v>
      </c>
      <c r="L1721" s="249" t="s">
        <v>935</v>
      </c>
      <c r="M1721" s="249" t="s">
        <v>929</v>
      </c>
      <c r="N1721" s="248">
        <v>1140.69</v>
      </c>
      <c r="O1721" s="248">
        <v>3422.07</v>
      </c>
      <c r="P1721" s="247" t="s">
        <v>1369</v>
      </c>
      <c r="Q1721" s="247" t="s">
        <v>89</v>
      </c>
    </row>
    <row r="1722" spans="1:17" x14ac:dyDescent="0.25">
      <c r="A1722" s="247" t="s">
        <v>646</v>
      </c>
      <c r="B1722" s="247" t="s">
        <v>265</v>
      </c>
      <c r="C1722" s="247" t="s">
        <v>1343</v>
      </c>
      <c r="D1722" s="247" t="s">
        <v>823</v>
      </c>
      <c r="E1722" s="247" t="s">
        <v>1291</v>
      </c>
      <c r="F1722" s="247" t="s">
        <v>2080</v>
      </c>
      <c r="G1722" s="247" t="s">
        <v>1350</v>
      </c>
      <c r="H1722" s="247" t="s">
        <v>1982</v>
      </c>
      <c r="I1722" s="247" t="s">
        <v>2081</v>
      </c>
      <c r="J1722" s="247">
        <v>51</v>
      </c>
      <c r="K1722" s="247">
        <v>51</v>
      </c>
      <c r="L1722" s="249" t="s">
        <v>936</v>
      </c>
      <c r="M1722" s="249" t="s">
        <v>929</v>
      </c>
      <c r="N1722" s="248">
        <v>1140.69</v>
      </c>
      <c r="O1722" s="248">
        <v>4562.76</v>
      </c>
      <c r="P1722" s="247" t="s">
        <v>1369</v>
      </c>
      <c r="Q1722" s="247" t="s">
        <v>90</v>
      </c>
    </row>
    <row r="1723" spans="1:17" x14ac:dyDescent="0.25">
      <c r="A1723" s="247" t="s">
        <v>646</v>
      </c>
      <c r="B1723" s="247" t="s">
        <v>265</v>
      </c>
      <c r="C1723" s="247" t="s">
        <v>1343</v>
      </c>
      <c r="D1723" s="247" t="s">
        <v>823</v>
      </c>
      <c r="E1723" s="247" t="s">
        <v>1291</v>
      </c>
      <c r="F1723" s="247" t="s">
        <v>2080</v>
      </c>
      <c r="G1723" s="247" t="s">
        <v>1350</v>
      </c>
      <c r="H1723" s="247" t="s">
        <v>1982</v>
      </c>
      <c r="I1723" s="247" t="s">
        <v>2081</v>
      </c>
      <c r="J1723" s="247">
        <v>51</v>
      </c>
      <c r="K1723" s="247">
        <v>51</v>
      </c>
      <c r="L1723" s="249" t="s">
        <v>937</v>
      </c>
      <c r="M1723" s="249" t="s">
        <v>929</v>
      </c>
      <c r="N1723" s="248">
        <v>1140.69</v>
      </c>
      <c r="O1723" s="248">
        <v>5703.45</v>
      </c>
      <c r="P1723" s="247" t="s">
        <v>1369</v>
      </c>
      <c r="Q1723" s="247" t="s">
        <v>91</v>
      </c>
    </row>
    <row r="1724" spans="1:17" x14ac:dyDescent="0.25">
      <c r="A1724" s="247" t="s">
        <v>646</v>
      </c>
      <c r="B1724" s="247" t="s">
        <v>265</v>
      </c>
      <c r="C1724" s="247" t="s">
        <v>1343</v>
      </c>
      <c r="D1724" s="247" t="s">
        <v>823</v>
      </c>
      <c r="E1724" s="247" t="s">
        <v>1291</v>
      </c>
      <c r="F1724" s="247" t="s">
        <v>2080</v>
      </c>
      <c r="G1724" s="247" t="s">
        <v>1350</v>
      </c>
      <c r="H1724" s="247" t="s">
        <v>1982</v>
      </c>
      <c r="I1724" s="247" t="s">
        <v>2081</v>
      </c>
      <c r="J1724" s="247">
        <v>51</v>
      </c>
      <c r="K1724" s="247">
        <v>51</v>
      </c>
      <c r="L1724" s="249" t="s">
        <v>938</v>
      </c>
      <c r="M1724" s="249" t="s">
        <v>929</v>
      </c>
      <c r="N1724" s="248">
        <v>1140.69</v>
      </c>
      <c r="O1724" s="248">
        <v>6844.14</v>
      </c>
      <c r="P1724" s="247" t="s">
        <v>1369</v>
      </c>
      <c r="Q1724" s="247" t="s">
        <v>92</v>
      </c>
    </row>
    <row r="1725" spans="1:17" x14ac:dyDescent="0.25">
      <c r="A1725" s="247" t="s">
        <v>646</v>
      </c>
      <c r="B1725" s="247" t="s">
        <v>265</v>
      </c>
      <c r="C1725" s="247" t="s">
        <v>1343</v>
      </c>
      <c r="D1725" s="247" t="s">
        <v>823</v>
      </c>
      <c r="E1725" s="247" t="s">
        <v>1291</v>
      </c>
      <c r="F1725" s="247" t="s">
        <v>2080</v>
      </c>
      <c r="G1725" s="247" t="s">
        <v>1350</v>
      </c>
      <c r="H1725" s="247" t="s">
        <v>1982</v>
      </c>
      <c r="I1725" s="247" t="s">
        <v>2081</v>
      </c>
      <c r="J1725" s="247">
        <v>51</v>
      </c>
      <c r="K1725" s="247">
        <v>51</v>
      </c>
      <c r="L1725" s="249" t="s">
        <v>939</v>
      </c>
      <c r="M1725" s="249" t="s">
        <v>929</v>
      </c>
      <c r="N1725" s="248">
        <v>1140.69</v>
      </c>
      <c r="O1725" s="248">
        <v>7984.83</v>
      </c>
      <c r="P1725" s="247" t="s">
        <v>1369</v>
      </c>
      <c r="Q1725" s="247" t="s">
        <v>93</v>
      </c>
    </row>
    <row r="1726" spans="1:17" x14ac:dyDescent="0.25">
      <c r="A1726" s="247" t="s">
        <v>646</v>
      </c>
      <c r="B1726" s="247" t="s">
        <v>265</v>
      </c>
      <c r="C1726" s="247" t="s">
        <v>1343</v>
      </c>
      <c r="D1726" s="247" t="s">
        <v>823</v>
      </c>
      <c r="E1726" s="247" t="s">
        <v>1291</v>
      </c>
      <c r="F1726" s="247" t="s">
        <v>2080</v>
      </c>
      <c r="G1726" s="247" t="s">
        <v>1350</v>
      </c>
      <c r="H1726" s="247" t="s">
        <v>1982</v>
      </c>
      <c r="I1726" s="247" t="s">
        <v>2081</v>
      </c>
      <c r="J1726" s="247">
        <v>51</v>
      </c>
      <c r="K1726" s="247">
        <v>51</v>
      </c>
      <c r="L1726" s="249" t="s">
        <v>940</v>
      </c>
      <c r="M1726" s="249" t="s">
        <v>929</v>
      </c>
      <c r="N1726" s="248">
        <v>1140.69</v>
      </c>
      <c r="O1726" s="248">
        <v>9125.52</v>
      </c>
      <c r="P1726" s="247" t="s">
        <v>1369</v>
      </c>
      <c r="Q1726" s="247" t="s">
        <v>94</v>
      </c>
    </row>
    <row r="1727" spans="1:17" x14ac:dyDescent="0.25">
      <c r="A1727" s="247" t="s">
        <v>646</v>
      </c>
      <c r="B1727" s="247" t="s">
        <v>265</v>
      </c>
      <c r="C1727" s="247" t="s">
        <v>1343</v>
      </c>
      <c r="D1727" s="247" t="s">
        <v>823</v>
      </c>
      <c r="E1727" s="247" t="s">
        <v>1291</v>
      </c>
      <c r="F1727" s="247" t="s">
        <v>2080</v>
      </c>
      <c r="G1727" s="247" t="s">
        <v>1350</v>
      </c>
      <c r="H1727" s="247" t="s">
        <v>1982</v>
      </c>
      <c r="I1727" s="247" t="s">
        <v>2081</v>
      </c>
      <c r="J1727" s="247">
        <v>51</v>
      </c>
      <c r="K1727" s="247">
        <v>51</v>
      </c>
      <c r="L1727" s="249" t="s">
        <v>642</v>
      </c>
      <c r="M1727" s="249" t="s">
        <v>929</v>
      </c>
      <c r="N1727" s="248">
        <v>1140.69</v>
      </c>
      <c r="O1727" s="248">
        <v>10266.209999999999</v>
      </c>
      <c r="P1727" s="247" t="s">
        <v>1369</v>
      </c>
      <c r="Q1727" s="247" t="s">
        <v>95</v>
      </c>
    </row>
    <row r="1728" spans="1:17" x14ac:dyDescent="0.25">
      <c r="A1728" s="247" t="s">
        <v>646</v>
      </c>
      <c r="B1728" s="247" t="s">
        <v>265</v>
      </c>
      <c r="C1728" s="247" t="s">
        <v>1343</v>
      </c>
      <c r="D1728" s="247" t="s">
        <v>569</v>
      </c>
      <c r="E1728" s="247" t="s">
        <v>1291</v>
      </c>
      <c r="F1728" s="247" t="s">
        <v>2082</v>
      </c>
      <c r="G1728" s="247" t="s">
        <v>1352</v>
      </c>
      <c r="H1728" s="247" t="s">
        <v>1982</v>
      </c>
      <c r="I1728" s="247" t="s">
        <v>2083</v>
      </c>
      <c r="J1728" s="247">
        <v>55</v>
      </c>
      <c r="K1728" s="247">
        <v>55</v>
      </c>
      <c r="L1728" s="249" t="s">
        <v>646</v>
      </c>
      <c r="M1728" s="249" t="s">
        <v>933</v>
      </c>
      <c r="N1728" s="248">
        <v>1240.75</v>
      </c>
      <c r="O1728" s="248">
        <v>10347.91</v>
      </c>
      <c r="P1728" s="247" t="s">
        <v>1370</v>
      </c>
      <c r="Q1728" s="247" t="s">
        <v>84</v>
      </c>
    </row>
    <row r="1729" spans="1:17" x14ac:dyDescent="0.25">
      <c r="A1729" s="247" t="s">
        <v>646</v>
      </c>
      <c r="B1729" s="247" t="s">
        <v>265</v>
      </c>
      <c r="C1729" s="247" t="s">
        <v>1343</v>
      </c>
      <c r="D1729" s="247" t="s">
        <v>569</v>
      </c>
      <c r="E1729" s="247" t="s">
        <v>1291</v>
      </c>
      <c r="F1729" s="247" t="s">
        <v>2082</v>
      </c>
      <c r="G1729" s="247" t="s">
        <v>1352</v>
      </c>
      <c r="H1729" s="247" t="s">
        <v>1982</v>
      </c>
      <c r="I1729" s="247" t="s">
        <v>2083</v>
      </c>
      <c r="J1729" s="247">
        <v>55</v>
      </c>
      <c r="K1729" s="247">
        <v>55</v>
      </c>
      <c r="L1729" s="249" t="s">
        <v>650</v>
      </c>
      <c r="M1729" s="249" t="s">
        <v>933</v>
      </c>
      <c r="N1729" s="248">
        <v>860.19</v>
      </c>
      <c r="O1729" s="248">
        <v>11208.1</v>
      </c>
      <c r="P1729" s="247" t="s">
        <v>1370</v>
      </c>
      <c r="Q1729" s="247" t="s">
        <v>85</v>
      </c>
    </row>
    <row r="1730" spans="1:17" x14ac:dyDescent="0.25">
      <c r="A1730" s="247" t="s">
        <v>646</v>
      </c>
      <c r="B1730" s="247" t="s">
        <v>265</v>
      </c>
      <c r="C1730" s="247" t="s">
        <v>1343</v>
      </c>
      <c r="D1730" s="247" t="s">
        <v>569</v>
      </c>
      <c r="E1730" s="247" t="s">
        <v>1291</v>
      </c>
      <c r="F1730" s="247" t="s">
        <v>2082</v>
      </c>
      <c r="G1730" s="247" t="s">
        <v>1352</v>
      </c>
      <c r="H1730" s="247" t="s">
        <v>1982</v>
      </c>
      <c r="I1730" s="247" t="s">
        <v>2083</v>
      </c>
      <c r="J1730" s="247">
        <v>55</v>
      </c>
      <c r="K1730" s="247">
        <v>55</v>
      </c>
      <c r="L1730" s="249" t="s">
        <v>652</v>
      </c>
      <c r="M1730" s="249" t="s">
        <v>933</v>
      </c>
      <c r="N1730" s="248">
        <v>1145.98</v>
      </c>
      <c r="O1730" s="248">
        <v>12354.08</v>
      </c>
      <c r="P1730" s="247" t="s">
        <v>1370</v>
      </c>
      <c r="Q1730" s="247" t="s">
        <v>86</v>
      </c>
    </row>
    <row r="1731" spans="1:17" x14ac:dyDescent="0.25">
      <c r="A1731" s="247" t="s">
        <v>646</v>
      </c>
      <c r="B1731" s="247" t="s">
        <v>265</v>
      </c>
      <c r="C1731" s="247" t="s">
        <v>1343</v>
      </c>
      <c r="D1731" s="247" t="s">
        <v>569</v>
      </c>
      <c r="E1731" s="247" t="s">
        <v>1291</v>
      </c>
      <c r="F1731" s="247" t="s">
        <v>2082</v>
      </c>
      <c r="G1731" s="247" t="s">
        <v>1352</v>
      </c>
      <c r="H1731" s="247" t="s">
        <v>1982</v>
      </c>
      <c r="I1731" s="247" t="s">
        <v>2083</v>
      </c>
      <c r="J1731" s="247">
        <v>55</v>
      </c>
      <c r="K1731" s="247">
        <v>55</v>
      </c>
      <c r="L1731" s="249" t="s">
        <v>789</v>
      </c>
      <c r="M1731" s="249" t="s">
        <v>929</v>
      </c>
      <c r="N1731" s="248">
        <v>893.48</v>
      </c>
      <c r="O1731" s="248">
        <v>893.48</v>
      </c>
      <c r="P1731" s="247" t="s">
        <v>1370</v>
      </c>
      <c r="Q1731" s="247" t="s">
        <v>87</v>
      </c>
    </row>
    <row r="1732" spans="1:17" x14ac:dyDescent="0.25">
      <c r="A1732" s="247" t="s">
        <v>646</v>
      </c>
      <c r="B1732" s="247" t="s">
        <v>265</v>
      </c>
      <c r="C1732" s="247" t="s">
        <v>1343</v>
      </c>
      <c r="D1732" s="247" t="s">
        <v>569</v>
      </c>
      <c r="E1732" s="247" t="s">
        <v>1291</v>
      </c>
      <c r="F1732" s="247" t="s">
        <v>2082</v>
      </c>
      <c r="G1732" s="247" t="s">
        <v>1352</v>
      </c>
      <c r="H1732" s="247" t="s">
        <v>1982</v>
      </c>
      <c r="I1732" s="247" t="s">
        <v>2083</v>
      </c>
      <c r="J1732" s="247">
        <v>55</v>
      </c>
      <c r="K1732" s="247">
        <v>55</v>
      </c>
      <c r="L1732" s="249" t="s">
        <v>791</v>
      </c>
      <c r="M1732" s="249" t="s">
        <v>929</v>
      </c>
      <c r="N1732" s="248">
        <v>891.89</v>
      </c>
      <c r="O1732" s="248">
        <v>1785.37</v>
      </c>
      <c r="P1732" s="247" t="s">
        <v>1370</v>
      </c>
      <c r="Q1732" s="247" t="s">
        <v>88</v>
      </c>
    </row>
    <row r="1733" spans="1:17" x14ac:dyDescent="0.25">
      <c r="A1733" s="247" t="s">
        <v>646</v>
      </c>
      <c r="B1733" s="247" t="s">
        <v>265</v>
      </c>
      <c r="C1733" s="247" t="s">
        <v>1343</v>
      </c>
      <c r="D1733" s="247" t="s">
        <v>569</v>
      </c>
      <c r="E1733" s="247" t="s">
        <v>1291</v>
      </c>
      <c r="F1733" s="247" t="s">
        <v>2082</v>
      </c>
      <c r="G1733" s="247" t="s">
        <v>1352</v>
      </c>
      <c r="H1733" s="247" t="s">
        <v>1982</v>
      </c>
      <c r="I1733" s="247" t="s">
        <v>2083</v>
      </c>
      <c r="J1733" s="247">
        <v>55</v>
      </c>
      <c r="K1733" s="247">
        <v>55</v>
      </c>
      <c r="L1733" s="249" t="s">
        <v>935</v>
      </c>
      <c r="M1733" s="249" t="s">
        <v>929</v>
      </c>
      <c r="N1733" s="248">
        <v>897.81</v>
      </c>
      <c r="O1733" s="248">
        <v>2683.18</v>
      </c>
      <c r="P1733" s="247" t="s">
        <v>1370</v>
      </c>
      <c r="Q1733" s="247" t="s">
        <v>89</v>
      </c>
    </row>
    <row r="1734" spans="1:17" x14ac:dyDescent="0.25">
      <c r="A1734" s="247" t="s">
        <v>646</v>
      </c>
      <c r="B1734" s="247" t="s">
        <v>265</v>
      </c>
      <c r="C1734" s="247" t="s">
        <v>1343</v>
      </c>
      <c r="D1734" s="247" t="s">
        <v>569</v>
      </c>
      <c r="E1734" s="247" t="s">
        <v>1291</v>
      </c>
      <c r="F1734" s="247" t="s">
        <v>2082</v>
      </c>
      <c r="G1734" s="247" t="s">
        <v>1352</v>
      </c>
      <c r="H1734" s="247" t="s">
        <v>1982</v>
      </c>
      <c r="I1734" s="247" t="s">
        <v>2083</v>
      </c>
      <c r="J1734" s="247">
        <v>55</v>
      </c>
      <c r="K1734" s="247">
        <v>55</v>
      </c>
      <c r="L1734" s="249" t="s">
        <v>936</v>
      </c>
      <c r="M1734" s="249" t="s">
        <v>929</v>
      </c>
      <c r="N1734" s="248">
        <v>1338.82</v>
      </c>
      <c r="O1734" s="248">
        <v>4022</v>
      </c>
      <c r="P1734" s="247" t="s">
        <v>1370</v>
      </c>
      <c r="Q1734" s="247" t="s">
        <v>90</v>
      </c>
    </row>
    <row r="1735" spans="1:17" x14ac:dyDescent="0.25">
      <c r="A1735" s="247" t="s">
        <v>646</v>
      </c>
      <c r="B1735" s="247" t="s">
        <v>265</v>
      </c>
      <c r="C1735" s="247" t="s">
        <v>1343</v>
      </c>
      <c r="D1735" s="247" t="s">
        <v>569</v>
      </c>
      <c r="E1735" s="247" t="s">
        <v>1291</v>
      </c>
      <c r="F1735" s="247" t="s">
        <v>2082</v>
      </c>
      <c r="G1735" s="247" t="s">
        <v>1352</v>
      </c>
      <c r="H1735" s="247" t="s">
        <v>1982</v>
      </c>
      <c r="I1735" s="247" t="s">
        <v>2083</v>
      </c>
      <c r="J1735" s="247">
        <v>55</v>
      </c>
      <c r="K1735" s="247">
        <v>55</v>
      </c>
      <c r="L1735" s="249" t="s">
        <v>937</v>
      </c>
      <c r="M1735" s="249" t="s">
        <v>929</v>
      </c>
      <c r="N1735" s="248">
        <v>876.3</v>
      </c>
      <c r="O1735" s="248">
        <v>4898.3</v>
      </c>
      <c r="P1735" s="247" t="s">
        <v>1370</v>
      </c>
      <c r="Q1735" s="247" t="s">
        <v>91</v>
      </c>
    </row>
    <row r="1736" spans="1:17" x14ac:dyDescent="0.25">
      <c r="A1736" s="247" t="s">
        <v>646</v>
      </c>
      <c r="B1736" s="247" t="s">
        <v>265</v>
      </c>
      <c r="C1736" s="247" t="s">
        <v>1343</v>
      </c>
      <c r="D1736" s="247" t="s">
        <v>569</v>
      </c>
      <c r="E1736" s="247" t="s">
        <v>1291</v>
      </c>
      <c r="F1736" s="247" t="s">
        <v>2082</v>
      </c>
      <c r="G1736" s="247" t="s">
        <v>1352</v>
      </c>
      <c r="H1736" s="247" t="s">
        <v>1982</v>
      </c>
      <c r="I1736" s="247" t="s">
        <v>2083</v>
      </c>
      <c r="J1736" s="247">
        <v>55</v>
      </c>
      <c r="K1736" s="247">
        <v>55</v>
      </c>
      <c r="L1736" s="249" t="s">
        <v>938</v>
      </c>
      <c r="M1736" s="249" t="s">
        <v>929</v>
      </c>
      <c r="N1736" s="248">
        <v>918.58</v>
      </c>
      <c r="O1736" s="248">
        <v>5816.88</v>
      </c>
      <c r="P1736" s="247" t="s">
        <v>1370</v>
      </c>
      <c r="Q1736" s="247" t="s">
        <v>92</v>
      </c>
    </row>
    <row r="1737" spans="1:17" x14ac:dyDescent="0.25">
      <c r="A1737" s="247" t="s">
        <v>646</v>
      </c>
      <c r="B1737" s="247" t="s">
        <v>265</v>
      </c>
      <c r="C1737" s="247" t="s">
        <v>1343</v>
      </c>
      <c r="D1737" s="247" t="s">
        <v>569</v>
      </c>
      <c r="E1737" s="247" t="s">
        <v>1291</v>
      </c>
      <c r="F1737" s="247" t="s">
        <v>2082</v>
      </c>
      <c r="G1737" s="247" t="s">
        <v>1352</v>
      </c>
      <c r="H1737" s="247" t="s">
        <v>1982</v>
      </c>
      <c r="I1737" s="247" t="s">
        <v>2083</v>
      </c>
      <c r="J1737" s="247">
        <v>55</v>
      </c>
      <c r="K1737" s="247">
        <v>55</v>
      </c>
      <c r="L1737" s="249" t="s">
        <v>939</v>
      </c>
      <c r="M1737" s="249" t="s">
        <v>929</v>
      </c>
      <c r="N1737" s="248">
        <v>959.21</v>
      </c>
      <c r="O1737" s="248">
        <v>6776.09</v>
      </c>
      <c r="P1737" s="247" t="s">
        <v>1370</v>
      </c>
      <c r="Q1737" s="247" t="s">
        <v>93</v>
      </c>
    </row>
    <row r="1738" spans="1:17" x14ac:dyDescent="0.25">
      <c r="A1738" s="247" t="s">
        <v>646</v>
      </c>
      <c r="B1738" s="247" t="s">
        <v>265</v>
      </c>
      <c r="C1738" s="247" t="s">
        <v>1343</v>
      </c>
      <c r="D1738" s="247" t="s">
        <v>569</v>
      </c>
      <c r="E1738" s="247" t="s">
        <v>1291</v>
      </c>
      <c r="F1738" s="247" t="s">
        <v>2082</v>
      </c>
      <c r="G1738" s="247" t="s">
        <v>1352</v>
      </c>
      <c r="H1738" s="247" t="s">
        <v>1982</v>
      </c>
      <c r="I1738" s="247" t="s">
        <v>2083</v>
      </c>
      <c r="J1738" s="247">
        <v>55</v>
      </c>
      <c r="K1738" s="247">
        <v>55</v>
      </c>
      <c r="L1738" s="249" t="s">
        <v>940</v>
      </c>
      <c r="M1738" s="249" t="s">
        <v>929</v>
      </c>
      <c r="N1738" s="248">
        <v>953.7</v>
      </c>
      <c r="O1738" s="248">
        <v>7729.79</v>
      </c>
      <c r="P1738" s="247" t="s">
        <v>1370</v>
      </c>
      <c r="Q1738" s="247" t="s">
        <v>94</v>
      </c>
    </row>
    <row r="1739" spans="1:17" x14ac:dyDescent="0.25">
      <c r="A1739" s="247" t="s">
        <v>646</v>
      </c>
      <c r="B1739" s="247" t="s">
        <v>265</v>
      </c>
      <c r="C1739" s="247" t="s">
        <v>1343</v>
      </c>
      <c r="D1739" s="247" t="s">
        <v>569</v>
      </c>
      <c r="E1739" s="247" t="s">
        <v>1291</v>
      </c>
      <c r="F1739" s="247" t="s">
        <v>2082</v>
      </c>
      <c r="G1739" s="247" t="s">
        <v>1352</v>
      </c>
      <c r="H1739" s="247" t="s">
        <v>1982</v>
      </c>
      <c r="I1739" s="247" t="s">
        <v>2083</v>
      </c>
      <c r="J1739" s="247">
        <v>55</v>
      </c>
      <c r="K1739" s="247">
        <v>55</v>
      </c>
      <c r="L1739" s="249" t="s">
        <v>642</v>
      </c>
      <c r="M1739" s="249" t="s">
        <v>929</v>
      </c>
      <c r="N1739" s="248">
        <v>1451.03</v>
      </c>
      <c r="O1739" s="248">
        <v>9180.82</v>
      </c>
      <c r="P1739" s="247" t="s">
        <v>1370</v>
      </c>
      <c r="Q1739" s="247" t="s">
        <v>95</v>
      </c>
    </row>
    <row r="1740" spans="1:17" x14ac:dyDescent="0.25">
      <c r="A1740" s="247" t="s">
        <v>646</v>
      </c>
      <c r="B1740" s="247" t="s">
        <v>265</v>
      </c>
      <c r="C1740" s="247" t="s">
        <v>1343</v>
      </c>
      <c r="D1740" s="247" t="s">
        <v>575</v>
      </c>
      <c r="E1740" s="247" t="s">
        <v>1291</v>
      </c>
      <c r="F1740" s="247" t="s">
        <v>2084</v>
      </c>
      <c r="G1740" s="247" t="s">
        <v>1354</v>
      </c>
      <c r="H1740" s="247" t="s">
        <v>1982</v>
      </c>
      <c r="I1740" s="247" t="s">
        <v>2085</v>
      </c>
      <c r="J1740" s="247">
        <v>55</v>
      </c>
      <c r="K1740" s="247">
        <v>55</v>
      </c>
      <c r="L1740" s="249" t="s">
        <v>646</v>
      </c>
      <c r="M1740" s="249" t="s">
        <v>933</v>
      </c>
      <c r="N1740" s="248">
        <v>290.17</v>
      </c>
      <c r="O1740" s="248">
        <v>2420.0700000000002</v>
      </c>
      <c r="P1740" s="247" t="s">
        <v>1371</v>
      </c>
      <c r="Q1740" s="247" t="s">
        <v>84</v>
      </c>
    </row>
    <row r="1741" spans="1:17" x14ac:dyDescent="0.25">
      <c r="A1741" s="247" t="s">
        <v>646</v>
      </c>
      <c r="B1741" s="247" t="s">
        <v>265</v>
      </c>
      <c r="C1741" s="247" t="s">
        <v>1343</v>
      </c>
      <c r="D1741" s="247" t="s">
        <v>575</v>
      </c>
      <c r="E1741" s="247" t="s">
        <v>1291</v>
      </c>
      <c r="F1741" s="247" t="s">
        <v>2084</v>
      </c>
      <c r="G1741" s="247" t="s">
        <v>1354</v>
      </c>
      <c r="H1741" s="247" t="s">
        <v>1982</v>
      </c>
      <c r="I1741" s="247" t="s">
        <v>2085</v>
      </c>
      <c r="J1741" s="247">
        <v>55</v>
      </c>
      <c r="K1741" s="247">
        <v>55</v>
      </c>
      <c r="L1741" s="249" t="s">
        <v>650</v>
      </c>
      <c r="M1741" s="249" t="s">
        <v>933</v>
      </c>
      <c r="N1741" s="248">
        <v>201.18</v>
      </c>
      <c r="O1741" s="248">
        <v>2621.25</v>
      </c>
      <c r="P1741" s="247" t="s">
        <v>1371</v>
      </c>
      <c r="Q1741" s="247" t="s">
        <v>85</v>
      </c>
    </row>
    <row r="1742" spans="1:17" x14ac:dyDescent="0.25">
      <c r="A1742" s="247" t="s">
        <v>646</v>
      </c>
      <c r="B1742" s="247" t="s">
        <v>265</v>
      </c>
      <c r="C1742" s="247" t="s">
        <v>1343</v>
      </c>
      <c r="D1742" s="247" t="s">
        <v>575</v>
      </c>
      <c r="E1742" s="247" t="s">
        <v>1291</v>
      </c>
      <c r="F1742" s="247" t="s">
        <v>2084</v>
      </c>
      <c r="G1742" s="247" t="s">
        <v>1354</v>
      </c>
      <c r="H1742" s="247" t="s">
        <v>1982</v>
      </c>
      <c r="I1742" s="247" t="s">
        <v>2085</v>
      </c>
      <c r="J1742" s="247">
        <v>55</v>
      </c>
      <c r="K1742" s="247">
        <v>55</v>
      </c>
      <c r="L1742" s="249" t="s">
        <v>652</v>
      </c>
      <c r="M1742" s="249" t="s">
        <v>933</v>
      </c>
      <c r="N1742" s="248">
        <v>268.01</v>
      </c>
      <c r="O1742" s="248">
        <v>2889.26</v>
      </c>
      <c r="P1742" s="247" t="s">
        <v>1371</v>
      </c>
      <c r="Q1742" s="247" t="s">
        <v>86</v>
      </c>
    </row>
    <row r="1743" spans="1:17" x14ac:dyDescent="0.25">
      <c r="A1743" s="247" t="s">
        <v>646</v>
      </c>
      <c r="B1743" s="247" t="s">
        <v>265</v>
      </c>
      <c r="C1743" s="247" t="s">
        <v>1343</v>
      </c>
      <c r="D1743" s="247" t="s">
        <v>575</v>
      </c>
      <c r="E1743" s="247" t="s">
        <v>1291</v>
      </c>
      <c r="F1743" s="247" t="s">
        <v>2084</v>
      </c>
      <c r="G1743" s="247" t="s">
        <v>1354</v>
      </c>
      <c r="H1743" s="247" t="s">
        <v>1982</v>
      </c>
      <c r="I1743" s="247" t="s">
        <v>2085</v>
      </c>
      <c r="J1743" s="247">
        <v>55</v>
      </c>
      <c r="K1743" s="247">
        <v>55</v>
      </c>
      <c r="L1743" s="249" t="s">
        <v>789</v>
      </c>
      <c r="M1743" s="249" t="s">
        <v>929</v>
      </c>
      <c r="N1743" s="248">
        <v>208.96</v>
      </c>
      <c r="O1743" s="248">
        <v>208.96</v>
      </c>
      <c r="P1743" s="247" t="s">
        <v>1371</v>
      </c>
      <c r="Q1743" s="247" t="s">
        <v>87</v>
      </c>
    </row>
    <row r="1744" spans="1:17" x14ac:dyDescent="0.25">
      <c r="A1744" s="247" t="s">
        <v>646</v>
      </c>
      <c r="B1744" s="247" t="s">
        <v>265</v>
      </c>
      <c r="C1744" s="247" t="s">
        <v>1343</v>
      </c>
      <c r="D1744" s="247" t="s">
        <v>575</v>
      </c>
      <c r="E1744" s="247" t="s">
        <v>1291</v>
      </c>
      <c r="F1744" s="247" t="s">
        <v>2084</v>
      </c>
      <c r="G1744" s="247" t="s">
        <v>1354</v>
      </c>
      <c r="H1744" s="247" t="s">
        <v>1982</v>
      </c>
      <c r="I1744" s="247" t="s">
        <v>2085</v>
      </c>
      <c r="J1744" s="247">
        <v>55</v>
      </c>
      <c r="K1744" s="247">
        <v>55</v>
      </c>
      <c r="L1744" s="249" t="s">
        <v>791</v>
      </c>
      <c r="M1744" s="249" t="s">
        <v>929</v>
      </c>
      <c r="N1744" s="248">
        <v>208.59</v>
      </c>
      <c r="O1744" s="248">
        <v>417.55</v>
      </c>
      <c r="P1744" s="247" t="s">
        <v>1371</v>
      </c>
      <c r="Q1744" s="247" t="s">
        <v>88</v>
      </c>
    </row>
    <row r="1745" spans="1:17" x14ac:dyDescent="0.25">
      <c r="A1745" s="247" t="s">
        <v>646</v>
      </c>
      <c r="B1745" s="247" t="s">
        <v>265</v>
      </c>
      <c r="C1745" s="247" t="s">
        <v>1343</v>
      </c>
      <c r="D1745" s="247" t="s">
        <v>575</v>
      </c>
      <c r="E1745" s="247" t="s">
        <v>1291</v>
      </c>
      <c r="F1745" s="247" t="s">
        <v>2084</v>
      </c>
      <c r="G1745" s="247" t="s">
        <v>1354</v>
      </c>
      <c r="H1745" s="247" t="s">
        <v>1982</v>
      </c>
      <c r="I1745" s="247" t="s">
        <v>2085</v>
      </c>
      <c r="J1745" s="247">
        <v>55</v>
      </c>
      <c r="K1745" s="247">
        <v>55</v>
      </c>
      <c r="L1745" s="249" t="s">
        <v>935</v>
      </c>
      <c r="M1745" s="249" t="s">
        <v>929</v>
      </c>
      <c r="N1745" s="248">
        <v>209.97</v>
      </c>
      <c r="O1745" s="248">
        <v>627.52</v>
      </c>
      <c r="P1745" s="247" t="s">
        <v>1371</v>
      </c>
      <c r="Q1745" s="247" t="s">
        <v>89</v>
      </c>
    </row>
    <row r="1746" spans="1:17" x14ac:dyDescent="0.25">
      <c r="A1746" s="247" t="s">
        <v>646</v>
      </c>
      <c r="B1746" s="247" t="s">
        <v>265</v>
      </c>
      <c r="C1746" s="247" t="s">
        <v>1343</v>
      </c>
      <c r="D1746" s="247" t="s">
        <v>575</v>
      </c>
      <c r="E1746" s="247" t="s">
        <v>1291</v>
      </c>
      <c r="F1746" s="247" t="s">
        <v>2084</v>
      </c>
      <c r="G1746" s="247" t="s">
        <v>1354</v>
      </c>
      <c r="H1746" s="247" t="s">
        <v>1982</v>
      </c>
      <c r="I1746" s="247" t="s">
        <v>2085</v>
      </c>
      <c r="J1746" s="247">
        <v>55</v>
      </c>
      <c r="K1746" s="247">
        <v>55</v>
      </c>
      <c r="L1746" s="249" t="s">
        <v>936</v>
      </c>
      <c r="M1746" s="249" t="s">
        <v>929</v>
      </c>
      <c r="N1746" s="248">
        <v>313.11</v>
      </c>
      <c r="O1746" s="248">
        <v>940.63</v>
      </c>
      <c r="P1746" s="247" t="s">
        <v>1371</v>
      </c>
      <c r="Q1746" s="247" t="s">
        <v>90</v>
      </c>
    </row>
    <row r="1747" spans="1:17" x14ac:dyDescent="0.25">
      <c r="A1747" s="247" t="s">
        <v>646</v>
      </c>
      <c r="B1747" s="247" t="s">
        <v>265</v>
      </c>
      <c r="C1747" s="247" t="s">
        <v>1343</v>
      </c>
      <c r="D1747" s="247" t="s">
        <v>575</v>
      </c>
      <c r="E1747" s="247" t="s">
        <v>1291</v>
      </c>
      <c r="F1747" s="247" t="s">
        <v>2084</v>
      </c>
      <c r="G1747" s="247" t="s">
        <v>1354</v>
      </c>
      <c r="H1747" s="247" t="s">
        <v>1982</v>
      </c>
      <c r="I1747" s="247" t="s">
        <v>2085</v>
      </c>
      <c r="J1747" s="247">
        <v>55</v>
      </c>
      <c r="K1747" s="247">
        <v>55</v>
      </c>
      <c r="L1747" s="249" t="s">
        <v>937</v>
      </c>
      <c r="M1747" s="249" t="s">
        <v>929</v>
      </c>
      <c r="N1747" s="248">
        <v>204.94</v>
      </c>
      <c r="O1747" s="248">
        <v>1145.57</v>
      </c>
      <c r="P1747" s="247" t="s">
        <v>1371</v>
      </c>
      <c r="Q1747" s="247" t="s">
        <v>91</v>
      </c>
    </row>
    <row r="1748" spans="1:17" x14ac:dyDescent="0.25">
      <c r="A1748" s="247" t="s">
        <v>646</v>
      </c>
      <c r="B1748" s="247" t="s">
        <v>265</v>
      </c>
      <c r="C1748" s="247" t="s">
        <v>1343</v>
      </c>
      <c r="D1748" s="247" t="s">
        <v>575</v>
      </c>
      <c r="E1748" s="247" t="s">
        <v>1291</v>
      </c>
      <c r="F1748" s="247" t="s">
        <v>2084</v>
      </c>
      <c r="G1748" s="247" t="s">
        <v>1354</v>
      </c>
      <c r="H1748" s="247" t="s">
        <v>1982</v>
      </c>
      <c r="I1748" s="247" t="s">
        <v>2085</v>
      </c>
      <c r="J1748" s="247">
        <v>55</v>
      </c>
      <c r="K1748" s="247">
        <v>55</v>
      </c>
      <c r="L1748" s="249" t="s">
        <v>938</v>
      </c>
      <c r="M1748" s="249" t="s">
        <v>929</v>
      </c>
      <c r="N1748" s="248">
        <v>214.83</v>
      </c>
      <c r="O1748" s="248">
        <v>1360.4</v>
      </c>
      <c r="P1748" s="247" t="s">
        <v>1371</v>
      </c>
      <c r="Q1748" s="247" t="s">
        <v>92</v>
      </c>
    </row>
    <row r="1749" spans="1:17" x14ac:dyDescent="0.25">
      <c r="A1749" s="247" t="s">
        <v>646</v>
      </c>
      <c r="B1749" s="247" t="s">
        <v>265</v>
      </c>
      <c r="C1749" s="247" t="s">
        <v>1343</v>
      </c>
      <c r="D1749" s="247" t="s">
        <v>575</v>
      </c>
      <c r="E1749" s="247" t="s">
        <v>1291</v>
      </c>
      <c r="F1749" s="247" t="s">
        <v>2084</v>
      </c>
      <c r="G1749" s="247" t="s">
        <v>1354</v>
      </c>
      <c r="H1749" s="247" t="s">
        <v>1982</v>
      </c>
      <c r="I1749" s="247" t="s">
        <v>2085</v>
      </c>
      <c r="J1749" s="247">
        <v>55</v>
      </c>
      <c r="K1749" s="247">
        <v>55</v>
      </c>
      <c r="L1749" s="249" t="s">
        <v>939</v>
      </c>
      <c r="M1749" s="249" t="s">
        <v>929</v>
      </c>
      <c r="N1749" s="248">
        <v>224.33</v>
      </c>
      <c r="O1749" s="248">
        <v>1584.73</v>
      </c>
      <c r="P1749" s="247" t="s">
        <v>1371</v>
      </c>
      <c r="Q1749" s="247" t="s">
        <v>93</v>
      </c>
    </row>
    <row r="1750" spans="1:17" x14ac:dyDescent="0.25">
      <c r="A1750" s="247" t="s">
        <v>646</v>
      </c>
      <c r="B1750" s="247" t="s">
        <v>265</v>
      </c>
      <c r="C1750" s="247" t="s">
        <v>1343</v>
      </c>
      <c r="D1750" s="247" t="s">
        <v>575</v>
      </c>
      <c r="E1750" s="247" t="s">
        <v>1291</v>
      </c>
      <c r="F1750" s="247" t="s">
        <v>2084</v>
      </c>
      <c r="G1750" s="247" t="s">
        <v>1354</v>
      </c>
      <c r="H1750" s="247" t="s">
        <v>1982</v>
      </c>
      <c r="I1750" s="247" t="s">
        <v>2085</v>
      </c>
      <c r="J1750" s="247">
        <v>55</v>
      </c>
      <c r="K1750" s="247">
        <v>55</v>
      </c>
      <c r="L1750" s="249" t="s">
        <v>940</v>
      </c>
      <c r="M1750" s="249" t="s">
        <v>929</v>
      </c>
      <c r="N1750" s="248">
        <v>223.04</v>
      </c>
      <c r="O1750" s="248">
        <v>1807.77</v>
      </c>
      <c r="P1750" s="247" t="s">
        <v>1371</v>
      </c>
      <c r="Q1750" s="247" t="s">
        <v>94</v>
      </c>
    </row>
    <row r="1751" spans="1:17" x14ac:dyDescent="0.25">
      <c r="A1751" s="247" t="s">
        <v>646</v>
      </c>
      <c r="B1751" s="247" t="s">
        <v>265</v>
      </c>
      <c r="C1751" s="247" t="s">
        <v>1343</v>
      </c>
      <c r="D1751" s="247" t="s">
        <v>575</v>
      </c>
      <c r="E1751" s="247" t="s">
        <v>1291</v>
      </c>
      <c r="F1751" s="247" t="s">
        <v>2084</v>
      </c>
      <c r="G1751" s="247" t="s">
        <v>1354</v>
      </c>
      <c r="H1751" s="247" t="s">
        <v>1982</v>
      </c>
      <c r="I1751" s="247" t="s">
        <v>2085</v>
      </c>
      <c r="J1751" s="247">
        <v>55</v>
      </c>
      <c r="K1751" s="247">
        <v>55</v>
      </c>
      <c r="L1751" s="249" t="s">
        <v>642</v>
      </c>
      <c r="M1751" s="249" t="s">
        <v>929</v>
      </c>
      <c r="N1751" s="248">
        <v>339.36</v>
      </c>
      <c r="O1751" s="248">
        <v>2147.13</v>
      </c>
      <c r="P1751" s="247" t="s">
        <v>1371</v>
      </c>
      <c r="Q1751" s="247" t="s">
        <v>95</v>
      </c>
    </row>
    <row r="1752" spans="1:17" x14ac:dyDescent="0.25">
      <c r="A1752" s="247" t="s">
        <v>646</v>
      </c>
      <c r="B1752" s="247" t="s">
        <v>265</v>
      </c>
      <c r="C1752" s="247" t="s">
        <v>1343</v>
      </c>
      <c r="D1752" s="247" t="s">
        <v>1356</v>
      </c>
      <c r="E1752" s="247" t="s">
        <v>1291</v>
      </c>
      <c r="F1752" s="247" t="s">
        <v>2086</v>
      </c>
      <c r="G1752" s="247" t="s">
        <v>1357</v>
      </c>
      <c r="H1752" s="247" t="s">
        <v>1982</v>
      </c>
      <c r="I1752" s="247" t="s">
        <v>2087</v>
      </c>
      <c r="J1752" s="247">
        <v>55</v>
      </c>
      <c r="K1752" s="247">
        <v>55</v>
      </c>
      <c r="L1752" s="249" t="s">
        <v>646</v>
      </c>
      <c r="M1752" s="249" t="s">
        <v>933</v>
      </c>
      <c r="N1752" s="248">
        <v>0</v>
      </c>
      <c r="O1752" s="248">
        <v>168</v>
      </c>
      <c r="P1752" s="247" t="s">
        <v>1372</v>
      </c>
      <c r="Q1752" s="247" t="s">
        <v>84</v>
      </c>
    </row>
    <row r="1753" spans="1:17" x14ac:dyDescent="0.25">
      <c r="A1753" s="247" t="s">
        <v>646</v>
      </c>
      <c r="B1753" s="247" t="s">
        <v>265</v>
      </c>
      <c r="C1753" s="247" t="s">
        <v>1343</v>
      </c>
      <c r="D1753" s="247" t="s">
        <v>1356</v>
      </c>
      <c r="E1753" s="247" t="s">
        <v>1291</v>
      </c>
      <c r="F1753" s="247" t="s">
        <v>2086</v>
      </c>
      <c r="G1753" s="247" t="s">
        <v>1357</v>
      </c>
      <c r="H1753" s="247" t="s">
        <v>1982</v>
      </c>
      <c r="I1753" s="247" t="s">
        <v>2087</v>
      </c>
      <c r="J1753" s="247">
        <v>55</v>
      </c>
      <c r="K1753" s="247">
        <v>55</v>
      </c>
      <c r="L1753" s="249" t="s">
        <v>650</v>
      </c>
      <c r="M1753" s="249" t="s">
        <v>933</v>
      </c>
      <c r="N1753" s="248">
        <v>0</v>
      </c>
      <c r="O1753" s="248">
        <v>168</v>
      </c>
      <c r="P1753" s="247" t="s">
        <v>1372</v>
      </c>
      <c r="Q1753" s="247" t="s">
        <v>85</v>
      </c>
    </row>
    <row r="1754" spans="1:17" x14ac:dyDescent="0.25">
      <c r="A1754" s="247" t="s">
        <v>646</v>
      </c>
      <c r="B1754" s="247" t="s">
        <v>265</v>
      </c>
      <c r="C1754" s="247" t="s">
        <v>1343</v>
      </c>
      <c r="D1754" s="247" t="s">
        <v>1356</v>
      </c>
      <c r="E1754" s="247" t="s">
        <v>1291</v>
      </c>
      <c r="F1754" s="247" t="s">
        <v>2086</v>
      </c>
      <c r="G1754" s="247" t="s">
        <v>1357</v>
      </c>
      <c r="H1754" s="247" t="s">
        <v>1982</v>
      </c>
      <c r="I1754" s="247" t="s">
        <v>2087</v>
      </c>
      <c r="J1754" s="247">
        <v>55</v>
      </c>
      <c r="K1754" s="247">
        <v>55</v>
      </c>
      <c r="L1754" s="249" t="s">
        <v>652</v>
      </c>
      <c r="M1754" s="249" t="s">
        <v>933</v>
      </c>
      <c r="N1754" s="248">
        <v>0</v>
      </c>
      <c r="O1754" s="248">
        <v>168</v>
      </c>
      <c r="P1754" s="247" t="s">
        <v>1372</v>
      </c>
      <c r="Q1754" s="247" t="s">
        <v>86</v>
      </c>
    </row>
    <row r="1755" spans="1:17" x14ac:dyDescent="0.25">
      <c r="A1755" s="247" t="s">
        <v>646</v>
      </c>
      <c r="B1755" s="247" t="s">
        <v>265</v>
      </c>
      <c r="C1755" s="247" t="s">
        <v>1343</v>
      </c>
      <c r="D1755" s="247" t="s">
        <v>1356</v>
      </c>
      <c r="E1755" s="247" t="s">
        <v>1291</v>
      </c>
      <c r="F1755" s="247" t="s">
        <v>2086</v>
      </c>
      <c r="G1755" s="247" t="s">
        <v>1357</v>
      </c>
      <c r="H1755" s="247" t="s">
        <v>1982</v>
      </c>
      <c r="I1755" s="247" t="s">
        <v>2087</v>
      </c>
      <c r="J1755" s="247">
        <v>55</v>
      </c>
      <c r="K1755" s="247">
        <v>55</v>
      </c>
      <c r="L1755" s="249" t="s">
        <v>789</v>
      </c>
      <c r="M1755" s="249" t="s">
        <v>929</v>
      </c>
      <c r="N1755" s="248">
        <v>86.47</v>
      </c>
      <c r="O1755" s="248">
        <v>86.47</v>
      </c>
      <c r="P1755" s="247" t="s">
        <v>1372</v>
      </c>
      <c r="Q1755" s="247" t="s">
        <v>87</v>
      </c>
    </row>
    <row r="1756" spans="1:17" x14ac:dyDescent="0.25">
      <c r="A1756" s="247" t="s">
        <v>646</v>
      </c>
      <c r="B1756" s="247" t="s">
        <v>265</v>
      </c>
      <c r="C1756" s="247" t="s">
        <v>1343</v>
      </c>
      <c r="D1756" s="247" t="s">
        <v>1356</v>
      </c>
      <c r="E1756" s="247" t="s">
        <v>1291</v>
      </c>
      <c r="F1756" s="247" t="s">
        <v>2086</v>
      </c>
      <c r="G1756" s="247" t="s">
        <v>1357</v>
      </c>
      <c r="H1756" s="247" t="s">
        <v>1982</v>
      </c>
      <c r="I1756" s="247" t="s">
        <v>2087</v>
      </c>
      <c r="J1756" s="247">
        <v>55</v>
      </c>
      <c r="K1756" s="247">
        <v>55</v>
      </c>
      <c r="L1756" s="249" t="s">
        <v>791</v>
      </c>
      <c r="M1756" s="249" t="s">
        <v>929</v>
      </c>
      <c r="N1756" s="248">
        <v>39.520000000000003</v>
      </c>
      <c r="O1756" s="248">
        <v>125.99</v>
      </c>
      <c r="P1756" s="247" t="s">
        <v>1372</v>
      </c>
      <c r="Q1756" s="247" t="s">
        <v>88</v>
      </c>
    </row>
    <row r="1757" spans="1:17" x14ac:dyDescent="0.25">
      <c r="A1757" s="247" t="s">
        <v>646</v>
      </c>
      <c r="B1757" s="247" t="s">
        <v>265</v>
      </c>
      <c r="C1757" s="247" t="s">
        <v>1343</v>
      </c>
      <c r="D1757" s="247" t="s">
        <v>1356</v>
      </c>
      <c r="E1757" s="247" t="s">
        <v>1291</v>
      </c>
      <c r="F1757" s="247" t="s">
        <v>2086</v>
      </c>
      <c r="G1757" s="247" t="s">
        <v>1357</v>
      </c>
      <c r="H1757" s="247" t="s">
        <v>1982</v>
      </c>
      <c r="I1757" s="247" t="s">
        <v>2087</v>
      </c>
      <c r="J1757" s="247">
        <v>55</v>
      </c>
      <c r="K1757" s="247">
        <v>55</v>
      </c>
      <c r="L1757" s="249" t="s">
        <v>935</v>
      </c>
      <c r="M1757" s="249" t="s">
        <v>929</v>
      </c>
      <c r="N1757" s="248">
        <v>0</v>
      </c>
      <c r="O1757" s="248">
        <v>125.99</v>
      </c>
      <c r="P1757" s="247" t="s">
        <v>1372</v>
      </c>
      <c r="Q1757" s="247" t="s">
        <v>89</v>
      </c>
    </row>
    <row r="1758" spans="1:17" x14ac:dyDescent="0.25">
      <c r="A1758" s="247" t="s">
        <v>646</v>
      </c>
      <c r="B1758" s="247" t="s">
        <v>265</v>
      </c>
      <c r="C1758" s="247" t="s">
        <v>1343</v>
      </c>
      <c r="D1758" s="247" t="s">
        <v>1356</v>
      </c>
      <c r="E1758" s="247" t="s">
        <v>1291</v>
      </c>
      <c r="F1758" s="247" t="s">
        <v>2086</v>
      </c>
      <c r="G1758" s="247" t="s">
        <v>1357</v>
      </c>
      <c r="H1758" s="247" t="s">
        <v>1982</v>
      </c>
      <c r="I1758" s="247" t="s">
        <v>2087</v>
      </c>
      <c r="J1758" s="247">
        <v>55</v>
      </c>
      <c r="K1758" s="247">
        <v>55</v>
      </c>
      <c r="L1758" s="249" t="s">
        <v>936</v>
      </c>
      <c r="M1758" s="249" t="s">
        <v>929</v>
      </c>
      <c r="N1758" s="248">
        <v>0</v>
      </c>
      <c r="O1758" s="248">
        <v>125.99</v>
      </c>
      <c r="P1758" s="247" t="s">
        <v>1372</v>
      </c>
      <c r="Q1758" s="247" t="s">
        <v>90</v>
      </c>
    </row>
    <row r="1759" spans="1:17" x14ac:dyDescent="0.25">
      <c r="A1759" s="247" t="s">
        <v>646</v>
      </c>
      <c r="B1759" s="247" t="s">
        <v>265</v>
      </c>
      <c r="C1759" s="247" t="s">
        <v>1343</v>
      </c>
      <c r="D1759" s="247" t="s">
        <v>1356</v>
      </c>
      <c r="E1759" s="247" t="s">
        <v>1291</v>
      </c>
      <c r="F1759" s="247" t="s">
        <v>2086</v>
      </c>
      <c r="G1759" s="247" t="s">
        <v>1357</v>
      </c>
      <c r="H1759" s="247" t="s">
        <v>1982</v>
      </c>
      <c r="I1759" s="247" t="s">
        <v>2087</v>
      </c>
      <c r="J1759" s="247">
        <v>55</v>
      </c>
      <c r="K1759" s="247">
        <v>55</v>
      </c>
      <c r="L1759" s="249" t="s">
        <v>937</v>
      </c>
      <c r="M1759" s="249" t="s">
        <v>929</v>
      </c>
      <c r="N1759" s="248">
        <v>0</v>
      </c>
      <c r="O1759" s="248">
        <v>125.99</v>
      </c>
      <c r="P1759" s="247" t="s">
        <v>1372</v>
      </c>
      <c r="Q1759" s="247" t="s">
        <v>91</v>
      </c>
    </row>
    <row r="1760" spans="1:17" x14ac:dyDescent="0.25">
      <c r="A1760" s="247" t="s">
        <v>646</v>
      </c>
      <c r="B1760" s="247" t="s">
        <v>265</v>
      </c>
      <c r="C1760" s="247" t="s">
        <v>1343</v>
      </c>
      <c r="D1760" s="247" t="s">
        <v>1356</v>
      </c>
      <c r="E1760" s="247" t="s">
        <v>1291</v>
      </c>
      <c r="F1760" s="247" t="s">
        <v>2086</v>
      </c>
      <c r="G1760" s="247" t="s">
        <v>1357</v>
      </c>
      <c r="H1760" s="247" t="s">
        <v>1982</v>
      </c>
      <c r="I1760" s="247" t="s">
        <v>2087</v>
      </c>
      <c r="J1760" s="247">
        <v>55</v>
      </c>
      <c r="K1760" s="247">
        <v>55</v>
      </c>
      <c r="L1760" s="249" t="s">
        <v>938</v>
      </c>
      <c r="M1760" s="249" t="s">
        <v>929</v>
      </c>
      <c r="N1760" s="248">
        <v>0</v>
      </c>
      <c r="O1760" s="248">
        <v>125.99</v>
      </c>
      <c r="P1760" s="247" t="s">
        <v>1372</v>
      </c>
      <c r="Q1760" s="247" t="s">
        <v>92</v>
      </c>
    </row>
    <row r="1761" spans="1:17" x14ac:dyDescent="0.25">
      <c r="A1761" s="247" t="s">
        <v>646</v>
      </c>
      <c r="B1761" s="247" t="s">
        <v>265</v>
      </c>
      <c r="C1761" s="247" t="s">
        <v>1343</v>
      </c>
      <c r="D1761" s="247" t="s">
        <v>1356</v>
      </c>
      <c r="E1761" s="247" t="s">
        <v>1291</v>
      </c>
      <c r="F1761" s="247" t="s">
        <v>2086</v>
      </c>
      <c r="G1761" s="247" t="s">
        <v>1357</v>
      </c>
      <c r="H1761" s="247" t="s">
        <v>1982</v>
      </c>
      <c r="I1761" s="247" t="s">
        <v>2087</v>
      </c>
      <c r="J1761" s="247">
        <v>55</v>
      </c>
      <c r="K1761" s="247">
        <v>55</v>
      </c>
      <c r="L1761" s="249" t="s">
        <v>939</v>
      </c>
      <c r="M1761" s="249" t="s">
        <v>929</v>
      </c>
      <c r="N1761" s="248">
        <v>0</v>
      </c>
      <c r="O1761" s="248">
        <v>125.99</v>
      </c>
      <c r="P1761" s="247" t="s">
        <v>1372</v>
      </c>
      <c r="Q1761" s="247" t="s">
        <v>93</v>
      </c>
    </row>
    <row r="1762" spans="1:17" x14ac:dyDescent="0.25">
      <c r="A1762" s="247" t="s">
        <v>646</v>
      </c>
      <c r="B1762" s="247" t="s">
        <v>265</v>
      </c>
      <c r="C1762" s="247" t="s">
        <v>1343</v>
      </c>
      <c r="D1762" s="247" t="s">
        <v>1356</v>
      </c>
      <c r="E1762" s="247" t="s">
        <v>1291</v>
      </c>
      <c r="F1762" s="247" t="s">
        <v>2086</v>
      </c>
      <c r="G1762" s="247" t="s">
        <v>1357</v>
      </c>
      <c r="H1762" s="247" t="s">
        <v>1982</v>
      </c>
      <c r="I1762" s="247" t="s">
        <v>2087</v>
      </c>
      <c r="J1762" s="247">
        <v>55</v>
      </c>
      <c r="K1762" s="247">
        <v>55</v>
      </c>
      <c r="L1762" s="249" t="s">
        <v>940</v>
      </c>
      <c r="M1762" s="249" t="s">
        <v>929</v>
      </c>
      <c r="N1762" s="248">
        <v>0</v>
      </c>
      <c r="O1762" s="248">
        <v>125.99</v>
      </c>
      <c r="P1762" s="247" t="s">
        <v>1372</v>
      </c>
      <c r="Q1762" s="247" t="s">
        <v>94</v>
      </c>
    </row>
    <row r="1763" spans="1:17" x14ac:dyDescent="0.25">
      <c r="A1763" s="247" t="s">
        <v>646</v>
      </c>
      <c r="B1763" s="247" t="s">
        <v>265</v>
      </c>
      <c r="C1763" s="247" t="s">
        <v>1343</v>
      </c>
      <c r="D1763" s="247" t="s">
        <v>1356</v>
      </c>
      <c r="E1763" s="247" t="s">
        <v>1291</v>
      </c>
      <c r="F1763" s="247" t="s">
        <v>2086</v>
      </c>
      <c r="G1763" s="247" t="s">
        <v>1357</v>
      </c>
      <c r="H1763" s="247" t="s">
        <v>1982</v>
      </c>
      <c r="I1763" s="247" t="s">
        <v>2087</v>
      </c>
      <c r="J1763" s="247">
        <v>55</v>
      </c>
      <c r="K1763" s="247">
        <v>55</v>
      </c>
      <c r="L1763" s="249" t="s">
        <v>642</v>
      </c>
      <c r="M1763" s="249" t="s">
        <v>929</v>
      </c>
      <c r="N1763" s="248">
        <v>0</v>
      </c>
      <c r="O1763" s="248">
        <v>125.99</v>
      </c>
      <c r="P1763" s="247" t="s">
        <v>1372</v>
      </c>
      <c r="Q1763" s="247" t="s">
        <v>95</v>
      </c>
    </row>
    <row r="1764" spans="1:17" x14ac:dyDescent="0.25">
      <c r="A1764" s="247" t="s">
        <v>646</v>
      </c>
      <c r="B1764" s="247" t="s">
        <v>265</v>
      </c>
      <c r="C1764" s="247" t="s">
        <v>1343</v>
      </c>
      <c r="D1764" s="247" t="s">
        <v>946</v>
      </c>
      <c r="E1764" s="247" t="s">
        <v>1291</v>
      </c>
      <c r="F1764" s="247" t="s">
        <v>2088</v>
      </c>
      <c r="G1764" s="247" t="s">
        <v>1359</v>
      </c>
      <c r="H1764" s="247" t="s">
        <v>1982</v>
      </c>
      <c r="I1764" s="247" t="s">
        <v>2089</v>
      </c>
      <c r="J1764" s="247">
        <v>55</v>
      </c>
      <c r="K1764" s="247">
        <v>55</v>
      </c>
      <c r="L1764" s="249" t="s">
        <v>646</v>
      </c>
      <c r="M1764" s="249" t="s">
        <v>933</v>
      </c>
      <c r="N1764" s="248">
        <v>8.81</v>
      </c>
      <c r="O1764" s="248">
        <v>589.54999999999995</v>
      </c>
      <c r="P1764" s="247" t="s">
        <v>1373</v>
      </c>
      <c r="Q1764" s="247" t="s">
        <v>84</v>
      </c>
    </row>
    <row r="1765" spans="1:17" x14ac:dyDescent="0.25">
      <c r="A1765" s="247" t="s">
        <v>646</v>
      </c>
      <c r="B1765" s="247" t="s">
        <v>265</v>
      </c>
      <c r="C1765" s="247" t="s">
        <v>1343</v>
      </c>
      <c r="D1765" s="247" t="s">
        <v>946</v>
      </c>
      <c r="E1765" s="247" t="s">
        <v>1291</v>
      </c>
      <c r="F1765" s="247" t="s">
        <v>2088</v>
      </c>
      <c r="G1765" s="247" t="s">
        <v>1359</v>
      </c>
      <c r="H1765" s="247" t="s">
        <v>1982</v>
      </c>
      <c r="I1765" s="247" t="s">
        <v>2089</v>
      </c>
      <c r="J1765" s="247">
        <v>55</v>
      </c>
      <c r="K1765" s="247">
        <v>55</v>
      </c>
      <c r="L1765" s="249" t="s">
        <v>650</v>
      </c>
      <c r="M1765" s="249" t="s">
        <v>933</v>
      </c>
      <c r="N1765" s="248">
        <v>0</v>
      </c>
      <c r="O1765" s="248">
        <v>589.54999999999995</v>
      </c>
      <c r="P1765" s="247" t="s">
        <v>1373</v>
      </c>
      <c r="Q1765" s="247" t="s">
        <v>85</v>
      </c>
    </row>
    <row r="1766" spans="1:17" x14ac:dyDescent="0.25">
      <c r="A1766" s="247" t="s">
        <v>646</v>
      </c>
      <c r="B1766" s="247" t="s">
        <v>265</v>
      </c>
      <c r="C1766" s="247" t="s">
        <v>1343</v>
      </c>
      <c r="D1766" s="247" t="s">
        <v>946</v>
      </c>
      <c r="E1766" s="247" t="s">
        <v>1291</v>
      </c>
      <c r="F1766" s="247" t="s">
        <v>2088</v>
      </c>
      <c r="G1766" s="247" t="s">
        <v>1359</v>
      </c>
      <c r="H1766" s="247" t="s">
        <v>1982</v>
      </c>
      <c r="I1766" s="247" t="s">
        <v>2089</v>
      </c>
      <c r="J1766" s="247">
        <v>55</v>
      </c>
      <c r="K1766" s="247">
        <v>55</v>
      </c>
      <c r="L1766" s="249" t="s">
        <v>652</v>
      </c>
      <c r="M1766" s="249" t="s">
        <v>933</v>
      </c>
      <c r="N1766" s="248">
        <v>0</v>
      </c>
      <c r="O1766" s="248">
        <v>589.54999999999995</v>
      </c>
      <c r="P1766" s="247" t="s">
        <v>1373</v>
      </c>
      <c r="Q1766" s="247" t="s">
        <v>86</v>
      </c>
    </row>
    <row r="1767" spans="1:17" x14ac:dyDescent="0.25">
      <c r="A1767" s="247" t="s">
        <v>646</v>
      </c>
      <c r="B1767" s="247" t="s">
        <v>265</v>
      </c>
      <c r="C1767" s="247" t="s">
        <v>1343</v>
      </c>
      <c r="D1767" s="247" t="s">
        <v>946</v>
      </c>
      <c r="E1767" s="247" t="s">
        <v>1291</v>
      </c>
      <c r="F1767" s="247" t="s">
        <v>2088</v>
      </c>
      <c r="G1767" s="247" t="s">
        <v>1359</v>
      </c>
      <c r="H1767" s="247" t="s">
        <v>1982</v>
      </c>
      <c r="I1767" s="247" t="s">
        <v>2089</v>
      </c>
      <c r="J1767" s="247">
        <v>55</v>
      </c>
      <c r="K1767" s="247">
        <v>55</v>
      </c>
      <c r="L1767" s="249" t="s">
        <v>789</v>
      </c>
      <c r="M1767" s="249" t="s">
        <v>929</v>
      </c>
      <c r="N1767" s="248">
        <v>57.03</v>
      </c>
      <c r="O1767" s="248">
        <v>57.03</v>
      </c>
      <c r="P1767" s="247" t="s">
        <v>1373</v>
      </c>
      <c r="Q1767" s="247" t="s">
        <v>87</v>
      </c>
    </row>
    <row r="1768" spans="1:17" x14ac:dyDescent="0.25">
      <c r="A1768" s="247" t="s">
        <v>646</v>
      </c>
      <c r="B1768" s="247" t="s">
        <v>265</v>
      </c>
      <c r="C1768" s="247" t="s">
        <v>1343</v>
      </c>
      <c r="D1768" s="247" t="s">
        <v>946</v>
      </c>
      <c r="E1768" s="247" t="s">
        <v>1291</v>
      </c>
      <c r="F1768" s="247" t="s">
        <v>2088</v>
      </c>
      <c r="G1768" s="247" t="s">
        <v>1359</v>
      </c>
      <c r="H1768" s="247" t="s">
        <v>1982</v>
      </c>
      <c r="I1768" s="247" t="s">
        <v>2089</v>
      </c>
      <c r="J1768" s="247">
        <v>55</v>
      </c>
      <c r="K1768" s="247">
        <v>55</v>
      </c>
      <c r="L1768" s="249" t="s">
        <v>791</v>
      </c>
      <c r="M1768" s="249" t="s">
        <v>929</v>
      </c>
      <c r="N1768" s="248">
        <v>53.23</v>
      </c>
      <c r="O1768" s="248">
        <v>110.26</v>
      </c>
      <c r="P1768" s="247" t="s">
        <v>1373</v>
      </c>
      <c r="Q1768" s="247" t="s">
        <v>88</v>
      </c>
    </row>
    <row r="1769" spans="1:17" x14ac:dyDescent="0.25">
      <c r="A1769" s="247" t="s">
        <v>646</v>
      </c>
      <c r="B1769" s="247" t="s">
        <v>265</v>
      </c>
      <c r="C1769" s="247" t="s">
        <v>1343</v>
      </c>
      <c r="D1769" s="247" t="s">
        <v>946</v>
      </c>
      <c r="E1769" s="247" t="s">
        <v>1291</v>
      </c>
      <c r="F1769" s="247" t="s">
        <v>2088</v>
      </c>
      <c r="G1769" s="247" t="s">
        <v>1359</v>
      </c>
      <c r="H1769" s="247" t="s">
        <v>1982</v>
      </c>
      <c r="I1769" s="247" t="s">
        <v>2089</v>
      </c>
      <c r="J1769" s="247">
        <v>55</v>
      </c>
      <c r="K1769" s="247">
        <v>55</v>
      </c>
      <c r="L1769" s="249" t="s">
        <v>935</v>
      </c>
      <c r="M1769" s="249" t="s">
        <v>929</v>
      </c>
      <c r="N1769" s="248">
        <v>53.6</v>
      </c>
      <c r="O1769" s="248">
        <v>163.86</v>
      </c>
      <c r="P1769" s="247" t="s">
        <v>1373</v>
      </c>
      <c r="Q1769" s="247" t="s">
        <v>89</v>
      </c>
    </row>
    <row r="1770" spans="1:17" x14ac:dyDescent="0.25">
      <c r="A1770" s="247" t="s">
        <v>646</v>
      </c>
      <c r="B1770" s="247" t="s">
        <v>265</v>
      </c>
      <c r="C1770" s="247" t="s">
        <v>1343</v>
      </c>
      <c r="D1770" s="247" t="s">
        <v>946</v>
      </c>
      <c r="E1770" s="247" t="s">
        <v>1291</v>
      </c>
      <c r="F1770" s="247" t="s">
        <v>2088</v>
      </c>
      <c r="G1770" s="247" t="s">
        <v>1359</v>
      </c>
      <c r="H1770" s="247" t="s">
        <v>1982</v>
      </c>
      <c r="I1770" s="247" t="s">
        <v>2089</v>
      </c>
      <c r="J1770" s="247">
        <v>55</v>
      </c>
      <c r="K1770" s="247">
        <v>55</v>
      </c>
      <c r="L1770" s="249" t="s">
        <v>936</v>
      </c>
      <c r="M1770" s="249" t="s">
        <v>929</v>
      </c>
      <c r="N1770" s="248">
        <v>79.900000000000006</v>
      </c>
      <c r="O1770" s="248">
        <v>243.76</v>
      </c>
      <c r="P1770" s="247" t="s">
        <v>1373</v>
      </c>
      <c r="Q1770" s="247" t="s">
        <v>90</v>
      </c>
    </row>
    <row r="1771" spans="1:17" x14ac:dyDescent="0.25">
      <c r="A1771" s="247" t="s">
        <v>646</v>
      </c>
      <c r="B1771" s="247" t="s">
        <v>265</v>
      </c>
      <c r="C1771" s="247" t="s">
        <v>1343</v>
      </c>
      <c r="D1771" s="247" t="s">
        <v>946</v>
      </c>
      <c r="E1771" s="247" t="s">
        <v>1291</v>
      </c>
      <c r="F1771" s="247" t="s">
        <v>2088</v>
      </c>
      <c r="G1771" s="247" t="s">
        <v>1359</v>
      </c>
      <c r="H1771" s="247" t="s">
        <v>1982</v>
      </c>
      <c r="I1771" s="247" t="s">
        <v>2089</v>
      </c>
      <c r="J1771" s="247">
        <v>55</v>
      </c>
      <c r="K1771" s="247">
        <v>55</v>
      </c>
      <c r="L1771" s="249" t="s">
        <v>937</v>
      </c>
      <c r="M1771" s="249" t="s">
        <v>929</v>
      </c>
      <c r="N1771" s="248">
        <v>52.31</v>
      </c>
      <c r="O1771" s="248">
        <v>296.07</v>
      </c>
      <c r="P1771" s="247" t="s">
        <v>1373</v>
      </c>
      <c r="Q1771" s="247" t="s">
        <v>91</v>
      </c>
    </row>
    <row r="1772" spans="1:17" x14ac:dyDescent="0.25">
      <c r="A1772" s="247" t="s">
        <v>646</v>
      </c>
      <c r="B1772" s="247" t="s">
        <v>265</v>
      </c>
      <c r="C1772" s="247" t="s">
        <v>1343</v>
      </c>
      <c r="D1772" s="247" t="s">
        <v>946</v>
      </c>
      <c r="E1772" s="247" t="s">
        <v>1291</v>
      </c>
      <c r="F1772" s="247" t="s">
        <v>2088</v>
      </c>
      <c r="G1772" s="247" t="s">
        <v>1359</v>
      </c>
      <c r="H1772" s="247" t="s">
        <v>1982</v>
      </c>
      <c r="I1772" s="247" t="s">
        <v>2089</v>
      </c>
      <c r="J1772" s="247">
        <v>55</v>
      </c>
      <c r="K1772" s="247">
        <v>55</v>
      </c>
      <c r="L1772" s="249" t="s">
        <v>938</v>
      </c>
      <c r="M1772" s="249" t="s">
        <v>929</v>
      </c>
      <c r="N1772" s="248">
        <v>54.82</v>
      </c>
      <c r="O1772" s="248">
        <v>350.89</v>
      </c>
      <c r="P1772" s="247" t="s">
        <v>1373</v>
      </c>
      <c r="Q1772" s="247" t="s">
        <v>92</v>
      </c>
    </row>
    <row r="1773" spans="1:17" x14ac:dyDescent="0.25">
      <c r="A1773" s="247" t="s">
        <v>646</v>
      </c>
      <c r="B1773" s="247" t="s">
        <v>265</v>
      </c>
      <c r="C1773" s="247" t="s">
        <v>1343</v>
      </c>
      <c r="D1773" s="247" t="s">
        <v>946</v>
      </c>
      <c r="E1773" s="247" t="s">
        <v>1291</v>
      </c>
      <c r="F1773" s="247" t="s">
        <v>2088</v>
      </c>
      <c r="G1773" s="247" t="s">
        <v>1359</v>
      </c>
      <c r="H1773" s="247" t="s">
        <v>1982</v>
      </c>
      <c r="I1773" s="247" t="s">
        <v>2089</v>
      </c>
      <c r="J1773" s="247">
        <v>55</v>
      </c>
      <c r="K1773" s="247">
        <v>55</v>
      </c>
      <c r="L1773" s="249" t="s">
        <v>939</v>
      </c>
      <c r="M1773" s="249" t="s">
        <v>929</v>
      </c>
      <c r="N1773" s="248">
        <v>57.25</v>
      </c>
      <c r="O1773" s="248">
        <v>408.14</v>
      </c>
      <c r="P1773" s="247" t="s">
        <v>1373</v>
      </c>
      <c r="Q1773" s="247" t="s">
        <v>93</v>
      </c>
    </row>
    <row r="1774" spans="1:17" x14ac:dyDescent="0.25">
      <c r="A1774" s="247" t="s">
        <v>646</v>
      </c>
      <c r="B1774" s="247" t="s">
        <v>265</v>
      </c>
      <c r="C1774" s="247" t="s">
        <v>1343</v>
      </c>
      <c r="D1774" s="247" t="s">
        <v>946</v>
      </c>
      <c r="E1774" s="247" t="s">
        <v>1291</v>
      </c>
      <c r="F1774" s="247" t="s">
        <v>2088</v>
      </c>
      <c r="G1774" s="247" t="s">
        <v>1359</v>
      </c>
      <c r="H1774" s="247" t="s">
        <v>1982</v>
      </c>
      <c r="I1774" s="247" t="s">
        <v>2089</v>
      </c>
      <c r="J1774" s="247">
        <v>55</v>
      </c>
      <c r="K1774" s="247">
        <v>55</v>
      </c>
      <c r="L1774" s="249" t="s">
        <v>940</v>
      </c>
      <c r="M1774" s="249" t="s">
        <v>929</v>
      </c>
      <c r="N1774" s="248">
        <v>42.86</v>
      </c>
      <c r="O1774" s="248">
        <v>451</v>
      </c>
      <c r="P1774" s="247" t="s">
        <v>1373</v>
      </c>
      <c r="Q1774" s="247" t="s">
        <v>94</v>
      </c>
    </row>
    <row r="1775" spans="1:17" x14ac:dyDescent="0.25">
      <c r="A1775" s="247" t="s">
        <v>646</v>
      </c>
      <c r="B1775" s="247" t="s">
        <v>265</v>
      </c>
      <c r="C1775" s="247" t="s">
        <v>1343</v>
      </c>
      <c r="D1775" s="247" t="s">
        <v>946</v>
      </c>
      <c r="E1775" s="247" t="s">
        <v>1291</v>
      </c>
      <c r="F1775" s="247" t="s">
        <v>2088</v>
      </c>
      <c r="G1775" s="247" t="s">
        <v>1359</v>
      </c>
      <c r="H1775" s="247" t="s">
        <v>1982</v>
      </c>
      <c r="I1775" s="247" t="s">
        <v>2089</v>
      </c>
      <c r="J1775" s="247">
        <v>55</v>
      </c>
      <c r="K1775" s="247">
        <v>55</v>
      </c>
      <c r="L1775" s="249" t="s">
        <v>642</v>
      </c>
      <c r="M1775" s="249" t="s">
        <v>929</v>
      </c>
      <c r="N1775" s="248">
        <v>41.18</v>
      </c>
      <c r="O1775" s="248">
        <v>492.18</v>
      </c>
      <c r="P1775" s="247" t="s">
        <v>1373</v>
      </c>
      <c r="Q1775" s="247" t="s">
        <v>95</v>
      </c>
    </row>
    <row r="1776" spans="1:17" x14ac:dyDescent="0.25">
      <c r="A1776" s="247" t="s">
        <v>646</v>
      </c>
      <c r="B1776" s="247" t="s">
        <v>265</v>
      </c>
      <c r="C1776" s="247" t="s">
        <v>1343</v>
      </c>
      <c r="D1776" s="247" t="s">
        <v>1361</v>
      </c>
      <c r="E1776" s="247" t="s">
        <v>1291</v>
      </c>
      <c r="F1776" s="247" t="s">
        <v>2090</v>
      </c>
      <c r="G1776" s="247" t="s">
        <v>1362</v>
      </c>
      <c r="H1776" s="247" t="s">
        <v>1982</v>
      </c>
      <c r="I1776" s="247" t="s">
        <v>2091</v>
      </c>
      <c r="J1776" s="247">
        <v>54</v>
      </c>
      <c r="K1776" s="247">
        <v>54</v>
      </c>
      <c r="L1776" s="249" t="s">
        <v>646</v>
      </c>
      <c r="M1776" s="249" t="s">
        <v>933</v>
      </c>
      <c r="N1776" s="248">
        <v>1232.43</v>
      </c>
      <c r="O1776" s="248">
        <v>7470.58</v>
      </c>
      <c r="P1776" s="247" t="s">
        <v>1374</v>
      </c>
      <c r="Q1776" s="247" t="s">
        <v>84</v>
      </c>
    </row>
    <row r="1777" spans="1:17" x14ac:dyDescent="0.25">
      <c r="A1777" s="247" t="s">
        <v>646</v>
      </c>
      <c r="B1777" s="247" t="s">
        <v>265</v>
      </c>
      <c r="C1777" s="247" t="s">
        <v>1343</v>
      </c>
      <c r="D1777" s="247" t="s">
        <v>1361</v>
      </c>
      <c r="E1777" s="247" t="s">
        <v>1291</v>
      </c>
      <c r="F1777" s="247" t="s">
        <v>2090</v>
      </c>
      <c r="G1777" s="247" t="s">
        <v>1362</v>
      </c>
      <c r="H1777" s="247" t="s">
        <v>1982</v>
      </c>
      <c r="I1777" s="247" t="s">
        <v>2091</v>
      </c>
      <c r="J1777" s="247">
        <v>54</v>
      </c>
      <c r="K1777" s="247">
        <v>54</v>
      </c>
      <c r="L1777" s="249" t="s">
        <v>650</v>
      </c>
      <c r="M1777" s="249" t="s">
        <v>933</v>
      </c>
      <c r="N1777" s="248">
        <v>759.88</v>
      </c>
      <c r="O1777" s="248">
        <v>8230.4599999999991</v>
      </c>
      <c r="P1777" s="247" t="s">
        <v>1374</v>
      </c>
      <c r="Q1777" s="247" t="s">
        <v>85</v>
      </c>
    </row>
    <row r="1778" spans="1:17" x14ac:dyDescent="0.25">
      <c r="A1778" s="247" t="s">
        <v>646</v>
      </c>
      <c r="B1778" s="247" t="s">
        <v>265</v>
      </c>
      <c r="C1778" s="247" t="s">
        <v>1343</v>
      </c>
      <c r="D1778" s="247" t="s">
        <v>1361</v>
      </c>
      <c r="E1778" s="247" t="s">
        <v>1291</v>
      </c>
      <c r="F1778" s="247" t="s">
        <v>2090</v>
      </c>
      <c r="G1778" s="247" t="s">
        <v>1362</v>
      </c>
      <c r="H1778" s="247" t="s">
        <v>1982</v>
      </c>
      <c r="I1778" s="247" t="s">
        <v>2091</v>
      </c>
      <c r="J1778" s="247">
        <v>54</v>
      </c>
      <c r="K1778" s="247">
        <v>54</v>
      </c>
      <c r="L1778" s="249" t="s">
        <v>652</v>
      </c>
      <c r="M1778" s="249" t="s">
        <v>933</v>
      </c>
      <c r="N1778" s="248">
        <v>888.91</v>
      </c>
      <c r="O1778" s="248">
        <v>9119.3700000000008</v>
      </c>
      <c r="P1778" s="247" t="s">
        <v>1374</v>
      </c>
      <c r="Q1778" s="247" t="s">
        <v>86</v>
      </c>
    </row>
    <row r="1779" spans="1:17" x14ac:dyDescent="0.25">
      <c r="A1779" s="247" t="s">
        <v>646</v>
      </c>
      <c r="B1779" s="247" t="s">
        <v>265</v>
      </c>
      <c r="C1779" s="247" t="s">
        <v>1343</v>
      </c>
      <c r="D1779" s="247" t="s">
        <v>1361</v>
      </c>
      <c r="E1779" s="247" t="s">
        <v>1291</v>
      </c>
      <c r="F1779" s="247" t="s">
        <v>2090</v>
      </c>
      <c r="G1779" s="247" t="s">
        <v>1362</v>
      </c>
      <c r="H1779" s="247" t="s">
        <v>1982</v>
      </c>
      <c r="I1779" s="247" t="s">
        <v>2091</v>
      </c>
      <c r="J1779" s="247">
        <v>54</v>
      </c>
      <c r="K1779" s="247">
        <v>54</v>
      </c>
      <c r="L1779" s="249" t="s">
        <v>789</v>
      </c>
      <c r="M1779" s="249" t="s">
        <v>929</v>
      </c>
      <c r="N1779" s="248">
        <v>942.4</v>
      </c>
      <c r="O1779" s="248">
        <v>942.4</v>
      </c>
      <c r="P1779" s="247" t="s">
        <v>1374</v>
      </c>
      <c r="Q1779" s="247" t="s">
        <v>87</v>
      </c>
    </row>
    <row r="1780" spans="1:17" x14ac:dyDescent="0.25">
      <c r="A1780" s="247" t="s">
        <v>646</v>
      </c>
      <c r="B1780" s="247" t="s">
        <v>265</v>
      </c>
      <c r="C1780" s="247" t="s">
        <v>1343</v>
      </c>
      <c r="D1780" s="247" t="s">
        <v>1361</v>
      </c>
      <c r="E1780" s="247" t="s">
        <v>1291</v>
      </c>
      <c r="F1780" s="247" t="s">
        <v>2090</v>
      </c>
      <c r="G1780" s="247" t="s">
        <v>1362</v>
      </c>
      <c r="H1780" s="247" t="s">
        <v>1982</v>
      </c>
      <c r="I1780" s="247" t="s">
        <v>2091</v>
      </c>
      <c r="J1780" s="247">
        <v>54</v>
      </c>
      <c r="K1780" s="247">
        <v>54</v>
      </c>
      <c r="L1780" s="249" t="s">
        <v>791</v>
      </c>
      <c r="M1780" s="249" t="s">
        <v>929</v>
      </c>
      <c r="N1780" s="248">
        <v>1032.53</v>
      </c>
      <c r="O1780" s="248">
        <v>1974.93</v>
      </c>
      <c r="P1780" s="247" t="s">
        <v>1374</v>
      </c>
      <c r="Q1780" s="247" t="s">
        <v>88</v>
      </c>
    </row>
    <row r="1781" spans="1:17" x14ac:dyDescent="0.25">
      <c r="A1781" s="247" t="s">
        <v>646</v>
      </c>
      <c r="B1781" s="247" t="s">
        <v>265</v>
      </c>
      <c r="C1781" s="247" t="s">
        <v>1343</v>
      </c>
      <c r="D1781" s="247" t="s">
        <v>1361</v>
      </c>
      <c r="E1781" s="247" t="s">
        <v>1291</v>
      </c>
      <c r="F1781" s="247" t="s">
        <v>2090</v>
      </c>
      <c r="G1781" s="247" t="s">
        <v>1362</v>
      </c>
      <c r="H1781" s="247" t="s">
        <v>1982</v>
      </c>
      <c r="I1781" s="247" t="s">
        <v>2091</v>
      </c>
      <c r="J1781" s="247">
        <v>54</v>
      </c>
      <c r="K1781" s="247">
        <v>54</v>
      </c>
      <c r="L1781" s="249" t="s">
        <v>935</v>
      </c>
      <c r="M1781" s="249" t="s">
        <v>929</v>
      </c>
      <c r="N1781" s="248">
        <v>1063.19</v>
      </c>
      <c r="O1781" s="248">
        <v>3038.12</v>
      </c>
      <c r="P1781" s="247" t="s">
        <v>1374</v>
      </c>
      <c r="Q1781" s="247" t="s">
        <v>89</v>
      </c>
    </row>
    <row r="1782" spans="1:17" x14ac:dyDescent="0.25">
      <c r="A1782" s="247" t="s">
        <v>646</v>
      </c>
      <c r="B1782" s="247" t="s">
        <v>265</v>
      </c>
      <c r="C1782" s="247" t="s">
        <v>1343</v>
      </c>
      <c r="D1782" s="247" t="s">
        <v>1361</v>
      </c>
      <c r="E1782" s="247" t="s">
        <v>1291</v>
      </c>
      <c r="F1782" s="247" t="s">
        <v>2090</v>
      </c>
      <c r="G1782" s="247" t="s">
        <v>1362</v>
      </c>
      <c r="H1782" s="247" t="s">
        <v>1982</v>
      </c>
      <c r="I1782" s="247" t="s">
        <v>2091</v>
      </c>
      <c r="J1782" s="247">
        <v>54</v>
      </c>
      <c r="K1782" s="247">
        <v>54</v>
      </c>
      <c r="L1782" s="249" t="s">
        <v>936</v>
      </c>
      <c r="M1782" s="249" t="s">
        <v>929</v>
      </c>
      <c r="N1782" s="248">
        <v>1516.06</v>
      </c>
      <c r="O1782" s="248">
        <v>4554.18</v>
      </c>
      <c r="P1782" s="247" t="s">
        <v>1374</v>
      </c>
      <c r="Q1782" s="247" t="s">
        <v>90</v>
      </c>
    </row>
    <row r="1783" spans="1:17" x14ac:dyDescent="0.25">
      <c r="A1783" s="247" t="s">
        <v>646</v>
      </c>
      <c r="B1783" s="247" t="s">
        <v>265</v>
      </c>
      <c r="C1783" s="247" t="s">
        <v>1343</v>
      </c>
      <c r="D1783" s="247" t="s">
        <v>1361</v>
      </c>
      <c r="E1783" s="247" t="s">
        <v>1291</v>
      </c>
      <c r="F1783" s="247" t="s">
        <v>2090</v>
      </c>
      <c r="G1783" s="247" t="s">
        <v>1362</v>
      </c>
      <c r="H1783" s="247" t="s">
        <v>1982</v>
      </c>
      <c r="I1783" s="247" t="s">
        <v>2091</v>
      </c>
      <c r="J1783" s="247">
        <v>54</v>
      </c>
      <c r="K1783" s="247">
        <v>54</v>
      </c>
      <c r="L1783" s="249" t="s">
        <v>937</v>
      </c>
      <c r="M1783" s="249" t="s">
        <v>929</v>
      </c>
      <c r="N1783" s="248">
        <v>1041.19</v>
      </c>
      <c r="O1783" s="248">
        <v>5595.37</v>
      </c>
      <c r="P1783" s="247" t="s">
        <v>1374</v>
      </c>
      <c r="Q1783" s="247" t="s">
        <v>91</v>
      </c>
    </row>
    <row r="1784" spans="1:17" x14ac:dyDescent="0.25">
      <c r="A1784" s="247" t="s">
        <v>646</v>
      </c>
      <c r="B1784" s="247" t="s">
        <v>265</v>
      </c>
      <c r="C1784" s="247" t="s">
        <v>1343</v>
      </c>
      <c r="D1784" s="247" t="s">
        <v>1361</v>
      </c>
      <c r="E1784" s="247" t="s">
        <v>1291</v>
      </c>
      <c r="F1784" s="247" t="s">
        <v>2090</v>
      </c>
      <c r="G1784" s="247" t="s">
        <v>1362</v>
      </c>
      <c r="H1784" s="247" t="s">
        <v>1982</v>
      </c>
      <c r="I1784" s="247" t="s">
        <v>2091</v>
      </c>
      <c r="J1784" s="247">
        <v>54</v>
      </c>
      <c r="K1784" s="247">
        <v>54</v>
      </c>
      <c r="L1784" s="249" t="s">
        <v>938</v>
      </c>
      <c r="M1784" s="249" t="s">
        <v>929</v>
      </c>
      <c r="N1784" s="248">
        <v>318.17</v>
      </c>
      <c r="O1784" s="248">
        <v>5913.54</v>
      </c>
      <c r="P1784" s="247" t="s">
        <v>1374</v>
      </c>
      <c r="Q1784" s="247" t="s">
        <v>92</v>
      </c>
    </row>
    <row r="1785" spans="1:17" x14ac:dyDescent="0.25">
      <c r="A1785" s="247" t="s">
        <v>646</v>
      </c>
      <c r="B1785" s="247" t="s">
        <v>265</v>
      </c>
      <c r="C1785" s="247" t="s">
        <v>1343</v>
      </c>
      <c r="D1785" s="247" t="s">
        <v>1361</v>
      </c>
      <c r="E1785" s="247" t="s">
        <v>1291</v>
      </c>
      <c r="F1785" s="247" t="s">
        <v>2090</v>
      </c>
      <c r="G1785" s="247" t="s">
        <v>1362</v>
      </c>
      <c r="H1785" s="247" t="s">
        <v>1982</v>
      </c>
      <c r="I1785" s="247" t="s">
        <v>2091</v>
      </c>
      <c r="J1785" s="247">
        <v>54</v>
      </c>
      <c r="K1785" s="247">
        <v>54</v>
      </c>
      <c r="L1785" s="249" t="s">
        <v>939</v>
      </c>
      <c r="M1785" s="249" t="s">
        <v>929</v>
      </c>
      <c r="N1785" s="248">
        <v>956.8</v>
      </c>
      <c r="O1785" s="248">
        <v>6870.34</v>
      </c>
      <c r="P1785" s="247" t="s">
        <v>1374</v>
      </c>
      <c r="Q1785" s="247" t="s">
        <v>93</v>
      </c>
    </row>
    <row r="1786" spans="1:17" x14ac:dyDescent="0.25">
      <c r="A1786" s="247" t="s">
        <v>646</v>
      </c>
      <c r="B1786" s="247" t="s">
        <v>265</v>
      </c>
      <c r="C1786" s="247" t="s">
        <v>1343</v>
      </c>
      <c r="D1786" s="247" t="s">
        <v>1361</v>
      </c>
      <c r="E1786" s="247" t="s">
        <v>1291</v>
      </c>
      <c r="F1786" s="247" t="s">
        <v>2090</v>
      </c>
      <c r="G1786" s="247" t="s">
        <v>1362</v>
      </c>
      <c r="H1786" s="247" t="s">
        <v>1982</v>
      </c>
      <c r="I1786" s="247" t="s">
        <v>2091</v>
      </c>
      <c r="J1786" s="247">
        <v>54</v>
      </c>
      <c r="K1786" s="247">
        <v>54</v>
      </c>
      <c r="L1786" s="249" t="s">
        <v>940</v>
      </c>
      <c r="M1786" s="249" t="s">
        <v>929</v>
      </c>
      <c r="N1786" s="248">
        <v>1037.98</v>
      </c>
      <c r="O1786" s="248">
        <v>7908.32</v>
      </c>
      <c r="P1786" s="247" t="s">
        <v>1374</v>
      </c>
      <c r="Q1786" s="247" t="s">
        <v>94</v>
      </c>
    </row>
    <row r="1787" spans="1:17" x14ac:dyDescent="0.25">
      <c r="A1787" s="247" t="s">
        <v>646</v>
      </c>
      <c r="B1787" s="247" t="s">
        <v>265</v>
      </c>
      <c r="C1787" s="247" t="s">
        <v>1343</v>
      </c>
      <c r="D1787" s="247" t="s">
        <v>1361</v>
      </c>
      <c r="E1787" s="247" t="s">
        <v>1291</v>
      </c>
      <c r="F1787" s="247" t="s">
        <v>2090</v>
      </c>
      <c r="G1787" s="247" t="s">
        <v>1362</v>
      </c>
      <c r="H1787" s="247" t="s">
        <v>1982</v>
      </c>
      <c r="I1787" s="247" t="s">
        <v>2091</v>
      </c>
      <c r="J1787" s="247">
        <v>54</v>
      </c>
      <c r="K1787" s="247">
        <v>54</v>
      </c>
      <c r="L1787" s="249" t="s">
        <v>642</v>
      </c>
      <c r="M1787" s="249" t="s">
        <v>929</v>
      </c>
      <c r="N1787" s="248">
        <v>1491.36</v>
      </c>
      <c r="O1787" s="248">
        <v>9399.68</v>
      </c>
      <c r="P1787" s="247" t="s">
        <v>1374</v>
      </c>
      <c r="Q1787" s="247" t="s">
        <v>95</v>
      </c>
    </row>
    <row r="1788" spans="1:17" x14ac:dyDescent="0.25">
      <c r="A1788" s="247" t="s">
        <v>646</v>
      </c>
      <c r="B1788" s="247" t="s">
        <v>265</v>
      </c>
      <c r="C1788" s="247" t="s">
        <v>1343</v>
      </c>
      <c r="D1788" s="247" t="s">
        <v>1172</v>
      </c>
      <c r="E1788" s="247" t="s">
        <v>1291</v>
      </c>
      <c r="F1788" s="247" t="s">
        <v>2092</v>
      </c>
      <c r="G1788" s="247" t="s">
        <v>1364</v>
      </c>
      <c r="H1788" s="247" t="s">
        <v>1982</v>
      </c>
      <c r="I1788" s="247" t="s">
        <v>2093</v>
      </c>
      <c r="J1788" s="247">
        <v>56</v>
      </c>
      <c r="K1788" s="247">
        <v>56</v>
      </c>
      <c r="L1788" s="249" t="s">
        <v>646</v>
      </c>
      <c r="M1788" s="249" t="s">
        <v>933</v>
      </c>
      <c r="N1788" s="248">
        <v>0</v>
      </c>
      <c r="O1788" s="248">
        <v>480.49</v>
      </c>
      <c r="P1788" s="247" t="s">
        <v>1375</v>
      </c>
      <c r="Q1788" s="247" t="s">
        <v>84</v>
      </c>
    </row>
    <row r="1789" spans="1:17" x14ac:dyDescent="0.25">
      <c r="A1789" s="247" t="s">
        <v>646</v>
      </c>
      <c r="B1789" s="247" t="s">
        <v>265</v>
      </c>
      <c r="C1789" s="247" t="s">
        <v>1343</v>
      </c>
      <c r="D1789" s="247" t="s">
        <v>1172</v>
      </c>
      <c r="E1789" s="247" t="s">
        <v>1291</v>
      </c>
      <c r="F1789" s="247" t="s">
        <v>2092</v>
      </c>
      <c r="G1789" s="247" t="s">
        <v>1364</v>
      </c>
      <c r="H1789" s="247" t="s">
        <v>1982</v>
      </c>
      <c r="I1789" s="247" t="s">
        <v>2093</v>
      </c>
      <c r="J1789" s="247">
        <v>56</v>
      </c>
      <c r="K1789" s="247">
        <v>56</v>
      </c>
      <c r="L1789" s="249" t="s">
        <v>650</v>
      </c>
      <c r="M1789" s="249" t="s">
        <v>933</v>
      </c>
      <c r="N1789" s="248">
        <v>0</v>
      </c>
      <c r="O1789" s="248">
        <v>480.49</v>
      </c>
      <c r="P1789" s="247" t="s">
        <v>1375</v>
      </c>
      <c r="Q1789" s="247" t="s">
        <v>85</v>
      </c>
    </row>
    <row r="1790" spans="1:17" x14ac:dyDescent="0.25">
      <c r="A1790" s="247" t="s">
        <v>646</v>
      </c>
      <c r="B1790" s="247" t="s">
        <v>265</v>
      </c>
      <c r="C1790" s="247" t="s">
        <v>1343</v>
      </c>
      <c r="D1790" s="247" t="s">
        <v>1172</v>
      </c>
      <c r="E1790" s="247" t="s">
        <v>1291</v>
      </c>
      <c r="F1790" s="247" t="s">
        <v>2092</v>
      </c>
      <c r="G1790" s="247" t="s">
        <v>1364</v>
      </c>
      <c r="H1790" s="247" t="s">
        <v>1982</v>
      </c>
      <c r="I1790" s="247" t="s">
        <v>2093</v>
      </c>
      <c r="J1790" s="247">
        <v>56</v>
      </c>
      <c r="K1790" s="247">
        <v>56</v>
      </c>
      <c r="L1790" s="249" t="s">
        <v>652</v>
      </c>
      <c r="M1790" s="249" t="s">
        <v>933</v>
      </c>
      <c r="N1790" s="248">
        <v>0</v>
      </c>
      <c r="O1790" s="248">
        <v>480.49</v>
      </c>
      <c r="P1790" s="247" t="s">
        <v>1375</v>
      </c>
      <c r="Q1790" s="247" t="s">
        <v>86</v>
      </c>
    </row>
    <row r="1791" spans="1:17" x14ac:dyDescent="0.25">
      <c r="A1791" s="247" t="s">
        <v>646</v>
      </c>
      <c r="B1791" s="247" t="s">
        <v>265</v>
      </c>
      <c r="C1791" s="247" t="s">
        <v>1343</v>
      </c>
      <c r="D1791" s="247" t="s">
        <v>1172</v>
      </c>
      <c r="E1791" s="247" t="s">
        <v>1291</v>
      </c>
      <c r="F1791" s="247" t="s">
        <v>2092</v>
      </c>
      <c r="G1791" s="247" t="s">
        <v>1364</v>
      </c>
      <c r="H1791" s="247" t="s">
        <v>1982</v>
      </c>
      <c r="I1791" s="247" t="s">
        <v>2093</v>
      </c>
      <c r="J1791" s="247">
        <v>56</v>
      </c>
      <c r="K1791" s="247">
        <v>56</v>
      </c>
      <c r="L1791" s="249" t="s">
        <v>939</v>
      </c>
      <c r="M1791" s="249" t="s">
        <v>929</v>
      </c>
      <c r="N1791" s="248">
        <v>4263</v>
      </c>
      <c r="O1791" s="248">
        <v>4263</v>
      </c>
      <c r="P1791" s="247" t="s">
        <v>1375</v>
      </c>
      <c r="Q1791" s="247" t="s">
        <v>93</v>
      </c>
    </row>
    <row r="1792" spans="1:17" x14ac:dyDescent="0.25">
      <c r="A1792" s="247" t="s">
        <v>646</v>
      </c>
      <c r="B1792" s="247" t="s">
        <v>265</v>
      </c>
      <c r="C1792" s="247" t="s">
        <v>1343</v>
      </c>
      <c r="D1792" s="247" t="s">
        <v>1172</v>
      </c>
      <c r="E1792" s="247" t="s">
        <v>1291</v>
      </c>
      <c r="F1792" s="247" t="s">
        <v>2092</v>
      </c>
      <c r="G1792" s="247" t="s">
        <v>1364</v>
      </c>
      <c r="H1792" s="247" t="s">
        <v>1982</v>
      </c>
      <c r="I1792" s="247" t="s">
        <v>2093</v>
      </c>
      <c r="J1792" s="247">
        <v>56</v>
      </c>
      <c r="K1792" s="247">
        <v>56</v>
      </c>
      <c r="L1792" s="249" t="s">
        <v>940</v>
      </c>
      <c r="M1792" s="249" t="s">
        <v>929</v>
      </c>
      <c r="N1792" s="248">
        <v>0</v>
      </c>
      <c r="O1792" s="248">
        <v>4263</v>
      </c>
      <c r="P1792" s="247" t="s">
        <v>1375</v>
      </c>
      <c r="Q1792" s="247" t="s">
        <v>94</v>
      </c>
    </row>
    <row r="1793" spans="1:17" x14ac:dyDescent="0.25">
      <c r="A1793" s="247" t="s">
        <v>646</v>
      </c>
      <c r="B1793" s="247" t="s">
        <v>265</v>
      </c>
      <c r="C1793" s="247" t="s">
        <v>1343</v>
      </c>
      <c r="D1793" s="247" t="s">
        <v>1172</v>
      </c>
      <c r="E1793" s="247" t="s">
        <v>1291</v>
      </c>
      <c r="F1793" s="247" t="s">
        <v>2092</v>
      </c>
      <c r="G1793" s="247" t="s">
        <v>1364</v>
      </c>
      <c r="H1793" s="247" t="s">
        <v>1982</v>
      </c>
      <c r="I1793" s="247" t="s">
        <v>2093</v>
      </c>
      <c r="J1793" s="247">
        <v>56</v>
      </c>
      <c r="K1793" s="247">
        <v>56</v>
      </c>
      <c r="L1793" s="249" t="s">
        <v>642</v>
      </c>
      <c r="M1793" s="249" t="s">
        <v>929</v>
      </c>
      <c r="N1793" s="248">
        <v>500</v>
      </c>
      <c r="O1793" s="248">
        <v>4763</v>
      </c>
      <c r="P1793" s="247" t="s">
        <v>1375</v>
      </c>
      <c r="Q1793" s="247" t="s">
        <v>95</v>
      </c>
    </row>
    <row r="1794" spans="1:17" x14ac:dyDescent="0.25">
      <c r="A1794" s="247" t="s">
        <v>646</v>
      </c>
      <c r="B1794" s="247" t="s">
        <v>265</v>
      </c>
      <c r="C1794" s="247" t="s">
        <v>1343</v>
      </c>
      <c r="D1794" s="247" t="s">
        <v>926</v>
      </c>
      <c r="E1794" s="247" t="s">
        <v>1296</v>
      </c>
      <c r="F1794" s="247" t="s">
        <v>2094</v>
      </c>
      <c r="G1794" s="247" t="s">
        <v>1344</v>
      </c>
      <c r="H1794" s="247" t="s">
        <v>1989</v>
      </c>
      <c r="I1794" s="247" t="s">
        <v>2095</v>
      </c>
      <c r="J1794" s="247">
        <v>52</v>
      </c>
      <c r="K1794" s="247">
        <v>52</v>
      </c>
      <c r="L1794" s="249" t="s">
        <v>646</v>
      </c>
      <c r="M1794" s="249" t="s">
        <v>933</v>
      </c>
      <c r="N1794" s="248">
        <v>178.34</v>
      </c>
      <c r="O1794" s="248">
        <v>5151.45</v>
      </c>
      <c r="P1794" s="247" t="s">
        <v>1376</v>
      </c>
      <c r="Q1794" s="247" t="s">
        <v>84</v>
      </c>
    </row>
    <row r="1795" spans="1:17" x14ac:dyDescent="0.25">
      <c r="A1795" s="247" t="s">
        <v>646</v>
      </c>
      <c r="B1795" s="247" t="s">
        <v>265</v>
      </c>
      <c r="C1795" s="247" t="s">
        <v>1343</v>
      </c>
      <c r="D1795" s="247" t="s">
        <v>926</v>
      </c>
      <c r="E1795" s="247" t="s">
        <v>1296</v>
      </c>
      <c r="F1795" s="247" t="s">
        <v>2094</v>
      </c>
      <c r="G1795" s="247" t="s">
        <v>1344</v>
      </c>
      <c r="H1795" s="247" t="s">
        <v>1989</v>
      </c>
      <c r="I1795" s="247" t="s">
        <v>2095</v>
      </c>
      <c r="J1795" s="247">
        <v>52</v>
      </c>
      <c r="K1795" s="247">
        <v>52</v>
      </c>
      <c r="L1795" s="249" t="s">
        <v>650</v>
      </c>
      <c r="M1795" s="249" t="s">
        <v>933</v>
      </c>
      <c r="N1795" s="248">
        <v>367.24</v>
      </c>
      <c r="O1795" s="248">
        <v>5518.69</v>
      </c>
      <c r="P1795" s="247" t="s">
        <v>1376</v>
      </c>
      <c r="Q1795" s="247" t="s">
        <v>85</v>
      </c>
    </row>
    <row r="1796" spans="1:17" x14ac:dyDescent="0.25">
      <c r="A1796" s="247" t="s">
        <v>646</v>
      </c>
      <c r="B1796" s="247" t="s">
        <v>265</v>
      </c>
      <c r="C1796" s="247" t="s">
        <v>1343</v>
      </c>
      <c r="D1796" s="247" t="s">
        <v>926</v>
      </c>
      <c r="E1796" s="247" t="s">
        <v>1296</v>
      </c>
      <c r="F1796" s="247" t="s">
        <v>2094</v>
      </c>
      <c r="G1796" s="247" t="s">
        <v>1344</v>
      </c>
      <c r="H1796" s="247" t="s">
        <v>1989</v>
      </c>
      <c r="I1796" s="247" t="s">
        <v>2095</v>
      </c>
      <c r="J1796" s="247">
        <v>52</v>
      </c>
      <c r="K1796" s="247">
        <v>52</v>
      </c>
      <c r="L1796" s="249" t="s">
        <v>652</v>
      </c>
      <c r="M1796" s="249" t="s">
        <v>933</v>
      </c>
      <c r="N1796" s="248">
        <v>1092.71</v>
      </c>
      <c r="O1796" s="248">
        <v>6611.4</v>
      </c>
      <c r="P1796" s="247" t="s">
        <v>1376</v>
      </c>
      <c r="Q1796" s="247" t="s">
        <v>86</v>
      </c>
    </row>
    <row r="1797" spans="1:17" x14ac:dyDescent="0.25">
      <c r="A1797" s="247" t="s">
        <v>646</v>
      </c>
      <c r="B1797" s="247" t="s">
        <v>265</v>
      </c>
      <c r="C1797" s="247" t="s">
        <v>1343</v>
      </c>
      <c r="D1797" s="247" t="s">
        <v>926</v>
      </c>
      <c r="E1797" s="247" t="s">
        <v>1296</v>
      </c>
      <c r="F1797" s="247" t="s">
        <v>2094</v>
      </c>
      <c r="G1797" s="247" t="s">
        <v>1344</v>
      </c>
      <c r="H1797" s="247" t="s">
        <v>1989</v>
      </c>
      <c r="I1797" s="247" t="s">
        <v>2095</v>
      </c>
      <c r="J1797" s="247">
        <v>52</v>
      </c>
      <c r="K1797" s="247">
        <v>52</v>
      </c>
      <c r="L1797" s="249" t="s">
        <v>789</v>
      </c>
      <c r="M1797" s="249" t="s">
        <v>929</v>
      </c>
      <c r="N1797" s="248">
        <v>557.55999999999995</v>
      </c>
      <c r="O1797" s="248">
        <v>557.55999999999995</v>
      </c>
      <c r="P1797" s="247" t="s">
        <v>1376</v>
      </c>
      <c r="Q1797" s="247" t="s">
        <v>87</v>
      </c>
    </row>
    <row r="1798" spans="1:17" x14ac:dyDescent="0.25">
      <c r="A1798" s="247" t="s">
        <v>646</v>
      </c>
      <c r="B1798" s="247" t="s">
        <v>265</v>
      </c>
      <c r="C1798" s="247" t="s">
        <v>1343</v>
      </c>
      <c r="D1798" s="247" t="s">
        <v>926</v>
      </c>
      <c r="E1798" s="247" t="s">
        <v>1296</v>
      </c>
      <c r="F1798" s="247" t="s">
        <v>2094</v>
      </c>
      <c r="G1798" s="247" t="s">
        <v>1344</v>
      </c>
      <c r="H1798" s="247" t="s">
        <v>1989</v>
      </c>
      <c r="I1798" s="247" t="s">
        <v>2095</v>
      </c>
      <c r="J1798" s="247">
        <v>52</v>
      </c>
      <c r="K1798" s="247">
        <v>52</v>
      </c>
      <c r="L1798" s="249" t="s">
        <v>791</v>
      </c>
      <c r="M1798" s="249" t="s">
        <v>929</v>
      </c>
      <c r="N1798" s="248">
        <v>557.55999999999995</v>
      </c>
      <c r="O1798" s="248">
        <v>1115.1199999999999</v>
      </c>
      <c r="P1798" s="247" t="s">
        <v>1376</v>
      </c>
      <c r="Q1798" s="247" t="s">
        <v>88</v>
      </c>
    </row>
    <row r="1799" spans="1:17" x14ac:dyDescent="0.25">
      <c r="A1799" s="247" t="s">
        <v>646</v>
      </c>
      <c r="B1799" s="247" t="s">
        <v>265</v>
      </c>
      <c r="C1799" s="247" t="s">
        <v>1343</v>
      </c>
      <c r="D1799" s="247" t="s">
        <v>926</v>
      </c>
      <c r="E1799" s="247" t="s">
        <v>1296</v>
      </c>
      <c r="F1799" s="247" t="s">
        <v>2094</v>
      </c>
      <c r="G1799" s="247" t="s">
        <v>1344</v>
      </c>
      <c r="H1799" s="247" t="s">
        <v>1989</v>
      </c>
      <c r="I1799" s="247" t="s">
        <v>2095</v>
      </c>
      <c r="J1799" s="247">
        <v>52</v>
      </c>
      <c r="K1799" s="247">
        <v>52</v>
      </c>
      <c r="L1799" s="249" t="s">
        <v>935</v>
      </c>
      <c r="M1799" s="249" t="s">
        <v>929</v>
      </c>
      <c r="N1799" s="248">
        <v>557.55999999999995</v>
      </c>
      <c r="O1799" s="248">
        <v>1672.68</v>
      </c>
      <c r="P1799" s="247" t="s">
        <v>1376</v>
      </c>
      <c r="Q1799" s="247" t="s">
        <v>89</v>
      </c>
    </row>
    <row r="1800" spans="1:17" x14ac:dyDescent="0.25">
      <c r="A1800" s="247" t="s">
        <v>646</v>
      </c>
      <c r="B1800" s="247" t="s">
        <v>265</v>
      </c>
      <c r="C1800" s="247" t="s">
        <v>1343</v>
      </c>
      <c r="D1800" s="247" t="s">
        <v>926</v>
      </c>
      <c r="E1800" s="247" t="s">
        <v>1296</v>
      </c>
      <c r="F1800" s="247" t="s">
        <v>2094</v>
      </c>
      <c r="G1800" s="247" t="s">
        <v>1344</v>
      </c>
      <c r="H1800" s="247" t="s">
        <v>1989</v>
      </c>
      <c r="I1800" s="247" t="s">
        <v>2095</v>
      </c>
      <c r="J1800" s="247">
        <v>52</v>
      </c>
      <c r="K1800" s="247">
        <v>52</v>
      </c>
      <c r="L1800" s="249" t="s">
        <v>936</v>
      </c>
      <c r="M1800" s="249" t="s">
        <v>929</v>
      </c>
      <c r="N1800" s="248">
        <v>557.55999999999995</v>
      </c>
      <c r="O1800" s="248">
        <v>2230.2399999999998</v>
      </c>
      <c r="P1800" s="247" t="s">
        <v>1376</v>
      </c>
      <c r="Q1800" s="247" t="s">
        <v>90</v>
      </c>
    </row>
    <row r="1801" spans="1:17" x14ac:dyDescent="0.25">
      <c r="A1801" s="247" t="s">
        <v>646</v>
      </c>
      <c r="B1801" s="247" t="s">
        <v>265</v>
      </c>
      <c r="C1801" s="247" t="s">
        <v>1343</v>
      </c>
      <c r="D1801" s="247" t="s">
        <v>926</v>
      </c>
      <c r="E1801" s="247" t="s">
        <v>1296</v>
      </c>
      <c r="F1801" s="247" t="s">
        <v>2094</v>
      </c>
      <c r="G1801" s="247" t="s">
        <v>1344</v>
      </c>
      <c r="H1801" s="247" t="s">
        <v>1989</v>
      </c>
      <c r="I1801" s="247" t="s">
        <v>2095</v>
      </c>
      <c r="J1801" s="247">
        <v>52</v>
      </c>
      <c r="K1801" s="247">
        <v>52</v>
      </c>
      <c r="L1801" s="249" t="s">
        <v>937</v>
      </c>
      <c r="M1801" s="249" t="s">
        <v>929</v>
      </c>
      <c r="N1801" s="248">
        <v>557.55999999999995</v>
      </c>
      <c r="O1801" s="248">
        <v>2787.8</v>
      </c>
      <c r="P1801" s="247" t="s">
        <v>1376</v>
      </c>
      <c r="Q1801" s="247" t="s">
        <v>91</v>
      </c>
    </row>
    <row r="1802" spans="1:17" x14ac:dyDescent="0.25">
      <c r="A1802" s="247" t="s">
        <v>646</v>
      </c>
      <c r="B1802" s="247" t="s">
        <v>265</v>
      </c>
      <c r="C1802" s="247" t="s">
        <v>1343</v>
      </c>
      <c r="D1802" s="247" t="s">
        <v>926</v>
      </c>
      <c r="E1802" s="247" t="s">
        <v>1296</v>
      </c>
      <c r="F1802" s="247" t="s">
        <v>2094</v>
      </c>
      <c r="G1802" s="247" t="s">
        <v>1344</v>
      </c>
      <c r="H1802" s="247" t="s">
        <v>1989</v>
      </c>
      <c r="I1802" s="247" t="s">
        <v>2095</v>
      </c>
      <c r="J1802" s="247">
        <v>52</v>
      </c>
      <c r="K1802" s="247">
        <v>52</v>
      </c>
      <c r="L1802" s="249" t="s">
        <v>938</v>
      </c>
      <c r="M1802" s="249" t="s">
        <v>929</v>
      </c>
      <c r="N1802" s="248">
        <v>557.55999999999995</v>
      </c>
      <c r="O1802" s="248">
        <v>3345.36</v>
      </c>
      <c r="P1802" s="247" t="s">
        <v>1376</v>
      </c>
      <c r="Q1802" s="247" t="s">
        <v>92</v>
      </c>
    </row>
    <row r="1803" spans="1:17" x14ac:dyDescent="0.25">
      <c r="A1803" s="247" t="s">
        <v>646</v>
      </c>
      <c r="B1803" s="247" t="s">
        <v>265</v>
      </c>
      <c r="C1803" s="247" t="s">
        <v>1343</v>
      </c>
      <c r="D1803" s="247" t="s">
        <v>926</v>
      </c>
      <c r="E1803" s="247" t="s">
        <v>1296</v>
      </c>
      <c r="F1803" s="247" t="s">
        <v>2094</v>
      </c>
      <c r="G1803" s="247" t="s">
        <v>1344</v>
      </c>
      <c r="H1803" s="247" t="s">
        <v>1989</v>
      </c>
      <c r="I1803" s="247" t="s">
        <v>2095</v>
      </c>
      <c r="J1803" s="247">
        <v>52</v>
      </c>
      <c r="K1803" s="247">
        <v>52</v>
      </c>
      <c r="L1803" s="249" t="s">
        <v>939</v>
      </c>
      <c r="M1803" s="249" t="s">
        <v>929</v>
      </c>
      <c r="N1803" s="248">
        <v>557.55999999999995</v>
      </c>
      <c r="O1803" s="248">
        <v>3902.92</v>
      </c>
      <c r="P1803" s="247" t="s">
        <v>1376</v>
      </c>
      <c r="Q1803" s="247" t="s">
        <v>93</v>
      </c>
    </row>
    <row r="1804" spans="1:17" x14ac:dyDescent="0.25">
      <c r="A1804" s="247" t="s">
        <v>646</v>
      </c>
      <c r="B1804" s="247" t="s">
        <v>265</v>
      </c>
      <c r="C1804" s="247" t="s">
        <v>1343</v>
      </c>
      <c r="D1804" s="247" t="s">
        <v>926</v>
      </c>
      <c r="E1804" s="247" t="s">
        <v>1296</v>
      </c>
      <c r="F1804" s="247" t="s">
        <v>2094</v>
      </c>
      <c r="G1804" s="247" t="s">
        <v>1344</v>
      </c>
      <c r="H1804" s="247" t="s">
        <v>1989</v>
      </c>
      <c r="I1804" s="247" t="s">
        <v>2095</v>
      </c>
      <c r="J1804" s="247">
        <v>52</v>
      </c>
      <c r="K1804" s="247">
        <v>52</v>
      </c>
      <c r="L1804" s="249" t="s">
        <v>940</v>
      </c>
      <c r="M1804" s="249" t="s">
        <v>929</v>
      </c>
      <c r="N1804" s="248">
        <v>557.55999999999995</v>
      </c>
      <c r="O1804" s="248">
        <v>4460.4799999999996</v>
      </c>
      <c r="P1804" s="247" t="s">
        <v>1376</v>
      </c>
      <c r="Q1804" s="247" t="s">
        <v>94</v>
      </c>
    </row>
    <row r="1805" spans="1:17" x14ac:dyDescent="0.25">
      <c r="A1805" s="247" t="s">
        <v>646</v>
      </c>
      <c r="B1805" s="247" t="s">
        <v>265</v>
      </c>
      <c r="C1805" s="247" t="s">
        <v>1343</v>
      </c>
      <c r="D1805" s="247" t="s">
        <v>926</v>
      </c>
      <c r="E1805" s="247" t="s">
        <v>1296</v>
      </c>
      <c r="F1805" s="247" t="s">
        <v>2094</v>
      </c>
      <c r="G1805" s="247" t="s">
        <v>1344</v>
      </c>
      <c r="H1805" s="247" t="s">
        <v>1989</v>
      </c>
      <c r="I1805" s="247" t="s">
        <v>2095</v>
      </c>
      <c r="J1805" s="247">
        <v>52</v>
      </c>
      <c r="K1805" s="247">
        <v>52</v>
      </c>
      <c r="L1805" s="249" t="s">
        <v>642</v>
      </c>
      <c r="M1805" s="249" t="s">
        <v>929</v>
      </c>
      <c r="N1805" s="248">
        <v>557.55999999999995</v>
      </c>
      <c r="O1805" s="248">
        <v>5018.04</v>
      </c>
      <c r="P1805" s="247" t="s">
        <v>1376</v>
      </c>
      <c r="Q1805" s="247" t="s">
        <v>95</v>
      </c>
    </row>
    <row r="1806" spans="1:17" x14ac:dyDescent="0.25">
      <c r="A1806" s="247" t="s">
        <v>646</v>
      </c>
      <c r="B1806" s="247" t="s">
        <v>265</v>
      </c>
      <c r="C1806" s="247" t="s">
        <v>1343</v>
      </c>
      <c r="D1806" s="247" t="s">
        <v>711</v>
      </c>
      <c r="E1806" s="247" t="s">
        <v>1296</v>
      </c>
      <c r="F1806" s="247" t="s">
        <v>2096</v>
      </c>
      <c r="G1806" s="247" t="s">
        <v>1346</v>
      </c>
      <c r="H1806" s="247" t="s">
        <v>1989</v>
      </c>
      <c r="I1806" s="247" t="s">
        <v>2097</v>
      </c>
      <c r="J1806" s="247">
        <v>53</v>
      </c>
      <c r="K1806" s="247">
        <v>53</v>
      </c>
      <c r="L1806" s="249" t="s">
        <v>646</v>
      </c>
      <c r="M1806" s="249" t="s">
        <v>933</v>
      </c>
      <c r="N1806" s="248">
        <v>316.70999999999998</v>
      </c>
      <c r="O1806" s="248">
        <v>442.95</v>
      </c>
      <c r="P1806" s="247" t="s">
        <v>1377</v>
      </c>
      <c r="Q1806" s="247" t="s">
        <v>84</v>
      </c>
    </row>
    <row r="1807" spans="1:17" x14ac:dyDescent="0.25">
      <c r="A1807" s="247" t="s">
        <v>646</v>
      </c>
      <c r="B1807" s="247" t="s">
        <v>265</v>
      </c>
      <c r="C1807" s="247" t="s">
        <v>1343</v>
      </c>
      <c r="D1807" s="247" t="s">
        <v>711</v>
      </c>
      <c r="E1807" s="247" t="s">
        <v>1296</v>
      </c>
      <c r="F1807" s="247" t="s">
        <v>2096</v>
      </c>
      <c r="G1807" s="247" t="s">
        <v>1346</v>
      </c>
      <c r="H1807" s="247" t="s">
        <v>1989</v>
      </c>
      <c r="I1807" s="247" t="s">
        <v>2097</v>
      </c>
      <c r="J1807" s="247">
        <v>53</v>
      </c>
      <c r="K1807" s="247">
        <v>53</v>
      </c>
      <c r="L1807" s="249" t="s">
        <v>650</v>
      </c>
      <c r="M1807" s="249" t="s">
        <v>933</v>
      </c>
      <c r="N1807" s="248">
        <v>213.87</v>
      </c>
      <c r="O1807" s="248">
        <v>656.82</v>
      </c>
      <c r="P1807" s="247" t="s">
        <v>1377</v>
      </c>
      <c r="Q1807" s="247" t="s">
        <v>85</v>
      </c>
    </row>
    <row r="1808" spans="1:17" x14ac:dyDescent="0.25">
      <c r="A1808" s="247" t="s">
        <v>646</v>
      </c>
      <c r="B1808" s="247" t="s">
        <v>265</v>
      </c>
      <c r="C1808" s="247" t="s">
        <v>1343</v>
      </c>
      <c r="D1808" s="247" t="s">
        <v>711</v>
      </c>
      <c r="E1808" s="247" t="s">
        <v>1296</v>
      </c>
      <c r="F1808" s="247" t="s">
        <v>2096</v>
      </c>
      <c r="G1808" s="247" t="s">
        <v>1346</v>
      </c>
      <c r="H1808" s="247" t="s">
        <v>1989</v>
      </c>
      <c r="I1808" s="247" t="s">
        <v>2097</v>
      </c>
      <c r="J1808" s="247">
        <v>53</v>
      </c>
      <c r="K1808" s="247">
        <v>53</v>
      </c>
      <c r="L1808" s="249" t="s">
        <v>652</v>
      </c>
      <c r="M1808" s="249" t="s">
        <v>933</v>
      </c>
      <c r="N1808" s="248">
        <v>198.39</v>
      </c>
      <c r="O1808" s="248">
        <v>855.21</v>
      </c>
      <c r="P1808" s="247" t="s">
        <v>1377</v>
      </c>
      <c r="Q1808" s="247" t="s">
        <v>86</v>
      </c>
    </row>
    <row r="1809" spans="1:17" x14ac:dyDescent="0.25">
      <c r="A1809" s="247" t="s">
        <v>646</v>
      </c>
      <c r="B1809" s="247" t="s">
        <v>265</v>
      </c>
      <c r="C1809" s="247" t="s">
        <v>1343</v>
      </c>
      <c r="D1809" s="247" t="s">
        <v>711</v>
      </c>
      <c r="E1809" s="247" t="s">
        <v>1296</v>
      </c>
      <c r="F1809" s="247" t="s">
        <v>2096</v>
      </c>
      <c r="G1809" s="247" t="s">
        <v>1346</v>
      </c>
      <c r="H1809" s="247" t="s">
        <v>1989</v>
      </c>
      <c r="I1809" s="247" t="s">
        <v>2097</v>
      </c>
      <c r="J1809" s="247">
        <v>53</v>
      </c>
      <c r="K1809" s="247">
        <v>53</v>
      </c>
      <c r="L1809" s="249" t="s">
        <v>789</v>
      </c>
      <c r="M1809" s="249" t="s">
        <v>929</v>
      </c>
      <c r="N1809" s="248">
        <v>252.89</v>
      </c>
      <c r="O1809" s="248">
        <v>252.89</v>
      </c>
      <c r="P1809" s="247" t="s">
        <v>1377</v>
      </c>
      <c r="Q1809" s="247" t="s">
        <v>87</v>
      </c>
    </row>
    <row r="1810" spans="1:17" x14ac:dyDescent="0.25">
      <c r="A1810" s="247" t="s">
        <v>646</v>
      </c>
      <c r="B1810" s="247" t="s">
        <v>265</v>
      </c>
      <c r="C1810" s="247" t="s">
        <v>1343</v>
      </c>
      <c r="D1810" s="247" t="s">
        <v>711</v>
      </c>
      <c r="E1810" s="247" t="s">
        <v>1296</v>
      </c>
      <c r="F1810" s="247" t="s">
        <v>2096</v>
      </c>
      <c r="G1810" s="247" t="s">
        <v>1346</v>
      </c>
      <c r="H1810" s="247" t="s">
        <v>1989</v>
      </c>
      <c r="I1810" s="247" t="s">
        <v>2097</v>
      </c>
      <c r="J1810" s="247">
        <v>53</v>
      </c>
      <c r="K1810" s="247">
        <v>53</v>
      </c>
      <c r="L1810" s="249" t="s">
        <v>791</v>
      </c>
      <c r="M1810" s="249" t="s">
        <v>929</v>
      </c>
      <c r="N1810" s="248">
        <v>216.54</v>
      </c>
      <c r="O1810" s="248">
        <v>469.43</v>
      </c>
      <c r="P1810" s="247" t="s">
        <v>1377</v>
      </c>
      <c r="Q1810" s="247" t="s">
        <v>88</v>
      </c>
    </row>
    <row r="1811" spans="1:17" x14ac:dyDescent="0.25">
      <c r="A1811" s="247" t="s">
        <v>646</v>
      </c>
      <c r="B1811" s="247" t="s">
        <v>265</v>
      </c>
      <c r="C1811" s="247" t="s">
        <v>1343</v>
      </c>
      <c r="D1811" s="247" t="s">
        <v>711</v>
      </c>
      <c r="E1811" s="247" t="s">
        <v>1296</v>
      </c>
      <c r="F1811" s="247" t="s">
        <v>2096</v>
      </c>
      <c r="G1811" s="247" t="s">
        <v>1346</v>
      </c>
      <c r="H1811" s="247" t="s">
        <v>1989</v>
      </c>
      <c r="I1811" s="247" t="s">
        <v>2097</v>
      </c>
      <c r="J1811" s="247">
        <v>53</v>
      </c>
      <c r="K1811" s="247">
        <v>53</v>
      </c>
      <c r="L1811" s="249" t="s">
        <v>935</v>
      </c>
      <c r="M1811" s="249" t="s">
        <v>929</v>
      </c>
      <c r="N1811" s="248">
        <v>215.46</v>
      </c>
      <c r="O1811" s="248">
        <v>684.89</v>
      </c>
      <c r="P1811" s="247" t="s">
        <v>1377</v>
      </c>
      <c r="Q1811" s="247" t="s">
        <v>89</v>
      </c>
    </row>
    <row r="1812" spans="1:17" x14ac:dyDescent="0.25">
      <c r="A1812" s="247" t="s">
        <v>646</v>
      </c>
      <c r="B1812" s="247" t="s">
        <v>265</v>
      </c>
      <c r="C1812" s="247" t="s">
        <v>1343</v>
      </c>
      <c r="D1812" s="247" t="s">
        <v>711</v>
      </c>
      <c r="E1812" s="247" t="s">
        <v>1296</v>
      </c>
      <c r="F1812" s="247" t="s">
        <v>2096</v>
      </c>
      <c r="G1812" s="247" t="s">
        <v>1346</v>
      </c>
      <c r="H1812" s="247" t="s">
        <v>1989</v>
      </c>
      <c r="I1812" s="247" t="s">
        <v>2097</v>
      </c>
      <c r="J1812" s="247">
        <v>53</v>
      </c>
      <c r="K1812" s="247">
        <v>53</v>
      </c>
      <c r="L1812" s="249" t="s">
        <v>936</v>
      </c>
      <c r="M1812" s="249" t="s">
        <v>929</v>
      </c>
      <c r="N1812" s="248">
        <v>321.11</v>
      </c>
      <c r="O1812" s="248">
        <v>1006</v>
      </c>
      <c r="P1812" s="247" t="s">
        <v>1377</v>
      </c>
      <c r="Q1812" s="247" t="s">
        <v>90</v>
      </c>
    </row>
    <row r="1813" spans="1:17" x14ac:dyDescent="0.25">
      <c r="A1813" s="247" t="s">
        <v>646</v>
      </c>
      <c r="B1813" s="247" t="s">
        <v>265</v>
      </c>
      <c r="C1813" s="247" t="s">
        <v>1343</v>
      </c>
      <c r="D1813" s="247" t="s">
        <v>711</v>
      </c>
      <c r="E1813" s="247" t="s">
        <v>1296</v>
      </c>
      <c r="F1813" s="247" t="s">
        <v>2096</v>
      </c>
      <c r="G1813" s="247" t="s">
        <v>1346</v>
      </c>
      <c r="H1813" s="247" t="s">
        <v>1989</v>
      </c>
      <c r="I1813" s="247" t="s">
        <v>2097</v>
      </c>
      <c r="J1813" s="247">
        <v>53</v>
      </c>
      <c r="K1813" s="247">
        <v>53</v>
      </c>
      <c r="L1813" s="249" t="s">
        <v>937</v>
      </c>
      <c r="M1813" s="249" t="s">
        <v>929</v>
      </c>
      <c r="N1813" s="248">
        <v>217.15</v>
      </c>
      <c r="O1813" s="248">
        <v>1223.1500000000001</v>
      </c>
      <c r="P1813" s="247" t="s">
        <v>1377</v>
      </c>
      <c r="Q1813" s="247" t="s">
        <v>91</v>
      </c>
    </row>
    <row r="1814" spans="1:17" x14ac:dyDescent="0.25">
      <c r="A1814" s="247" t="s">
        <v>646</v>
      </c>
      <c r="B1814" s="247" t="s">
        <v>265</v>
      </c>
      <c r="C1814" s="247" t="s">
        <v>1343</v>
      </c>
      <c r="D1814" s="247" t="s">
        <v>711</v>
      </c>
      <c r="E1814" s="247" t="s">
        <v>1296</v>
      </c>
      <c r="F1814" s="247" t="s">
        <v>2096</v>
      </c>
      <c r="G1814" s="247" t="s">
        <v>1346</v>
      </c>
      <c r="H1814" s="247" t="s">
        <v>1989</v>
      </c>
      <c r="I1814" s="247" t="s">
        <v>2097</v>
      </c>
      <c r="J1814" s="247">
        <v>53</v>
      </c>
      <c r="K1814" s="247">
        <v>53</v>
      </c>
      <c r="L1814" s="249" t="s">
        <v>938</v>
      </c>
      <c r="M1814" s="249" t="s">
        <v>929</v>
      </c>
      <c r="N1814" s="248">
        <v>221.95</v>
      </c>
      <c r="O1814" s="248">
        <v>1445.1</v>
      </c>
      <c r="P1814" s="247" t="s">
        <v>1377</v>
      </c>
      <c r="Q1814" s="247" t="s">
        <v>92</v>
      </c>
    </row>
    <row r="1815" spans="1:17" x14ac:dyDescent="0.25">
      <c r="A1815" s="247" t="s">
        <v>646</v>
      </c>
      <c r="B1815" s="247" t="s">
        <v>265</v>
      </c>
      <c r="C1815" s="247" t="s">
        <v>1343</v>
      </c>
      <c r="D1815" s="247" t="s">
        <v>711</v>
      </c>
      <c r="E1815" s="247" t="s">
        <v>1296</v>
      </c>
      <c r="F1815" s="247" t="s">
        <v>2096</v>
      </c>
      <c r="G1815" s="247" t="s">
        <v>1346</v>
      </c>
      <c r="H1815" s="247" t="s">
        <v>1989</v>
      </c>
      <c r="I1815" s="247" t="s">
        <v>2097</v>
      </c>
      <c r="J1815" s="247">
        <v>53</v>
      </c>
      <c r="K1815" s="247">
        <v>53</v>
      </c>
      <c r="L1815" s="249" t="s">
        <v>939</v>
      </c>
      <c r="M1815" s="249" t="s">
        <v>929</v>
      </c>
      <c r="N1815" s="248">
        <v>235.16</v>
      </c>
      <c r="O1815" s="248">
        <v>1680.26</v>
      </c>
      <c r="P1815" s="247" t="s">
        <v>1377</v>
      </c>
      <c r="Q1815" s="247" t="s">
        <v>93</v>
      </c>
    </row>
    <row r="1816" spans="1:17" x14ac:dyDescent="0.25">
      <c r="A1816" s="247" t="s">
        <v>646</v>
      </c>
      <c r="B1816" s="247" t="s">
        <v>265</v>
      </c>
      <c r="C1816" s="247" t="s">
        <v>1343</v>
      </c>
      <c r="D1816" s="247" t="s">
        <v>711</v>
      </c>
      <c r="E1816" s="247" t="s">
        <v>1296</v>
      </c>
      <c r="F1816" s="247" t="s">
        <v>2096</v>
      </c>
      <c r="G1816" s="247" t="s">
        <v>1346</v>
      </c>
      <c r="H1816" s="247" t="s">
        <v>1989</v>
      </c>
      <c r="I1816" s="247" t="s">
        <v>2097</v>
      </c>
      <c r="J1816" s="247">
        <v>53</v>
      </c>
      <c r="K1816" s="247">
        <v>53</v>
      </c>
      <c r="L1816" s="249" t="s">
        <v>940</v>
      </c>
      <c r="M1816" s="249" t="s">
        <v>929</v>
      </c>
      <c r="N1816" s="248">
        <v>238.25</v>
      </c>
      <c r="O1816" s="248">
        <v>1918.51</v>
      </c>
      <c r="P1816" s="247" t="s">
        <v>1377</v>
      </c>
      <c r="Q1816" s="247" t="s">
        <v>94</v>
      </c>
    </row>
    <row r="1817" spans="1:17" x14ac:dyDescent="0.25">
      <c r="A1817" s="247" t="s">
        <v>646</v>
      </c>
      <c r="B1817" s="247" t="s">
        <v>265</v>
      </c>
      <c r="C1817" s="247" t="s">
        <v>1343</v>
      </c>
      <c r="D1817" s="247" t="s">
        <v>711</v>
      </c>
      <c r="E1817" s="247" t="s">
        <v>1296</v>
      </c>
      <c r="F1817" s="247" t="s">
        <v>2096</v>
      </c>
      <c r="G1817" s="247" t="s">
        <v>1346</v>
      </c>
      <c r="H1817" s="247" t="s">
        <v>1989</v>
      </c>
      <c r="I1817" s="247" t="s">
        <v>2097</v>
      </c>
      <c r="J1817" s="247">
        <v>53</v>
      </c>
      <c r="K1817" s="247">
        <v>53</v>
      </c>
      <c r="L1817" s="249" t="s">
        <v>642</v>
      </c>
      <c r="M1817" s="249" t="s">
        <v>929</v>
      </c>
      <c r="N1817" s="248">
        <v>351.41</v>
      </c>
      <c r="O1817" s="248">
        <v>2269.92</v>
      </c>
      <c r="P1817" s="247" t="s">
        <v>1377</v>
      </c>
      <c r="Q1817" s="247" t="s">
        <v>95</v>
      </c>
    </row>
    <row r="1818" spans="1:17" x14ac:dyDescent="0.25">
      <c r="A1818" s="247" t="s">
        <v>646</v>
      </c>
      <c r="B1818" s="247" t="s">
        <v>265</v>
      </c>
      <c r="C1818" s="247" t="s">
        <v>1343</v>
      </c>
      <c r="D1818" s="247" t="s">
        <v>755</v>
      </c>
      <c r="E1818" s="247" t="s">
        <v>1296</v>
      </c>
      <c r="F1818" s="247" t="s">
        <v>2098</v>
      </c>
      <c r="G1818" s="247" t="s">
        <v>1348</v>
      </c>
      <c r="H1818" s="247" t="s">
        <v>1989</v>
      </c>
      <c r="I1818" s="247" t="s">
        <v>2099</v>
      </c>
      <c r="J1818" s="247">
        <v>53</v>
      </c>
      <c r="K1818" s="247">
        <v>53</v>
      </c>
      <c r="L1818" s="249" t="s">
        <v>646</v>
      </c>
      <c r="M1818" s="249" t="s">
        <v>933</v>
      </c>
      <c r="N1818" s="248">
        <v>21.5</v>
      </c>
      <c r="O1818" s="248">
        <v>86</v>
      </c>
      <c r="P1818" s="247" t="s">
        <v>1378</v>
      </c>
      <c r="Q1818" s="247" t="s">
        <v>84</v>
      </c>
    </row>
    <row r="1819" spans="1:17" x14ac:dyDescent="0.25">
      <c r="A1819" s="247" t="s">
        <v>646</v>
      </c>
      <c r="B1819" s="247" t="s">
        <v>265</v>
      </c>
      <c r="C1819" s="247" t="s">
        <v>1343</v>
      </c>
      <c r="D1819" s="247" t="s">
        <v>755</v>
      </c>
      <c r="E1819" s="247" t="s">
        <v>1296</v>
      </c>
      <c r="F1819" s="247" t="s">
        <v>2098</v>
      </c>
      <c r="G1819" s="247" t="s">
        <v>1348</v>
      </c>
      <c r="H1819" s="247" t="s">
        <v>1989</v>
      </c>
      <c r="I1819" s="247" t="s">
        <v>2099</v>
      </c>
      <c r="J1819" s="247">
        <v>53</v>
      </c>
      <c r="K1819" s="247">
        <v>53</v>
      </c>
      <c r="L1819" s="249" t="s">
        <v>650</v>
      </c>
      <c r="M1819" s="249" t="s">
        <v>933</v>
      </c>
      <c r="N1819" s="248">
        <v>21.5</v>
      </c>
      <c r="O1819" s="248">
        <v>107.5</v>
      </c>
      <c r="P1819" s="247" t="s">
        <v>1378</v>
      </c>
      <c r="Q1819" s="247" t="s">
        <v>85</v>
      </c>
    </row>
    <row r="1820" spans="1:17" x14ac:dyDescent="0.25">
      <c r="A1820" s="247" t="s">
        <v>646</v>
      </c>
      <c r="B1820" s="247" t="s">
        <v>265</v>
      </c>
      <c r="C1820" s="247" t="s">
        <v>1343</v>
      </c>
      <c r="D1820" s="247" t="s">
        <v>755</v>
      </c>
      <c r="E1820" s="247" t="s">
        <v>1296</v>
      </c>
      <c r="F1820" s="247" t="s">
        <v>2098</v>
      </c>
      <c r="G1820" s="247" t="s">
        <v>1348</v>
      </c>
      <c r="H1820" s="247" t="s">
        <v>1989</v>
      </c>
      <c r="I1820" s="247" t="s">
        <v>2099</v>
      </c>
      <c r="J1820" s="247">
        <v>53</v>
      </c>
      <c r="K1820" s="247">
        <v>53</v>
      </c>
      <c r="L1820" s="249" t="s">
        <v>652</v>
      </c>
      <c r="M1820" s="249" t="s">
        <v>933</v>
      </c>
      <c r="N1820" s="248">
        <v>21.5</v>
      </c>
      <c r="O1820" s="248">
        <v>129</v>
      </c>
      <c r="P1820" s="247" t="s">
        <v>1378</v>
      </c>
      <c r="Q1820" s="247" t="s">
        <v>86</v>
      </c>
    </row>
    <row r="1821" spans="1:17" x14ac:dyDescent="0.25">
      <c r="A1821" s="247" t="s">
        <v>646</v>
      </c>
      <c r="B1821" s="247" t="s">
        <v>265</v>
      </c>
      <c r="C1821" s="247" t="s">
        <v>1343</v>
      </c>
      <c r="D1821" s="247" t="s">
        <v>755</v>
      </c>
      <c r="E1821" s="247" t="s">
        <v>1296</v>
      </c>
      <c r="F1821" s="247" t="s">
        <v>2098</v>
      </c>
      <c r="G1821" s="247" t="s">
        <v>1348</v>
      </c>
      <c r="H1821" s="247" t="s">
        <v>1989</v>
      </c>
      <c r="I1821" s="247" t="s">
        <v>2099</v>
      </c>
      <c r="J1821" s="247">
        <v>53</v>
      </c>
      <c r="K1821" s="247">
        <v>53</v>
      </c>
      <c r="L1821" s="249" t="s">
        <v>789</v>
      </c>
      <c r="M1821" s="249" t="s">
        <v>929</v>
      </c>
      <c r="N1821" s="248">
        <v>21.5</v>
      </c>
      <c r="O1821" s="248">
        <v>21.5</v>
      </c>
      <c r="P1821" s="247" t="s">
        <v>1378</v>
      </c>
      <c r="Q1821" s="247" t="s">
        <v>87</v>
      </c>
    </row>
    <row r="1822" spans="1:17" x14ac:dyDescent="0.25">
      <c r="A1822" s="247" t="s">
        <v>646</v>
      </c>
      <c r="B1822" s="247" t="s">
        <v>265</v>
      </c>
      <c r="C1822" s="247" t="s">
        <v>1343</v>
      </c>
      <c r="D1822" s="247" t="s">
        <v>755</v>
      </c>
      <c r="E1822" s="247" t="s">
        <v>1296</v>
      </c>
      <c r="F1822" s="247" t="s">
        <v>2098</v>
      </c>
      <c r="G1822" s="247" t="s">
        <v>1348</v>
      </c>
      <c r="H1822" s="247" t="s">
        <v>1989</v>
      </c>
      <c r="I1822" s="247" t="s">
        <v>2099</v>
      </c>
      <c r="J1822" s="247">
        <v>53</v>
      </c>
      <c r="K1822" s="247">
        <v>53</v>
      </c>
      <c r="L1822" s="249" t="s">
        <v>791</v>
      </c>
      <c r="M1822" s="249" t="s">
        <v>929</v>
      </c>
      <c r="N1822" s="248">
        <v>21.5</v>
      </c>
      <c r="O1822" s="248">
        <v>43</v>
      </c>
      <c r="P1822" s="247" t="s">
        <v>1378</v>
      </c>
      <c r="Q1822" s="247" t="s">
        <v>88</v>
      </c>
    </row>
    <row r="1823" spans="1:17" x14ac:dyDescent="0.25">
      <c r="A1823" s="247" t="s">
        <v>646</v>
      </c>
      <c r="B1823" s="247" t="s">
        <v>265</v>
      </c>
      <c r="C1823" s="247" t="s">
        <v>1343</v>
      </c>
      <c r="D1823" s="247" t="s">
        <v>755</v>
      </c>
      <c r="E1823" s="247" t="s">
        <v>1296</v>
      </c>
      <c r="F1823" s="247" t="s">
        <v>2098</v>
      </c>
      <c r="G1823" s="247" t="s">
        <v>1348</v>
      </c>
      <c r="H1823" s="247" t="s">
        <v>1989</v>
      </c>
      <c r="I1823" s="247" t="s">
        <v>2099</v>
      </c>
      <c r="J1823" s="247">
        <v>53</v>
      </c>
      <c r="K1823" s="247">
        <v>53</v>
      </c>
      <c r="L1823" s="249" t="s">
        <v>935</v>
      </c>
      <c r="M1823" s="249" t="s">
        <v>929</v>
      </c>
      <c r="N1823" s="248">
        <v>21.5</v>
      </c>
      <c r="O1823" s="248">
        <v>64.5</v>
      </c>
      <c r="P1823" s="247" t="s">
        <v>1378</v>
      </c>
      <c r="Q1823" s="247" t="s">
        <v>89</v>
      </c>
    </row>
    <row r="1824" spans="1:17" x14ac:dyDescent="0.25">
      <c r="A1824" s="247" t="s">
        <v>646</v>
      </c>
      <c r="B1824" s="247" t="s">
        <v>265</v>
      </c>
      <c r="C1824" s="247" t="s">
        <v>1343</v>
      </c>
      <c r="D1824" s="247" t="s">
        <v>755</v>
      </c>
      <c r="E1824" s="247" t="s">
        <v>1296</v>
      </c>
      <c r="F1824" s="247" t="s">
        <v>2098</v>
      </c>
      <c r="G1824" s="247" t="s">
        <v>1348</v>
      </c>
      <c r="H1824" s="247" t="s">
        <v>1989</v>
      </c>
      <c r="I1824" s="247" t="s">
        <v>2099</v>
      </c>
      <c r="J1824" s="247">
        <v>53</v>
      </c>
      <c r="K1824" s="247">
        <v>53</v>
      </c>
      <c r="L1824" s="249" t="s">
        <v>936</v>
      </c>
      <c r="M1824" s="249" t="s">
        <v>929</v>
      </c>
      <c r="N1824" s="248">
        <v>21.5</v>
      </c>
      <c r="O1824" s="248">
        <v>86</v>
      </c>
      <c r="P1824" s="247" t="s">
        <v>1378</v>
      </c>
      <c r="Q1824" s="247" t="s">
        <v>90</v>
      </c>
    </row>
    <row r="1825" spans="1:17" x14ac:dyDescent="0.25">
      <c r="A1825" s="247" t="s">
        <v>646</v>
      </c>
      <c r="B1825" s="247" t="s">
        <v>265</v>
      </c>
      <c r="C1825" s="247" t="s">
        <v>1343</v>
      </c>
      <c r="D1825" s="247" t="s">
        <v>755</v>
      </c>
      <c r="E1825" s="247" t="s">
        <v>1296</v>
      </c>
      <c r="F1825" s="247" t="s">
        <v>2098</v>
      </c>
      <c r="G1825" s="247" t="s">
        <v>1348</v>
      </c>
      <c r="H1825" s="247" t="s">
        <v>1989</v>
      </c>
      <c r="I1825" s="247" t="s">
        <v>2099</v>
      </c>
      <c r="J1825" s="247">
        <v>53</v>
      </c>
      <c r="K1825" s="247">
        <v>53</v>
      </c>
      <c r="L1825" s="249" t="s">
        <v>937</v>
      </c>
      <c r="M1825" s="249" t="s">
        <v>929</v>
      </c>
      <c r="N1825" s="248">
        <v>21.5</v>
      </c>
      <c r="O1825" s="248">
        <v>107.5</v>
      </c>
      <c r="P1825" s="247" t="s">
        <v>1378</v>
      </c>
      <c r="Q1825" s="247" t="s">
        <v>91</v>
      </c>
    </row>
    <row r="1826" spans="1:17" x14ac:dyDescent="0.25">
      <c r="A1826" s="247" t="s">
        <v>646</v>
      </c>
      <c r="B1826" s="247" t="s">
        <v>265</v>
      </c>
      <c r="C1826" s="247" t="s">
        <v>1343</v>
      </c>
      <c r="D1826" s="247" t="s">
        <v>755</v>
      </c>
      <c r="E1826" s="247" t="s">
        <v>1296</v>
      </c>
      <c r="F1826" s="247" t="s">
        <v>2098</v>
      </c>
      <c r="G1826" s="247" t="s">
        <v>1348</v>
      </c>
      <c r="H1826" s="247" t="s">
        <v>1989</v>
      </c>
      <c r="I1826" s="247" t="s">
        <v>2099</v>
      </c>
      <c r="J1826" s="247">
        <v>53</v>
      </c>
      <c r="K1826" s="247">
        <v>53</v>
      </c>
      <c r="L1826" s="249" t="s">
        <v>938</v>
      </c>
      <c r="M1826" s="249" t="s">
        <v>929</v>
      </c>
      <c r="N1826" s="248">
        <v>21.5</v>
      </c>
      <c r="O1826" s="248">
        <v>129</v>
      </c>
      <c r="P1826" s="247" t="s">
        <v>1378</v>
      </c>
      <c r="Q1826" s="247" t="s">
        <v>92</v>
      </c>
    </row>
    <row r="1827" spans="1:17" x14ac:dyDescent="0.25">
      <c r="A1827" s="247" t="s">
        <v>646</v>
      </c>
      <c r="B1827" s="247" t="s">
        <v>265</v>
      </c>
      <c r="C1827" s="247" t="s">
        <v>1343</v>
      </c>
      <c r="D1827" s="247" t="s">
        <v>755</v>
      </c>
      <c r="E1827" s="247" t="s">
        <v>1296</v>
      </c>
      <c r="F1827" s="247" t="s">
        <v>2098</v>
      </c>
      <c r="G1827" s="247" t="s">
        <v>1348</v>
      </c>
      <c r="H1827" s="247" t="s">
        <v>1989</v>
      </c>
      <c r="I1827" s="247" t="s">
        <v>2099</v>
      </c>
      <c r="J1827" s="247">
        <v>53</v>
      </c>
      <c r="K1827" s="247">
        <v>53</v>
      </c>
      <c r="L1827" s="249" t="s">
        <v>939</v>
      </c>
      <c r="M1827" s="249" t="s">
        <v>929</v>
      </c>
      <c r="N1827" s="248">
        <v>21.5</v>
      </c>
      <c r="O1827" s="248">
        <v>150.5</v>
      </c>
      <c r="P1827" s="247" t="s">
        <v>1378</v>
      </c>
      <c r="Q1827" s="247" t="s">
        <v>93</v>
      </c>
    </row>
    <row r="1828" spans="1:17" x14ac:dyDescent="0.25">
      <c r="A1828" s="247" t="s">
        <v>646</v>
      </c>
      <c r="B1828" s="247" t="s">
        <v>265</v>
      </c>
      <c r="C1828" s="247" t="s">
        <v>1343</v>
      </c>
      <c r="D1828" s="247" t="s">
        <v>755</v>
      </c>
      <c r="E1828" s="247" t="s">
        <v>1296</v>
      </c>
      <c r="F1828" s="247" t="s">
        <v>2098</v>
      </c>
      <c r="G1828" s="247" t="s">
        <v>1348</v>
      </c>
      <c r="H1828" s="247" t="s">
        <v>1989</v>
      </c>
      <c r="I1828" s="247" t="s">
        <v>2099</v>
      </c>
      <c r="J1828" s="247">
        <v>53</v>
      </c>
      <c r="K1828" s="247">
        <v>53</v>
      </c>
      <c r="L1828" s="249" t="s">
        <v>940</v>
      </c>
      <c r="M1828" s="249" t="s">
        <v>929</v>
      </c>
      <c r="N1828" s="248">
        <v>21.5</v>
      </c>
      <c r="O1828" s="248">
        <v>172</v>
      </c>
      <c r="P1828" s="247" t="s">
        <v>1378</v>
      </c>
      <c r="Q1828" s="247" t="s">
        <v>94</v>
      </c>
    </row>
    <row r="1829" spans="1:17" x14ac:dyDescent="0.25">
      <c r="A1829" s="247" t="s">
        <v>646</v>
      </c>
      <c r="B1829" s="247" t="s">
        <v>265</v>
      </c>
      <c r="C1829" s="247" t="s">
        <v>1343</v>
      </c>
      <c r="D1829" s="247" t="s">
        <v>755</v>
      </c>
      <c r="E1829" s="247" t="s">
        <v>1296</v>
      </c>
      <c r="F1829" s="247" t="s">
        <v>2098</v>
      </c>
      <c r="G1829" s="247" t="s">
        <v>1348</v>
      </c>
      <c r="H1829" s="247" t="s">
        <v>1989</v>
      </c>
      <c r="I1829" s="247" t="s">
        <v>2099</v>
      </c>
      <c r="J1829" s="247">
        <v>53</v>
      </c>
      <c r="K1829" s="247">
        <v>53</v>
      </c>
      <c r="L1829" s="249" t="s">
        <v>642</v>
      </c>
      <c r="M1829" s="249" t="s">
        <v>929</v>
      </c>
      <c r="N1829" s="248">
        <v>21.5</v>
      </c>
      <c r="O1829" s="248">
        <v>193.5</v>
      </c>
      <c r="P1829" s="247" t="s">
        <v>1378</v>
      </c>
      <c r="Q1829" s="247" t="s">
        <v>95</v>
      </c>
    </row>
    <row r="1830" spans="1:17" x14ac:dyDescent="0.25">
      <c r="A1830" s="247" t="s">
        <v>646</v>
      </c>
      <c r="B1830" s="247" t="s">
        <v>265</v>
      </c>
      <c r="C1830" s="247" t="s">
        <v>1343</v>
      </c>
      <c r="D1830" s="247" t="s">
        <v>823</v>
      </c>
      <c r="E1830" s="247" t="s">
        <v>1296</v>
      </c>
      <c r="F1830" s="247" t="s">
        <v>2100</v>
      </c>
      <c r="G1830" s="247" t="s">
        <v>1350</v>
      </c>
      <c r="H1830" s="247" t="s">
        <v>1989</v>
      </c>
      <c r="I1830" s="247" t="s">
        <v>2101</v>
      </c>
      <c r="J1830" s="247">
        <v>51</v>
      </c>
      <c r="K1830" s="247">
        <v>51</v>
      </c>
      <c r="L1830" s="249" t="s">
        <v>646</v>
      </c>
      <c r="M1830" s="249" t="s">
        <v>933</v>
      </c>
      <c r="N1830" s="248">
        <v>180.8</v>
      </c>
      <c r="O1830" s="248">
        <v>180.8</v>
      </c>
      <c r="P1830" s="247" t="s">
        <v>1379</v>
      </c>
      <c r="Q1830" s="247" t="s">
        <v>84</v>
      </c>
    </row>
    <row r="1831" spans="1:17" x14ac:dyDescent="0.25">
      <c r="A1831" s="247" t="s">
        <v>646</v>
      </c>
      <c r="B1831" s="247" t="s">
        <v>265</v>
      </c>
      <c r="C1831" s="247" t="s">
        <v>1343</v>
      </c>
      <c r="D1831" s="247" t="s">
        <v>823</v>
      </c>
      <c r="E1831" s="247" t="s">
        <v>1296</v>
      </c>
      <c r="F1831" s="247" t="s">
        <v>2100</v>
      </c>
      <c r="G1831" s="247" t="s">
        <v>1350</v>
      </c>
      <c r="H1831" s="247" t="s">
        <v>1989</v>
      </c>
      <c r="I1831" s="247" t="s">
        <v>2101</v>
      </c>
      <c r="J1831" s="247">
        <v>51</v>
      </c>
      <c r="K1831" s="247">
        <v>51</v>
      </c>
      <c r="L1831" s="249" t="s">
        <v>650</v>
      </c>
      <c r="M1831" s="249" t="s">
        <v>933</v>
      </c>
      <c r="N1831" s="248">
        <v>0</v>
      </c>
      <c r="O1831" s="248">
        <v>180.8</v>
      </c>
      <c r="P1831" s="247" t="s">
        <v>1379</v>
      </c>
      <c r="Q1831" s="247" t="s">
        <v>85</v>
      </c>
    </row>
    <row r="1832" spans="1:17" x14ac:dyDescent="0.25">
      <c r="A1832" s="247" t="s">
        <v>646</v>
      </c>
      <c r="B1832" s="247" t="s">
        <v>265</v>
      </c>
      <c r="C1832" s="247" t="s">
        <v>1343</v>
      </c>
      <c r="D1832" s="247" t="s">
        <v>823</v>
      </c>
      <c r="E1832" s="247" t="s">
        <v>1296</v>
      </c>
      <c r="F1832" s="247" t="s">
        <v>2100</v>
      </c>
      <c r="G1832" s="247" t="s">
        <v>1350</v>
      </c>
      <c r="H1832" s="247" t="s">
        <v>1989</v>
      </c>
      <c r="I1832" s="247" t="s">
        <v>2101</v>
      </c>
      <c r="J1832" s="247">
        <v>51</v>
      </c>
      <c r="K1832" s="247">
        <v>51</v>
      </c>
      <c r="L1832" s="249" t="s">
        <v>652</v>
      </c>
      <c r="M1832" s="249" t="s">
        <v>933</v>
      </c>
      <c r="N1832" s="248">
        <v>904</v>
      </c>
      <c r="O1832" s="248">
        <v>1084.8</v>
      </c>
      <c r="P1832" s="247" t="s">
        <v>1379</v>
      </c>
      <c r="Q1832" s="247" t="s">
        <v>86</v>
      </c>
    </row>
    <row r="1833" spans="1:17" x14ac:dyDescent="0.25">
      <c r="A1833" s="247" t="s">
        <v>646</v>
      </c>
      <c r="B1833" s="247" t="s">
        <v>265</v>
      </c>
      <c r="C1833" s="247" t="s">
        <v>1343</v>
      </c>
      <c r="D1833" s="247" t="s">
        <v>823</v>
      </c>
      <c r="E1833" s="247" t="s">
        <v>1296</v>
      </c>
      <c r="F1833" s="247" t="s">
        <v>2100</v>
      </c>
      <c r="G1833" s="247" t="s">
        <v>1350</v>
      </c>
      <c r="H1833" s="247" t="s">
        <v>1989</v>
      </c>
      <c r="I1833" s="247" t="s">
        <v>2101</v>
      </c>
      <c r="J1833" s="247">
        <v>51</v>
      </c>
      <c r="K1833" s="247">
        <v>51</v>
      </c>
      <c r="L1833" s="249" t="s">
        <v>789</v>
      </c>
      <c r="M1833" s="249" t="s">
        <v>929</v>
      </c>
      <c r="N1833" s="248">
        <v>330.53</v>
      </c>
      <c r="O1833" s="248">
        <v>330.53</v>
      </c>
      <c r="P1833" s="247" t="s">
        <v>1379</v>
      </c>
      <c r="Q1833" s="247" t="s">
        <v>87</v>
      </c>
    </row>
    <row r="1834" spans="1:17" x14ac:dyDescent="0.25">
      <c r="A1834" s="247" t="s">
        <v>646</v>
      </c>
      <c r="B1834" s="247" t="s">
        <v>265</v>
      </c>
      <c r="C1834" s="247" t="s">
        <v>1343</v>
      </c>
      <c r="D1834" s="247" t="s">
        <v>823</v>
      </c>
      <c r="E1834" s="247" t="s">
        <v>1296</v>
      </c>
      <c r="F1834" s="247" t="s">
        <v>2100</v>
      </c>
      <c r="G1834" s="247" t="s">
        <v>1350</v>
      </c>
      <c r="H1834" s="247" t="s">
        <v>1989</v>
      </c>
      <c r="I1834" s="247" t="s">
        <v>2101</v>
      </c>
      <c r="J1834" s="247">
        <v>51</v>
      </c>
      <c r="K1834" s="247">
        <v>51</v>
      </c>
      <c r="L1834" s="249" t="s">
        <v>791</v>
      </c>
      <c r="M1834" s="249" t="s">
        <v>929</v>
      </c>
      <c r="N1834" s="248">
        <v>330.53</v>
      </c>
      <c r="O1834" s="248">
        <v>661.06</v>
      </c>
      <c r="P1834" s="247" t="s">
        <v>1379</v>
      </c>
      <c r="Q1834" s="247" t="s">
        <v>88</v>
      </c>
    </row>
    <row r="1835" spans="1:17" x14ac:dyDescent="0.25">
      <c r="A1835" s="247" t="s">
        <v>646</v>
      </c>
      <c r="B1835" s="247" t="s">
        <v>265</v>
      </c>
      <c r="C1835" s="247" t="s">
        <v>1343</v>
      </c>
      <c r="D1835" s="247" t="s">
        <v>823</v>
      </c>
      <c r="E1835" s="247" t="s">
        <v>1296</v>
      </c>
      <c r="F1835" s="247" t="s">
        <v>2100</v>
      </c>
      <c r="G1835" s="247" t="s">
        <v>1350</v>
      </c>
      <c r="H1835" s="247" t="s">
        <v>1989</v>
      </c>
      <c r="I1835" s="247" t="s">
        <v>2101</v>
      </c>
      <c r="J1835" s="247">
        <v>51</v>
      </c>
      <c r="K1835" s="247">
        <v>51</v>
      </c>
      <c r="L1835" s="249" t="s">
        <v>935</v>
      </c>
      <c r="M1835" s="249" t="s">
        <v>929</v>
      </c>
      <c r="N1835" s="248">
        <v>330.53</v>
      </c>
      <c r="O1835" s="248">
        <v>991.59</v>
      </c>
      <c r="P1835" s="247" t="s">
        <v>1379</v>
      </c>
      <c r="Q1835" s="247" t="s">
        <v>89</v>
      </c>
    </row>
    <row r="1836" spans="1:17" x14ac:dyDescent="0.25">
      <c r="A1836" s="247" t="s">
        <v>646</v>
      </c>
      <c r="B1836" s="247" t="s">
        <v>265</v>
      </c>
      <c r="C1836" s="247" t="s">
        <v>1343</v>
      </c>
      <c r="D1836" s="247" t="s">
        <v>823</v>
      </c>
      <c r="E1836" s="247" t="s">
        <v>1296</v>
      </c>
      <c r="F1836" s="247" t="s">
        <v>2100</v>
      </c>
      <c r="G1836" s="247" t="s">
        <v>1350</v>
      </c>
      <c r="H1836" s="247" t="s">
        <v>1989</v>
      </c>
      <c r="I1836" s="247" t="s">
        <v>2101</v>
      </c>
      <c r="J1836" s="247">
        <v>51</v>
      </c>
      <c r="K1836" s="247">
        <v>51</v>
      </c>
      <c r="L1836" s="249" t="s">
        <v>936</v>
      </c>
      <c r="M1836" s="249" t="s">
        <v>929</v>
      </c>
      <c r="N1836" s="248">
        <v>330.53</v>
      </c>
      <c r="O1836" s="248">
        <v>1322.12</v>
      </c>
      <c r="P1836" s="247" t="s">
        <v>1379</v>
      </c>
      <c r="Q1836" s="247" t="s">
        <v>90</v>
      </c>
    </row>
    <row r="1837" spans="1:17" x14ac:dyDescent="0.25">
      <c r="A1837" s="247" t="s">
        <v>646</v>
      </c>
      <c r="B1837" s="247" t="s">
        <v>265</v>
      </c>
      <c r="C1837" s="247" t="s">
        <v>1343</v>
      </c>
      <c r="D1837" s="247" t="s">
        <v>823</v>
      </c>
      <c r="E1837" s="247" t="s">
        <v>1296</v>
      </c>
      <c r="F1837" s="247" t="s">
        <v>2100</v>
      </c>
      <c r="G1837" s="247" t="s">
        <v>1350</v>
      </c>
      <c r="H1837" s="247" t="s">
        <v>1989</v>
      </c>
      <c r="I1837" s="247" t="s">
        <v>2101</v>
      </c>
      <c r="J1837" s="247">
        <v>51</v>
      </c>
      <c r="K1837" s="247">
        <v>51</v>
      </c>
      <c r="L1837" s="249" t="s">
        <v>937</v>
      </c>
      <c r="M1837" s="249" t="s">
        <v>929</v>
      </c>
      <c r="N1837" s="248">
        <v>330.53</v>
      </c>
      <c r="O1837" s="248">
        <v>1652.65</v>
      </c>
      <c r="P1837" s="247" t="s">
        <v>1379</v>
      </c>
      <c r="Q1837" s="247" t="s">
        <v>91</v>
      </c>
    </row>
    <row r="1838" spans="1:17" x14ac:dyDescent="0.25">
      <c r="A1838" s="247" t="s">
        <v>646</v>
      </c>
      <c r="B1838" s="247" t="s">
        <v>265</v>
      </c>
      <c r="C1838" s="247" t="s">
        <v>1343</v>
      </c>
      <c r="D1838" s="247" t="s">
        <v>823</v>
      </c>
      <c r="E1838" s="247" t="s">
        <v>1296</v>
      </c>
      <c r="F1838" s="247" t="s">
        <v>2100</v>
      </c>
      <c r="G1838" s="247" t="s">
        <v>1350</v>
      </c>
      <c r="H1838" s="247" t="s">
        <v>1989</v>
      </c>
      <c r="I1838" s="247" t="s">
        <v>2101</v>
      </c>
      <c r="J1838" s="247">
        <v>51</v>
      </c>
      <c r="K1838" s="247">
        <v>51</v>
      </c>
      <c r="L1838" s="249" t="s">
        <v>938</v>
      </c>
      <c r="M1838" s="249" t="s">
        <v>929</v>
      </c>
      <c r="N1838" s="248">
        <v>330.53</v>
      </c>
      <c r="O1838" s="248">
        <v>1983.18</v>
      </c>
      <c r="P1838" s="247" t="s">
        <v>1379</v>
      </c>
      <c r="Q1838" s="247" t="s">
        <v>92</v>
      </c>
    </row>
    <row r="1839" spans="1:17" x14ac:dyDescent="0.25">
      <c r="A1839" s="247" t="s">
        <v>646</v>
      </c>
      <c r="B1839" s="247" t="s">
        <v>265</v>
      </c>
      <c r="C1839" s="247" t="s">
        <v>1343</v>
      </c>
      <c r="D1839" s="247" t="s">
        <v>823</v>
      </c>
      <c r="E1839" s="247" t="s">
        <v>1296</v>
      </c>
      <c r="F1839" s="247" t="s">
        <v>2100</v>
      </c>
      <c r="G1839" s="247" t="s">
        <v>1350</v>
      </c>
      <c r="H1839" s="247" t="s">
        <v>1989</v>
      </c>
      <c r="I1839" s="247" t="s">
        <v>2101</v>
      </c>
      <c r="J1839" s="247">
        <v>51</v>
      </c>
      <c r="K1839" s="247">
        <v>51</v>
      </c>
      <c r="L1839" s="249" t="s">
        <v>939</v>
      </c>
      <c r="M1839" s="249" t="s">
        <v>929</v>
      </c>
      <c r="N1839" s="248">
        <v>330.53</v>
      </c>
      <c r="O1839" s="248">
        <v>2313.71</v>
      </c>
      <c r="P1839" s="247" t="s">
        <v>1379</v>
      </c>
      <c r="Q1839" s="247" t="s">
        <v>93</v>
      </c>
    </row>
    <row r="1840" spans="1:17" x14ac:dyDescent="0.25">
      <c r="A1840" s="247" t="s">
        <v>646</v>
      </c>
      <c r="B1840" s="247" t="s">
        <v>265</v>
      </c>
      <c r="C1840" s="247" t="s">
        <v>1343</v>
      </c>
      <c r="D1840" s="247" t="s">
        <v>823</v>
      </c>
      <c r="E1840" s="247" t="s">
        <v>1296</v>
      </c>
      <c r="F1840" s="247" t="s">
        <v>2100</v>
      </c>
      <c r="G1840" s="247" t="s">
        <v>1350</v>
      </c>
      <c r="H1840" s="247" t="s">
        <v>1989</v>
      </c>
      <c r="I1840" s="247" t="s">
        <v>2101</v>
      </c>
      <c r="J1840" s="247">
        <v>51</v>
      </c>
      <c r="K1840" s="247">
        <v>51</v>
      </c>
      <c r="L1840" s="249" t="s">
        <v>940</v>
      </c>
      <c r="M1840" s="249" t="s">
        <v>929</v>
      </c>
      <c r="N1840" s="248">
        <v>330.53</v>
      </c>
      <c r="O1840" s="248">
        <v>2644.24</v>
      </c>
      <c r="P1840" s="247" t="s">
        <v>1379</v>
      </c>
      <c r="Q1840" s="247" t="s">
        <v>94</v>
      </c>
    </row>
    <row r="1841" spans="1:17" x14ac:dyDescent="0.25">
      <c r="A1841" s="247" t="s">
        <v>646</v>
      </c>
      <c r="B1841" s="247" t="s">
        <v>265</v>
      </c>
      <c r="C1841" s="247" t="s">
        <v>1343</v>
      </c>
      <c r="D1841" s="247" t="s">
        <v>823</v>
      </c>
      <c r="E1841" s="247" t="s">
        <v>1296</v>
      </c>
      <c r="F1841" s="247" t="s">
        <v>2100</v>
      </c>
      <c r="G1841" s="247" t="s">
        <v>1350</v>
      </c>
      <c r="H1841" s="247" t="s">
        <v>1989</v>
      </c>
      <c r="I1841" s="247" t="s">
        <v>2101</v>
      </c>
      <c r="J1841" s="247">
        <v>51</v>
      </c>
      <c r="K1841" s="247">
        <v>51</v>
      </c>
      <c r="L1841" s="249" t="s">
        <v>642</v>
      </c>
      <c r="M1841" s="249" t="s">
        <v>929</v>
      </c>
      <c r="N1841" s="248">
        <v>330.53</v>
      </c>
      <c r="O1841" s="248">
        <v>2974.77</v>
      </c>
      <c r="P1841" s="247" t="s">
        <v>1379</v>
      </c>
      <c r="Q1841" s="247" t="s">
        <v>95</v>
      </c>
    </row>
    <row r="1842" spans="1:17" x14ac:dyDescent="0.25">
      <c r="A1842" s="247" t="s">
        <v>646</v>
      </c>
      <c r="B1842" s="247" t="s">
        <v>265</v>
      </c>
      <c r="C1842" s="247" t="s">
        <v>1343</v>
      </c>
      <c r="D1842" s="247" t="s">
        <v>569</v>
      </c>
      <c r="E1842" s="247" t="s">
        <v>1296</v>
      </c>
      <c r="F1842" s="247" t="s">
        <v>2102</v>
      </c>
      <c r="G1842" s="247" t="s">
        <v>1352</v>
      </c>
      <c r="H1842" s="247" t="s">
        <v>1989</v>
      </c>
      <c r="I1842" s="247" t="s">
        <v>2103</v>
      </c>
      <c r="J1842" s="247">
        <v>55</v>
      </c>
      <c r="K1842" s="247">
        <v>55</v>
      </c>
      <c r="L1842" s="249" t="s">
        <v>646</v>
      </c>
      <c r="M1842" s="249" t="s">
        <v>933</v>
      </c>
      <c r="N1842" s="248">
        <v>392.72</v>
      </c>
      <c r="O1842" s="248">
        <v>549.25</v>
      </c>
      <c r="P1842" s="247" t="s">
        <v>1380</v>
      </c>
      <c r="Q1842" s="247" t="s">
        <v>84</v>
      </c>
    </row>
    <row r="1843" spans="1:17" x14ac:dyDescent="0.25">
      <c r="A1843" s="247" t="s">
        <v>646</v>
      </c>
      <c r="B1843" s="247" t="s">
        <v>265</v>
      </c>
      <c r="C1843" s="247" t="s">
        <v>1343</v>
      </c>
      <c r="D1843" s="247" t="s">
        <v>569</v>
      </c>
      <c r="E1843" s="247" t="s">
        <v>1296</v>
      </c>
      <c r="F1843" s="247" t="s">
        <v>2102</v>
      </c>
      <c r="G1843" s="247" t="s">
        <v>1352</v>
      </c>
      <c r="H1843" s="247" t="s">
        <v>1989</v>
      </c>
      <c r="I1843" s="247" t="s">
        <v>2103</v>
      </c>
      <c r="J1843" s="247">
        <v>55</v>
      </c>
      <c r="K1843" s="247">
        <v>55</v>
      </c>
      <c r="L1843" s="249" t="s">
        <v>650</v>
      </c>
      <c r="M1843" s="249" t="s">
        <v>933</v>
      </c>
      <c r="N1843" s="248">
        <v>265.2</v>
      </c>
      <c r="O1843" s="248">
        <v>814.45</v>
      </c>
      <c r="P1843" s="247" t="s">
        <v>1380</v>
      </c>
      <c r="Q1843" s="247" t="s">
        <v>85</v>
      </c>
    </row>
    <row r="1844" spans="1:17" x14ac:dyDescent="0.25">
      <c r="A1844" s="247" t="s">
        <v>646</v>
      </c>
      <c r="B1844" s="247" t="s">
        <v>265</v>
      </c>
      <c r="C1844" s="247" t="s">
        <v>1343</v>
      </c>
      <c r="D1844" s="247" t="s">
        <v>569</v>
      </c>
      <c r="E1844" s="247" t="s">
        <v>1296</v>
      </c>
      <c r="F1844" s="247" t="s">
        <v>2102</v>
      </c>
      <c r="G1844" s="247" t="s">
        <v>1352</v>
      </c>
      <c r="H1844" s="247" t="s">
        <v>1989</v>
      </c>
      <c r="I1844" s="247" t="s">
        <v>2103</v>
      </c>
      <c r="J1844" s="247">
        <v>55</v>
      </c>
      <c r="K1844" s="247">
        <v>55</v>
      </c>
      <c r="L1844" s="249" t="s">
        <v>652</v>
      </c>
      <c r="M1844" s="249" t="s">
        <v>933</v>
      </c>
      <c r="N1844" s="248">
        <v>246</v>
      </c>
      <c r="O1844" s="248">
        <v>1060.45</v>
      </c>
      <c r="P1844" s="247" t="s">
        <v>1380</v>
      </c>
      <c r="Q1844" s="247" t="s">
        <v>86</v>
      </c>
    </row>
    <row r="1845" spans="1:17" x14ac:dyDescent="0.25">
      <c r="A1845" s="247" t="s">
        <v>646</v>
      </c>
      <c r="B1845" s="247" t="s">
        <v>265</v>
      </c>
      <c r="C1845" s="247" t="s">
        <v>1343</v>
      </c>
      <c r="D1845" s="247" t="s">
        <v>569</v>
      </c>
      <c r="E1845" s="247" t="s">
        <v>1296</v>
      </c>
      <c r="F1845" s="247" t="s">
        <v>2102</v>
      </c>
      <c r="G1845" s="247" t="s">
        <v>1352</v>
      </c>
      <c r="H1845" s="247" t="s">
        <v>1989</v>
      </c>
      <c r="I1845" s="247" t="s">
        <v>2103</v>
      </c>
      <c r="J1845" s="247">
        <v>55</v>
      </c>
      <c r="K1845" s="247">
        <v>55</v>
      </c>
      <c r="L1845" s="249" t="s">
        <v>789</v>
      </c>
      <c r="M1845" s="249" t="s">
        <v>929</v>
      </c>
      <c r="N1845" s="248">
        <v>313.57</v>
      </c>
      <c r="O1845" s="248">
        <v>313.57</v>
      </c>
      <c r="P1845" s="247" t="s">
        <v>1380</v>
      </c>
      <c r="Q1845" s="247" t="s">
        <v>87</v>
      </c>
    </row>
    <row r="1846" spans="1:17" x14ac:dyDescent="0.25">
      <c r="A1846" s="247" t="s">
        <v>646</v>
      </c>
      <c r="B1846" s="247" t="s">
        <v>265</v>
      </c>
      <c r="C1846" s="247" t="s">
        <v>1343</v>
      </c>
      <c r="D1846" s="247" t="s">
        <v>569</v>
      </c>
      <c r="E1846" s="247" t="s">
        <v>1296</v>
      </c>
      <c r="F1846" s="247" t="s">
        <v>2102</v>
      </c>
      <c r="G1846" s="247" t="s">
        <v>1352</v>
      </c>
      <c r="H1846" s="247" t="s">
        <v>1989</v>
      </c>
      <c r="I1846" s="247" t="s">
        <v>2103</v>
      </c>
      <c r="J1846" s="247">
        <v>55</v>
      </c>
      <c r="K1846" s="247">
        <v>55</v>
      </c>
      <c r="L1846" s="249" t="s">
        <v>791</v>
      </c>
      <c r="M1846" s="249" t="s">
        <v>929</v>
      </c>
      <c r="N1846" s="248">
        <v>268.51</v>
      </c>
      <c r="O1846" s="248">
        <v>582.08000000000004</v>
      </c>
      <c r="P1846" s="247" t="s">
        <v>1380</v>
      </c>
      <c r="Q1846" s="247" t="s">
        <v>88</v>
      </c>
    </row>
    <row r="1847" spans="1:17" x14ac:dyDescent="0.25">
      <c r="A1847" s="247" t="s">
        <v>646</v>
      </c>
      <c r="B1847" s="247" t="s">
        <v>265</v>
      </c>
      <c r="C1847" s="247" t="s">
        <v>1343</v>
      </c>
      <c r="D1847" s="247" t="s">
        <v>569</v>
      </c>
      <c r="E1847" s="247" t="s">
        <v>1296</v>
      </c>
      <c r="F1847" s="247" t="s">
        <v>2102</v>
      </c>
      <c r="G1847" s="247" t="s">
        <v>1352</v>
      </c>
      <c r="H1847" s="247" t="s">
        <v>1989</v>
      </c>
      <c r="I1847" s="247" t="s">
        <v>2103</v>
      </c>
      <c r="J1847" s="247">
        <v>55</v>
      </c>
      <c r="K1847" s="247">
        <v>55</v>
      </c>
      <c r="L1847" s="249" t="s">
        <v>935</v>
      </c>
      <c r="M1847" s="249" t="s">
        <v>929</v>
      </c>
      <c r="N1847" s="248">
        <v>267.17</v>
      </c>
      <c r="O1847" s="248">
        <v>849.25</v>
      </c>
      <c r="P1847" s="247" t="s">
        <v>1380</v>
      </c>
      <c r="Q1847" s="247" t="s">
        <v>89</v>
      </c>
    </row>
    <row r="1848" spans="1:17" x14ac:dyDescent="0.25">
      <c r="A1848" s="247" t="s">
        <v>646</v>
      </c>
      <c r="B1848" s="247" t="s">
        <v>265</v>
      </c>
      <c r="C1848" s="247" t="s">
        <v>1343</v>
      </c>
      <c r="D1848" s="247" t="s">
        <v>569</v>
      </c>
      <c r="E1848" s="247" t="s">
        <v>1296</v>
      </c>
      <c r="F1848" s="247" t="s">
        <v>2102</v>
      </c>
      <c r="G1848" s="247" t="s">
        <v>1352</v>
      </c>
      <c r="H1848" s="247" t="s">
        <v>1989</v>
      </c>
      <c r="I1848" s="247" t="s">
        <v>2103</v>
      </c>
      <c r="J1848" s="247">
        <v>55</v>
      </c>
      <c r="K1848" s="247">
        <v>55</v>
      </c>
      <c r="L1848" s="249" t="s">
        <v>936</v>
      </c>
      <c r="M1848" s="249" t="s">
        <v>929</v>
      </c>
      <c r="N1848" s="248">
        <v>398.18</v>
      </c>
      <c r="O1848" s="248">
        <v>1247.43</v>
      </c>
      <c r="P1848" s="247" t="s">
        <v>1380</v>
      </c>
      <c r="Q1848" s="247" t="s">
        <v>90</v>
      </c>
    </row>
    <row r="1849" spans="1:17" x14ac:dyDescent="0.25">
      <c r="A1849" s="247" t="s">
        <v>646</v>
      </c>
      <c r="B1849" s="247" t="s">
        <v>265</v>
      </c>
      <c r="C1849" s="247" t="s">
        <v>1343</v>
      </c>
      <c r="D1849" s="247" t="s">
        <v>569</v>
      </c>
      <c r="E1849" s="247" t="s">
        <v>1296</v>
      </c>
      <c r="F1849" s="247" t="s">
        <v>2102</v>
      </c>
      <c r="G1849" s="247" t="s">
        <v>1352</v>
      </c>
      <c r="H1849" s="247" t="s">
        <v>1989</v>
      </c>
      <c r="I1849" s="247" t="s">
        <v>2103</v>
      </c>
      <c r="J1849" s="247">
        <v>55</v>
      </c>
      <c r="K1849" s="247">
        <v>55</v>
      </c>
      <c r="L1849" s="249" t="s">
        <v>937</v>
      </c>
      <c r="M1849" s="249" t="s">
        <v>929</v>
      </c>
      <c r="N1849" s="248">
        <v>269.25</v>
      </c>
      <c r="O1849" s="248">
        <v>1516.68</v>
      </c>
      <c r="P1849" s="247" t="s">
        <v>1380</v>
      </c>
      <c r="Q1849" s="247" t="s">
        <v>91</v>
      </c>
    </row>
    <row r="1850" spans="1:17" x14ac:dyDescent="0.25">
      <c r="A1850" s="247" t="s">
        <v>646</v>
      </c>
      <c r="B1850" s="247" t="s">
        <v>265</v>
      </c>
      <c r="C1850" s="247" t="s">
        <v>1343</v>
      </c>
      <c r="D1850" s="247" t="s">
        <v>569</v>
      </c>
      <c r="E1850" s="247" t="s">
        <v>1296</v>
      </c>
      <c r="F1850" s="247" t="s">
        <v>2102</v>
      </c>
      <c r="G1850" s="247" t="s">
        <v>1352</v>
      </c>
      <c r="H1850" s="247" t="s">
        <v>1989</v>
      </c>
      <c r="I1850" s="247" t="s">
        <v>2103</v>
      </c>
      <c r="J1850" s="247">
        <v>55</v>
      </c>
      <c r="K1850" s="247">
        <v>55</v>
      </c>
      <c r="L1850" s="249" t="s">
        <v>938</v>
      </c>
      <c r="M1850" s="249" t="s">
        <v>929</v>
      </c>
      <c r="N1850" s="248">
        <v>275.22000000000003</v>
      </c>
      <c r="O1850" s="248">
        <v>1791.9</v>
      </c>
      <c r="P1850" s="247" t="s">
        <v>1380</v>
      </c>
      <c r="Q1850" s="247" t="s">
        <v>92</v>
      </c>
    </row>
    <row r="1851" spans="1:17" x14ac:dyDescent="0.25">
      <c r="A1851" s="247" t="s">
        <v>646</v>
      </c>
      <c r="B1851" s="247" t="s">
        <v>265</v>
      </c>
      <c r="C1851" s="247" t="s">
        <v>1343</v>
      </c>
      <c r="D1851" s="247" t="s">
        <v>569</v>
      </c>
      <c r="E1851" s="247" t="s">
        <v>1296</v>
      </c>
      <c r="F1851" s="247" t="s">
        <v>2102</v>
      </c>
      <c r="G1851" s="247" t="s">
        <v>1352</v>
      </c>
      <c r="H1851" s="247" t="s">
        <v>1989</v>
      </c>
      <c r="I1851" s="247" t="s">
        <v>2103</v>
      </c>
      <c r="J1851" s="247">
        <v>55</v>
      </c>
      <c r="K1851" s="247">
        <v>55</v>
      </c>
      <c r="L1851" s="249" t="s">
        <v>939</v>
      </c>
      <c r="M1851" s="249" t="s">
        <v>929</v>
      </c>
      <c r="N1851" s="248">
        <v>291.60000000000002</v>
      </c>
      <c r="O1851" s="248">
        <v>2083.5</v>
      </c>
      <c r="P1851" s="247" t="s">
        <v>1380</v>
      </c>
      <c r="Q1851" s="247" t="s">
        <v>93</v>
      </c>
    </row>
    <row r="1852" spans="1:17" x14ac:dyDescent="0.25">
      <c r="A1852" s="247" t="s">
        <v>646</v>
      </c>
      <c r="B1852" s="247" t="s">
        <v>265</v>
      </c>
      <c r="C1852" s="247" t="s">
        <v>1343</v>
      </c>
      <c r="D1852" s="247" t="s">
        <v>569</v>
      </c>
      <c r="E1852" s="247" t="s">
        <v>1296</v>
      </c>
      <c r="F1852" s="247" t="s">
        <v>2102</v>
      </c>
      <c r="G1852" s="247" t="s">
        <v>1352</v>
      </c>
      <c r="H1852" s="247" t="s">
        <v>1989</v>
      </c>
      <c r="I1852" s="247" t="s">
        <v>2103</v>
      </c>
      <c r="J1852" s="247">
        <v>55</v>
      </c>
      <c r="K1852" s="247">
        <v>55</v>
      </c>
      <c r="L1852" s="249" t="s">
        <v>940</v>
      </c>
      <c r="M1852" s="249" t="s">
        <v>929</v>
      </c>
      <c r="N1852" s="248">
        <v>295.44</v>
      </c>
      <c r="O1852" s="248">
        <v>2378.94</v>
      </c>
      <c r="P1852" s="247" t="s">
        <v>1380</v>
      </c>
      <c r="Q1852" s="247" t="s">
        <v>94</v>
      </c>
    </row>
    <row r="1853" spans="1:17" x14ac:dyDescent="0.25">
      <c r="A1853" s="247" t="s">
        <v>646</v>
      </c>
      <c r="B1853" s="247" t="s">
        <v>265</v>
      </c>
      <c r="C1853" s="247" t="s">
        <v>1343</v>
      </c>
      <c r="D1853" s="247" t="s">
        <v>569</v>
      </c>
      <c r="E1853" s="247" t="s">
        <v>1296</v>
      </c>
      <c r="F1853" s="247" t="s">
        <v>2102</v>
      </c>
      <c r="G1853" s="247" t="s">
        <v>1352</v>
      </c>
      <c r="H1853" s="247" t="s">
        <v>1989</v>
      </c>
      <c r="I1853" s="247" t="s">
        <v>2103</v>
      </c>
      <c r="J1853" s="247">
        <v>55</v>
      </c>
      <c r="K1853" s="247">
        <v>55</v>
      </c>
      <c r="L1853" s="249" t="s">
        <v>642</v>
      </c>
      <c r="M1853" s="249" t="s">
        <v>929</v>
      </c>
      <c r="N1853" s="248">
        <v>435.74</v>
      </c>
      <c r="O1853" s="248">
        <v>2814.68</v>
      </c>
      <c r="P1853" s="247" t="s">
        <v>1380</v>
      </c>
      <c r="Q1853" s="247" t="s">
        <v>95</v>
      </c>
    </row>
    <row r="1854" spans="1:17" x14ac:dyDescent="0.25">
      <c r="A1854" s="247" t="s">
        <v>646</v>
      </c>
      <c r="B1854" s="247" t="s">
        <v>265</v>
      </c>
      <c r="C1854" s="247" t="s">
        <v>1343</v>
      </c>
      <c r="D1854" s="247" t="s">
        <v>575</v>
      </c>
      <c r="E1854" s="247" t="s">
        <v>1296</v>
      </c>
      <c r="F1854" s="247" t="s">
        <v>2104</v>
      </c>
      <c r="G1854" s="247" t="s">
        <v>1354</v>
      </c>
      <c r="H1854" s="247" t="s">
        <v>1989</v>
      </c>
      <c r="I1854" s="247" t="s">
        <v>2105</v>
      </c>
      <c r="J1854" s="247">
        <v>55</v>
      </c>
      <c r="K1854" s="247">
        <v>55</v>
      </c>
      <c r="L1854" s="249" t="s">
        <v>646</v>
      </c>
      <c r="M1854" s="249" t="s">
        <v>933</v>
      </c>
      <c r="N1854" s="248">
        <v>91.85</v>
      </c>
      <c r="O1854" s="248">
        <v>128.46</v>
      </c>
      <c r="P1854" s="247" t="s">
        <v>1381</v>
      </c>
      <c r="Q1854" s="247" t="s">
        <v>84</v>
      </c>
    </row>
    <row r="1855" spans="1:17" x14ac:dyDescent="0.25">
      <c r="A1855" s="247" t="s">
        <v>646</v>
      </c>
      <c r="B1855" s="247" t="s">
        <v>265</v>
      </c>
      <c r="C1855" s="247" t="s">
        <v>1343</v>
      </c>
      <c r="D1855" s="247" t="s">
        <v>575</v>
      </c>
      <c r="E1855" s="247" t="s">
        <v>1296</v>
      </c>
      <c r="F1855" s="247" t="s">
        <v>2104</v>
      </c>
      <c r="G1855" s="247" t="s">
        <v>1354</v>
      </c>
      <c r="H1855" s="247" t="s">
        <v>1989</v>
      </c>
      <c r="I1855" s="247" t="s">
        <v>2105</v>
      </c>
      <c r="J1855" s="247">
        <v>55</v>
      </c>
      <c r="K1855" s="247">
        <v>55</v>
      </c>
      <c r="L1855" s="249" t="s">
        <v>650</v>
      </c>
      <c r="M1855" s="249" t="s">
        <v>933</v>
      </c>
      <c r="N1855" s="248">
        <v>62.02</v>
      </c>
      <c r="O1855" s="248">
        <v>190.48</v>
      </c>
      <c r="P1855" s="247" t="s">
        <v>1381</v>
      </c>
      <c r="Q1855" s="247" t="s">
        <v>85</v>
      </c>
    </row>
    <row r="1856" spans="1:17" x14ac:dyDescent="0.25">
      <c r="A1856" s="247" t="s">
        <v>646</v>
      </c>
      <c r="B1856" s="247" t="s">
        <v>265</v>
      </c>
      <c r="C1856" s="247" t="s">
        <v>1343</v>
      </c>
      <c r="D1856" s="247" t="s">
        <v>575</v>
      </c>
      <c r="E1856" s="247" t="s">
        <v>1296</v>
      </c>
      <c r="F1856" s="247" t="s">
        <v>2104</v>
      </c>
      <c r="G1856" s="247" t="s">
        <v>1354</v>
      </c>
      <c r="H1856" s="247" t="s">
        <v>1989</v>
      </c>
      <c r="I1856" s="247" t="s">
        <v>2105</v>
      </c>
      <c r="J1856" s="247">
        <v>55</v>
      </c>
      <c r="K1856" s="247">
        <v>55</v>
      </c>
      <c r="L1856" s="249" t="s">
        <v>652</v>
      </c>
      <c r="M1856" s="249" t="s">
        <v>933</v>
      </c>
      <c r="N1856" s="248">
        <v>57.54</v>
      </c>
      <c r="O1856" s="248">
        <v>248.02</v>
      </c>
      <c r="P1856" s="247" t="s">
        <v>1381</v>
      </c>
      <c r="Q1856" s="247" t="s">
        <v>86</v>
      </c>
    </row>
    <row r="1857" spans="1:17" x14ac:dyDescent="0.25">
      <c r="A1857" s="247" t="s">
        <v>646</v>
      </c>
      <c r="B1857" s="247" t="s">
        <v>265</v>
      </c>
      <c r="C1857" s="247" t="s">
        <v>1343</v>
      </c>
      <c r="D1857" s="247" t="s">
        <v>575</v>
      </c>
      <c r="E1857" s="247" t="s">
        <v>1296</v>
      </c>
      <c r="F1857" s="247" t="s">
        <v>2104</v>
      </c>
      <c r="G1857" s="247" t="s">
        <v>1354</v>
      </c>
      <c r="H1857" s="247" t="s">
        <v>1989</v>
      </c>
      <c r="I1857" s="247" t="s">
        <v>2105</v>
      </c>
      <c r="J1857" s="247">
        <v>55</v>
      </c>
      <c r="K1857" s="247">
        <v>55</v>
      </c>
      <c r="L1857" s="249" t="s">
        <v>789</v>
      </c>
      <c r="M1857" s="249" t="s">
        <v>929</v>
      </c>
      <c r="N1857" s="248">
        <v>73.34</v>
      </c>
      <c r="O1857" s="248">
        <v>73.34</v>
      </c>
      <c r="P1857" s="247" t="s">
        <v>1381</v>
      </c>
      <c r="Q1857" s="247" t="s">
        <v>87</v>
      </c>
    </row>
    <row r="1858" spans="1:17" x14ac:dyDescent="0.25">
      <c r="A1858" s="247" t="s">
        <v>646</v>
      </c>
      <c r="B1858" s="247" t="s">
        <v>265</v>
      </c>
      <c r="C1858" s="247" t="s">
        <v>1343</v>
      </c>
      <c r="D1858" s="247" t="s">
        <v>575</v>
      </c>
      <c r="E1858" s="247" t="s">
        <v>1296</v>
      </c>
      <c r="F1858" s="247" t="s">
        <v>2104</v>
      </c>
      <c r="G1858" s="247" t="s">
        <v>1354</v>
      </c>
      <c r="H1858" s="247" t="s">
        <v>1989</v>
      </c>
      <c r="I1858" s="247" t="s">
        <v>2105</v>
      </c>
      <c r="J1858" s="247">
        <v>55</v>
      </c>
      <c r="K1858" s="247">
        <v>55</v>
      </c>
      <c r="L1858" s="249" t="s">
        <v>791</v>
      </c>
      <c r="M1858" s="249" t="s">
        <v>929</v>
      </c>
      <c r="N1858" s="248">
        <v>62.79</v>
      </c>
      <c r="O1858" s="248">
        <v>136.13</v>
      </c>
      <c r="P1858" s="247" t="s">
        <v>1381</v>
      </c>
      <c r="Q1858" s="247" t="s">
        <v>88</v>
      </c>
    </row>
    <row r="1859" spans="1:17" x14ac:dyDescent="0.25">
      <c r="A1859" s="247" t="s">
        <v>646</v>
      </c>
      <c r="B1859" s="247" t="s">
        <v>265</v>
      </c>
      <c r="C1859" s="247" t="s">
        <v>1343</v>
      </c>
      <c r="D1859" s="247" t="s">
        <v>575</v>
      </c>
      <c r="E1859" s="247" t="s">
        <v>1296</v>
      </c>
      <c r="F1859" s="247" t="s">
        <v>2104</v>
      </c>
      <c r="G1859" s="247" t="s">
        <v>1354</v>
      </c>
      <c r="H1859" s="247" t="s">
        <v>1989</v>
      </c>
      <c r="I1859" s="247" t="s">
        <v>2105</v>
      </c>
      <c r="J1859" s="247">
        <v>55</v>
      </c>
      <c r="K1859" s="247">
        <v>55</v>
      </c>
      <c r="L1859" s="249" t="s">
        <v>935</v>
      </c>
      <c r="M1859" s="249" t="s">
        <v>929</v>
      </c>
      <c r="N1859" s="248">
        <v>62.48</v>
      </c>
      <c r="O1859" s="248">
        <v>198.61</v>
      </c>
      <c r="P1859" s="247" t="s">
        <v>1381</v>
      </c>
      <c r="Q1859" s="247" t="s">
        <v>89</v>
      </c>
    </row>
    <row r="1860" spans="1:17" x14ac:dyDescent="0.25">
      <c r="A1860" s="247" t="s">
        <v>646</v>
      </c>
      <c r="B1860" s="247" t="s">
        <v>265</v>
      </c>
      <c r="C1860" s="247" t="s">
        <v>1343</v>
      </c>
      <c r="D1860" s="247" t="s">
        <v>575</v>
      </c>
      <c r="E1860" s="247" t="s">
        <v>1296</v>
      </c>
      <c r="F1860" s="247" t="s">
        <v>2104</v>
      </c>
      <c r="G1860" s="247" t="s">
        <v>1354</v>
      </c>
      <c r="H1860" s="247" t="s">
        <v>1989</v>
      </c>
      <c r="I1860" s="247" t="s">
        <v>2105</v>
      </c>
      <c r="J1860" s="247">
        <v>55</v>
      </c>
      <c r="K1860" s="247">
        <v>55</v>
      </c>
      <c r="L1860" s="249" t="s">
        <v>936</v>
      </c>
      <c r="M1860" s="249" t="s">
        <v>929</v>
      </c>
      <c r="N1860" s="248">
        <v>93.13</v>
      </c>
      <c r="O1860" s="248">
        <v>291.74</v>
      </c>
      <c r="P1860" s="247" t="s">
        <v>1381</v>
      </c>
      <c r="Q1860" s="247" t="s">
        <v>90</v>
      </c>
    </row>
    <row r="1861" spans="1:17" x14ac:dyDescent="0.25">
      <c r="A1861" s="247" t="s">
        <v>646</v>
      </c>
      <c r="B1861" s="247" t="s">
        <v>265</v>
      </c>
      <c r="C1861" s="247" t="s">
        <v>1343</v>
      </c>
      <c r="D1861" s="247" t="s">
        <v>575</v>
      </c>
      <c r="E1861" s="247" t="s">
        <v>1296</v>
      </c>
      <c r="F1861" s="247" t="s">
        <v>2104</v>
      </c>
      <c r="G1861" s="247" t="s">
        <v>1354</v>
      </c>
      <c r="H1861" s="247" t="s">
        <v>1989</v>
      </c>
      <c r="I1861" s="247" t="s">
        <v>2105</v>
      </c>
      <c r="J1861" s="247">
        <v>55</v>
      </c>
      <c r="K1861" s="247">
        <v>55</v>
      </c>
      <c r="L1861" s="249" t="s">
        <v>937</v>
      </c>
      <c r="M1861" s="249" t="s">
        <v>929</v>
      </c>
      <c r="N1861" s="248">
        <v>62.97</v>
      </c>
      <c r="O1861" s="248">
        <v>354.71</v>
      </c>
      <c r="P1861" s="247" t="s">
        <v>1381</v>
      </c>
      <c r="Q1861" s="247" t="s">
        <v>91</v>
      </c>
    </row>
    <row r="1862" spans="1:17" x14ac:dyDescent="0.25">
      <c r="A1862" s="247" t="s">
        <v>646</v>
      </c>
      <c r="B1862" s="247" t="s">
        <v>265</v>
      </c>
      <c r="C1862" s="247" t="s">
        <v>1343</v>
      </c>
      <c r="D1862" s="247" t="s">
        <v>575</v>
      </c>
      <c r="E1862" s="247" t="s">
        <v>1296</v>
      </c>
      <c r="F1862" s="247" t="s">
        <v>2104</v>
      </c>
      <c r="G1862" s="247" t="s">
        <v>1354</v>
      </c>
      <c r="H1862" s="247" t="s">
        <v>1989</v>
      </c>
      <c r="I1862" s="247" t="s">
        <v>2105</v>
      </c>
      <c r="J1862" s="247">
        <v>55</v>
      </c>
      <c r="K1862" s="247">
        <v>55</v>
      </c>
      <c r="L1862" s="249" t="s">
        <v>938</v>
      </c>
      <c r="M1862" s="249" t="s">
        <v>929</v>
      </c>
      <c r="N1862" s="248">
        <v>64.36</v>
      </c>
      <c r="O1862" s="248">
        <v>419.07</v>
      </c>
      <c r="P1862" s="247" t="s">
        <v>1381</v>
      </c>
      <c r="Q1862" s="247" t="s">
        <v>92</v>
      </c>
    </row>
    <row r="1863" spans="1:17" x14ac:dyDescent="0.25">
      <c r="A1863" s="247" t="s">
        <v>646</v>
      </c>
      <c r="B1863" s="247" t="s">
        <v>265</v>
      </c>
      <c r="C1863" s="247" t="s">
        <v>1343</v>
      </c>
      <c r="D1863" s="247" t="s">
        <v>575</v>
      </c>
      <c r="E1863" s="247" t="s">
        <v>1296</v>
      </c>
      <c r="F1863" s="247" t="s">
        <v>2104</v>
      </c>
      <c r="G1863" s="247" t="s">
        <v>1354</v>
      </c>
      <c r="H1863" s="247" t="s">
        <v>1989</v>
      </c>
      <c r="I1863" s="247" t="s">
        <v>2105</v>
      </c>
      <c r="J1863" s="247">
        <v>55</v>
      </c>
      <c r="K1863" s="247">
        <v>55</v>
      </c>
      <c r="L1863" s="249" t="s">
        <v>939</v>
      </c>
      <c r="M1863" s="249" t="s">
        <v>929</v>
      </c>
      <c r="N1863" s="248">
        <v>68.2</v>
      </c>
      <c r="O1863" s="248">
        <v>487.27</v>
      </c>
      <c r="P1863" s="247" t="s">
        <v>1381</v>
      </c>
      <c r="Q1863" s="247" t="s">
        <v>93</v>
      </c>
    </row>
    <row r="1864" spans="1:17" x14ac:dyDescent="0.25">
      <c r="A1864" s="247" t="s">
        <v>646</v>
      </c>
      <c r="B1864" s="247" t="s">
        <v>265</v>
      </c>
      <c r="C1864" s="247" t="s">
        <v>1343</v>
      </c>
      <c r="D1864" s="247" t="s">
        <v>575</v>
      </c>
      <c r="E1864" s="247" t="s">
        <v>1296</v>
      </c>
      <c r="F1864" s="247" t="s">
        <v>2104</v>
      </c>
      <c r="G1864" s="247" t="s">
        <v>1354</v>
      </c>
      <c r="H1864" s="247" t="s">
        <v>1989</v>
      </c>
      <c r="I1864" s="247" t="s">
        <v>2105</v>
      </c>
      <c r="J1864" s="247">
        <v>55</v>
      </c>
      <c r="K1864" s="247">
        <v>55</v>
      </c>
      <c r="L1864" s="249" t="s">
        <v>940</v>
      </c>
      <c r="M1864" s="249" t="s">
        <v>929</v>
      </c>
      <c r="N1864" s="248">
        <v>69.09</v>
      </c>
      <c r="O1864" s="248">
        <v>556.36</v>
      </c>
      <c r="P1864" s="247" t="s">
        <v>1381</v>
      </c>
      <c r="Q1864" s="247" t="s">
        <v>94</v>
      </c>
    </row>
    <row r="1865" spans="1:17" x14ac:dyDescent="0.25">
      <c r="A1865" s="247" t="s">
        <v>646</v>
      </c>
      <c r="B1865" s="247" t="s">
        <v>265</v>
      </c>
      <c r="C1865" s="247" t="s">
        <v>1343</v>
      </c>
      <c r="D1865" s="247" t="s">
        <v>575</v>
      </c>
      <c r="E1865" s="247" t="s">
        <v>1296</v>
      </c>
      <c r="F1865" s="247" t="s">
        <v>2104</v>
      </c>
      <c r="G1865" s="247" t="s">
        <v>1354</v>
      </c>
      <c r="H1865" s="247" t="s">
        <v>1989</v>
      </c>
      <c r="I1865" s="247" t="s">
        <v>2105</v>
      </c>
      <c r="J1865" s="247">
        <v>55</v>
      </c>
      <c r="K1865" s="247">
        <v>55</v>
      </c>
      <c r="L1865" s="249" t="s">
        <v>642</v>
      </c>
      <c r="M1865" s="249" t="s">
        <v>929</v>
      </c>
      <c r="N1865" s="248">
        <v>101.91</v>
      </c>
      <c r="O1865" s="248">
        <v>658.27</v>
      </c>
      <c r="P1865" s="247" t="s">
        <v>1381</v>
      </c>
      <c r="Q1865" s="247" t="s">
        <v>95</v>
      </c>
    </row>
    <row r="1866" spans="1:17" x14ac:dyDescent="0.25">
      <c r="A1866" s="247" t="s">
        <v>646</v>
      </c>
      <c r="B1866" s="247" t="s">
        <v>265</v>
      </c>
      <c r="C1866" s="247" t="s">
        <v>1343</v>
      </c>
      <c r="D1866" s="247" t="s">
        <v>1356</v>
      </c>
      <c r="E1866" s="247" t="s">
        <v>1296</v>
      </c>
      <c r="F1866" s="247" t="s">
        <v>2106</v>
      </c>
      <c r="G1866" s="247" t="s">
        <v>1357</v>
      </c>
      <c r="H1866" s="247" t="s">
        <v>1989</v>
      </c>
      <c r="I1866" s="247" t="s">
        <v>2107</v>
      </c>
      <c r="J1866" s="247">
        <v>55</v>
      </c>
      <c r="K1866" s="247">
        <v>55</v>
      </c>
      <c r="L1866" s="249" t="s">
        <v>646</v>
      </c>
      <c r="M1866" s="249" t="s">
        <v>933</v>
      </c>
      <c r="N1866" s="248">
        <v>0</v>
      </c>
      <c r="O1866" s="248">
        <v>15.15</v>
      </c>
      <c r="P1866" s="247" t="s">
        <v>1382</v>
      </c>
      <c r="Q1866" s="247" t="s">
        <v>84</v>
      </c>
    </row>
    <row r="1867" spans="1:17" x14ac:dyDescent="0.25">
      <c r="A1867" s="247" t="s">
        <v>646</v>
      </c>
      <c r="B1867" s="247" t="s">
        <v>265</v>
      </c>
      <c r="C1867" s="247" t="s">
        <v>1343</v>
      </c>
      <c r="D1867" s="247" t="s">
        <v>1356</v>
      </c>
      <c r="E1867" s="247" t="s">
        <v>1296</v>
      </c>
      <c r="F1867" s="247" t="s">
        <v>2106</v>
      </c>
      <c r="G1867" s="247" t="s">
        <v>1357</v>
      </c>
      <c r="H1867" s="247" t="s">
        <v>1989</v>
      </c>
      <c r="I1867" s="247" t="s">
        <v>2107</v>
      </c>
      <c r="J1867" s="247">
        <v>55</v>
      </c>
      <c r="K1867" s="247">
        <v>55</v>
      </c>
      <c r="L1867" s="249" t="s">
        <v>650</v>
      </c>
      <c r="M1867" s="249" t="s">
        <v>933</v>
      </c>
      <c r="N1867" s="248">
        <v>0</v>
      </c>
      <c r="O1867" s="248">
        <v>15.15</v>
      </c>
      <c r="P1867" s="247" t="s">
        <v>1382</v>
      </c>
      <c r="Q1867" s="247" t="s">
        <v>85</v>
      </c>
    </row>
    <row r="1868" spans="1:17" x14ac:dyDescent="0.25">
      <c r="A1868" s="247" t="s">
        <v>646</v>
      </c>
      <c r="B1868" s="247" t="s">
        <v>265</v>
      </c>
      <c r="C1868" s="247" t="s">
        <v>1343</v>
      </c>
      <c r="D1868" s="247" t="s">
        <v>1356</v>
      </c>
      <c r="E1868" s="247" t="s">
        <v>1296</v>
      </c>
      <c r="F1868" s="247" t="s">
        <v>2106</v>
      </c>
      <c r="G1868" s="247" t="s">
        <v>1357</v>
      </c>
      <c r="H1868" s="247" t="s">
        <v>1989</v>
      </c>
      <c r="I1868" s="247" t="s">
        <v>2107</v>
      </c>
      <c r="J1868" s="247">
        <v>55</v>
      </c>
      <c r="K1868" s="247">
        <v>55</v>
      </c>
      <c r="L1868" s="249" t="s">
        <v>652</v>
      </c>
      <c r="M1868" s="249" t="s">
        <v>933</v>
      </c>
      <c r="N1868" s="248">
        <v>0</v>
      </c>
      <c r="O1868" s="248">
        <v>15.15</v>
      </c>
      <c r="P1868" s="247" t="s">
        <v>1382</v>
      </c>
      <c r="Q1868" s="247" t="s">
        <v>86</v>
      </c>
    </row>
    <row r="1869" spans="1:17" x14ac:dyDescent="0.25">
      <c r="A1869" s="247" t="s">
        <v>646</v>
      </c>
      <c r="B1869" s="247" t="s">
        <v>265</v>
      </c>
      <c r="C1869" s="247" t="s">
        <v>1343</v>
      </c>
      <c r="D1869" s="247" t="s">
        <v>1356</v>
      </c>
      <c r="E1869" s="247" t="s">
        <v>1296</v>
      </c>
      <c r="F1869" s="247" t="s">
        <v>2106</v>
      </c>
      <c r="G1869" s="247" t="s">
        <v>1357</v>
      </c>
      <c r="H1869" s="247" t="s">
        <v>1989</v>
      </c>
      <c r="I1869" s="247" t="s">
        <v>2107</v>
      </c>
      <c r="J1869" s="247">
        <v>55</v>
      </c>
      <c r="K1869" s="247">
        <v>55</v>
      </c>
      <c r="L1869" s="249" t="s">
        <v>789</v>
      </c>
      <c r="M1869" s="249" t="s">
        <v>929</v>
      </c>
      <c r="N1869" s="248">
        <v>30.35</v>
      </c>
      <c r="O1869" s="248">
        <v>30.35</v>
      </c>
      <c r="P1869" s="247" t="s">
        <v>1382</v>
      </c>
      <c r="Q1869" s="247" t="s">
        <v>87</v>
      </c>
    </row>
    <row r="1870" spans="1:17" x14ac:dyDescent="0.25">
      <c r="A1870" s="247" t="s">
        <v>646</v>
      </c>
      <c r="B1870" s="247" t="s">
        <v>265</v>
      </c>
      <c r="C1870" s="247" t="s">
        <v>1343</v>
      </c>
      <c r="D1870" s="247" t="s">
        <v>1356</v>
      </c>
      <c r="E1870" s="247" t="s">
        <v>1296</v>
      </c>
      <c r="F1870" s="247" t="s">
        <v>2106</v>
      </c>
      <c r="G1870" s="247" t="s">
        <v>1357</v>
      </c>
      <c r="H1870" s="247" t="s">
        <v>1989</v>
      </c>
      <c r="I1870" s="247" t="s">
        <v>2107</v>
      </c>
      <c r="J1870" s="247">
        <v>55</v>
      </c>
      <c r="K1870" s="247">
        <v>55</v>
      </c>
      <c r="L1870" s="249" t="s">
        <v>791</v>
      </c>
      <c r="M1870" s="249" t="s">
        <v>929</v>
      </c>
      <c r="N1870" s="248">
        <v>11.65</v>
      </c>
      <c r="O1870" s="248">
        <v>42</v>
      </c>
      <c r="P1870" s="247" t="s">
        <v>1382</v>
      </c>
      <c r="Q1870" s="247" t="s">
        <v>88</v>
      </c>
    </row>
    <row r="1871" spans="1:17" x14ac:dyDescent="0.25">
      <c r="A1871" s="247" t="s">
        <v>646</v>
      </c>
      <c r="B1871" s="247" t="s">
        <v>265</v>
      </c>
      <c r="C1871" s="247" t="s">
        <v>1343</v>
      </c>
      <c r="D1871" s="247" t="s">
        <v>1356</v>
      </c>
      <c r="E1871" s="247" t="s">
        <v>1296</v>
      </c>
      <c r="F1871" s="247" t="s">
        <v>2106</v>
      </c>
      <c r="G1871" s="247" t="s">
        <v>1357</v>
      </c>
      <c r="H1871" s="247" t="s">
        <v>1989</v>
      </c>
      <c r="I1871" s="247" t="s">
        <v>2107</v>
      </c>
      <c r="J1871" s="247">
        <v>55</v>
      </c>
      <c r="K1871" s="247">
        <v>55</v>
      </c>
      <c r="L1871" s="249" t="s">
        <v>935</v>
      </c>
      <c r="M1871" s="249" t="s">
        <v>929</v>
      </c>
      <c r="N1871" s="248">
        <v>0</v>
      </c>
      <c r="O1871" s="248">
        <v>42</v>
      </c>
      <c r="P1871" s="247" t="s">
        <v>1382</v>
      </c>
      <c r="Q1871" s="247" t="s">
        <v>89</v>
      </c>
    </row>
    <row r="1872" spans="1:17" x14ac:dyDescent="0.25">
      <c r="A1872" s="247" t="s">
        <v>646</v>
      </c>
      <c r="B1872" s="247" t="s">
        <v>265</v>
      </c>
      <c r="C1872" s="247" t="s">
        <v>1343</v>
      </c>
      <c r="D1872" s="247" t="s">
        <v>1356</v>
      </c>
      <c r="E1872" s="247" t="s">
        <v>1296</v>
      </c>
      <c r="F1872" s="247" t="s">
        <v>2106</v>
      </c>
      <c r="G1872" s="247" t="s">
        <v>1357</v>
      </c>
      <c r="H1872" s="247" t="s">
        <v>1989</v>
      </c>
      <c r="I1872" s="247" t="s">
        <v>2107</v>
      </c>
      <c r="J1872" s="247">
        <v>55</v>
      </c>
      <c r="K1872" s="247">
        <v>55</v>
      </c>
      <c r="L1872" s="249" t="s">
        <v>936</v>
      </c>
      <c r="M1872" s="249" t="s">
        <v>929</v>
      </c>
      <c r="N1872" s="248">
        <v>0</v>
      </c>
      <c r="O1872" s="248">
        <v>42</v>
      </c>
      <c r="P1872" s="247" t="s">
        <v>1382</v>
      </c>
      <c r="Q1872" s="247" t="s">
        <v>90</v>
      </c>
    </row>
    <row r="1873" spans="1:17" x14ac:dyDescent="0.25">
      <c r="A1873" s="247" t="s">
        <v>646</v>
      </c>
      <c r="B1873" s="247" t="s">
        <v>265</v>
      </c>
      <c r="C1873" s="247" t="s">
        <v>1343</v>
      </c>
      <c r="D1873" s="247" t="s">
        <v>1356</v>
      </c>
      <c r="E1873" s="247" t="s">
        <v>1296</v>
      </c>
      <c r="F1873" s="247" t="s">
        <v>2106</v>
      </c>
      <c r="G1873" s="247" t="s">
        <v>1357</v>
      </c>
      <c r="H1873" s="247" t="s">
        <v>1989</v>
      </c>
      <c r="I1873" s="247" t="s">
        <v>2107</v>
      </c>
      <c r="J1873" s="247">
        <v>55</v>
      </c>
      <c r="K1873" s="247">
        <v>55</v>
      </c>
      <c r="L1873" s="249" t="s">
        <v>937</v>
      </c>
      <c r="M1873" s="249" t="s">
        <v>929</v>
      </c>
      <c r="N1873" s="248">
        <v>0</v>
      </c>
      <c r="O1873" s="248">
        <v>42</v>
      </c>
      <c r="P1873" s="247" t="s">
        <v>1382</v>
      </c>
      <c r="Q1873" s="247" t="s">
        <v>91</v>
      </c>
    </row>
    <row r="1874" spans="1:17" x14ac:dyDescent="0.25">
      <c r="A1874" s="247" t="s">
        <v>646</v>
      </c>
      <c r="B1874" s="247" t="s">
        <v>265</v>
      </c>
      <c r="C1874" s="247" t="s">
        <v>1343</v>
      </c>
      <c r="D1874" s="247" t="s">
        <v>1356</v>
      </c>
      <c r="E1874" s="247" t="s">
        <v>1296</v>
      </c>
      <c r="F1874" s="247" t="s">
        <v>2106</v>
      </c>
      <c r="G1874" s="247" t="s">
        <v>1357</v>
      </c>
      <c r="H1874" s="247" t="s">
        <v>1989</v>
      </c>
      <c r="I1874" s="247" t="s">
        <v>2107</v>
      </c>
      <c r="J1874" s="247">
        <v>55</v>
      </c>
      <c r="K1874" s="247">
        <v>55</v>
      </c>
      <c r="L1874" s="249" t="s">
        <v>938</v>
      </c>
      <c r="M1874" s="249" t="s">
        <v>929</v>
      </c>
      <c r="N1874" s="248">
        <v>0</v>
      </c>
      <c r="O1874" s="248">
        <v>42</v>
      </c>
      <c r="P1874" s="247" t="s">
        <v>1382</v>
      </c>
      <c r="Q1874" s="247" t="s">
        <v>92</v>
      </c>
    </row>
    <row r="1875" spans="1:17" x14ac:dyDescent="0.25">
      <c r="A1875" s="247" t="s">
        <v>646</v>
      </c>
      <c r="B1875" s="247" t="s">
        <v>265</v>
      </c>
      <c r="C1875" s="247" t="s">
        <v>1343</v>
      </c>
      <c r="D1875" s="247" t="s">
        <v>1356</v>
      </c>
      <c r="E1875" s="247" t="s">
        <v>1296</v>
      </c>
      <c r="F1875" s="247" t="s">
        <v>2106</v>
      </c>
      <c r="G1875" s="247" t="s">
        <v>1357</v>
      </c>
      <c r="H1875" s="247" t="s">
        <v>1989</v>
      </c>
      <c r="I1875" s="247" t="s">
        <v>2107</v>
      </c>
      <c r="J1875" s="247">
        <v>55</v>
      </c>
      <c r="K1875" s="247">
        <v>55</v>
      </c>
      <c r="L1875" s="249" t="s">
        <v>939</v>
      </c>
      <c r="M1875" s="249" t="s">
        <v>929</v>
      </c>
      <c r="N1875" s="248">
        <v>0</v>
      </c>
      <c r="O1875" s="248">
        <v>42</v>
      </c>
      <c r="P1875" s="247" t="s">
        <v>1382</v>
      </c>
      <c r="Q1875" s="247" t="s">
        <v>93</v>
      </c>
    </row>
    <row r="1876" spans="1:17" x14ac:dyDescent="0.25">
      <c r="A1876" s="247" t="s">
        <v>646</v>
      </c>
      <c r="B1876" s="247" t="s">
        <v>265</v>
      </c>
      <c r="C1876" s="247" t="s">
        <v>1343</v>
      </c>
      <c r="D1876" s="247" t="s">
        <v>1356</v>
      </c>
      <c r="E1876" s="247" t="s">
        <v>1296</v>
      </c>
      <c r="F1876" s="247" t="s">
        <v>2106</v>
      </c>
      <c r="G1876" s="247" t="s">
        <v>1357</v>
      </c>
      <c r="H1876" s="247" t="s">
        <v>1989</v>
      </c>
      <c r="I1876" s="247" t="s">
        <v>2107</v>
      </c>
      <c r="J1876" s="247">
        <v>55</v>
      </c>
      <c r="K1876" s="247">
        <v>55</v>
      </c>
      <c r="L1876" s="249" t="s">
        <v>940</v>
      </c>
      <c r="M1876" s="249" t="s">
        <v>929</v>
      </c>
      <c r="N1876" s="248">
        <v>0</v>
      </c>
      <c r="O1876" s="248">
        <v>42</v>
      </c>
      <c r="P1876" s="247" t="s">
        <v>1382</v>
      </c>
      <c r="Q1876" s="247" t="s">
        <v>94</v>
      </c>
    </row>
    <row r="1877" spans="1:17" x14ac:dyDescent="0.25">
      <c r="A1877" s="247" t="s">
        <v>646</v>
      </c>
      <c r="B1877" s="247" t="s">
        <v>265</v>
      </c>
      <c r="C1877" s="247" t="s">
        <v>1343</v>
      </c>
      <c r="D1877" s="247" t="s">
        <v>1356</v>
      </c>
      <c r="E1877" s="247" t="s">
        <v>1296</v>
      </c>
      <c r="F1877" s="247" t="s">
        <v>2106</v>
      </c>
      <c r="G1877" s="247" t="s">
        <v>1357</v>
      </c>
      <c r="H1877" s="247" t="s">
        <v>1989</v>
      </c>
      <c r="I1877" s="247" t="s">
        <v>2107</v>
      </c>
      <c r="J1877" s="247">
        <v>55</v>
      </c>
      <c r="K1877" s="247">
        <v>55</v>
      </c>
      <c r="L1877" s="249" t="s">
        <v>642</v>
      </c>
      <c r="M1877" s="249" t="s">
        <v>929</v>
      </c>
      <c r="N1877" s="248">
        <v>0</v>
      </c>
      <c r="O1877" s="248">
        <v>42</v>
      </c>
      <c r="P1877" s="247" t="s">
        <v>1382</v>
      </c>
      <c r="Q1877" s="247" t="s">
        <v>95</v>
      </c>
    </row>
    <row r="1878" spans="1:17" x14ac:dyDescent="0.25">
      <c r="A1878" s="247" t="s">
        <v>646</v>
      </c>
      <c r="B1878" s="247" t="s">
        <v>265</v>
      </c>
      <c r="C1878" s="247" t="s">
        <v>1343</v>
      </c>
      <c r="D1878" s="247" t="s">
        <v>946</v>
      </c>
      <c r="E1878" s="247" t="s">
        <v>1296</v>
      </c>
      <c r="F1878" s="247" t="s">
        <v>2108</v>
      </c>
      <c r="G1878" s="247" t="s">
        <v>1359</v>
      </c>
      <c r="H1878" s="247" t="s">
        <v>1989</v>
      </c>
      <c r="I1878" s="247" t="s">
        <v>2109</v>
      </c>
      <c r="J1878" s="247">
        <v>55</v>
      </c>
      <c r="K1878" s="247">
        <v>55</v>
      </c>
      <c r="L1878" s="249" t="s">
        <v>646</v>
      </c>
      <c r="M1878" s="249" t="s">
        <v>933</v>
      </c>
      <c r="N1878" s="248">
        <v>11.39</v>
      </c>
      <c r="O1878" s="248">
        <v>21.99</v>
      </c>
      <c r="P1878" s="247" t="s">
        <v>1383</v>
      </c>
      <c r="Q1878" s="247" t="s">
        <v>84</v>
      </c>
    </row>
    <row r="1879" spans="1:17" x14ac:dyDescent="0.25">
      <c r="A1879" s="247" t="s">
        <v>646</v>
      </c>
      <c r="B1879" s="247" t="s">
        <v>265</v>
      </c>
      <c r="C1879" s="247" t="s">
        <v>1343</v>
      </c>
      <c r="D1879" s="247" t="s">
        <v>946</v>
      </c>
      <c r="E1879" s="247" t="s">
        <v>1296</v>
      </c>
      <c r="F1879" s="247" t="s">
        <v>2108</v>
      </c>
      <c r="G1879" s="247" t="s">
        <v>1359</v>
      </c>
      <c r="H1879" s="247" t="s">
        <v>1989</v>
      </c>
      <c r="I1879" s="247" t="s">
        <v>2109</v>
      </c>
      <c r="J1879" s="247">
        <v>55</v>
      </c>
      <c r="K1879" s="247">
        <v>55</v>
      </c>
      <c r="L1879" s="249" t="s">
        <v>650</v>
      </c>
      <c r="M1879" s="249" t="s">
        <v>933</v>
      </c>
      <c r="N1879" s="248">
        <v>0</v>
      </c>
      <c r="O1879" s="248">
        <v>21.99</v>
      </c>
      <c r="P1879" s="247" t="s">
        <v>1383</v>
      </c>
      <c r="Q1879" s="247" t="s">
        <v>85</v>
      </c>
    </row>
    <row r="1880" spans="1:17" x14ac:dyDescent="0.25">
      <c r="A1880" s="247" t="s">
        <v>646</v>
      </c>
      <c r="B1880" s="247" t="s">
        <v>265</v>
      </c>
      <c r="C1880" s="247" t="s">
        <v>1343</v>
      </c>
      <c r="D1880" s="247" t="s">
        <v>946</v>
      </c>
      <c r="E1880" s="247" t="s">
        <v>1296</v>
      </c>
      <c r="F1880" s="247" t="s">
        <v>2108</v>
      </c>
      <c r="G1880" s="247" t="s">
        <v>1359</v>
      </c>
      <c r="H1880" s="247" t="s">
        <v>1989</v>
      </c>
      <c r="I1880" s="247" t="s">
        <v>2109</v>
      </c>
      <c r="J1880" s="247">
        <v>55</v>
      </c>
      <c r="K1880" s="247">
        <v>55</v>
      </c>
      <c r="L1880" s="249" t="s">
        <v>652</v>
      </c>
      <c r="M1880" s="249" t="s">
        <v>933</v>
      </c>
      <c r="N1880" s="248">
        <v>0</v>
      </c>
      <c r="O1880" s="248">
        <v>21.99</v>
      </c>
      <c r="P1880" s="247" t="s">
        <v>1383</v>
      </c>
      <c r="Q1880" s="247" t="s">
        <v>86</v>
      </c>
    </row>
    <row r="1881" spans="1:17" x14ac:dyDescent="0.25">
      <c r="A1881" s="247" t="s">
        <v>646</v>
      </c>
      <c r="B1881" s="247" t="s">
        <v>265</v>
      </c>
      <c r="C1881" s="247" t="s">
        <v>1343</v>
      </c>
      <c r="D1881" s="247" t="s">
        <v>946</v>
      </c>
      <c r="E1881" s="247" t="s">
        <v>1296</v>
      </c>
      <c r="F1881" s="247" t="s">
        <v>2108</v>
      </c>
      <c r="G1881" s="247" t="s">
        <v>1359</v>
      </c>
      <c r="H1881" s="247" t="s">
        <v>1989</v>
      </c>
      <c r="I1881" s="247" t="s">
        <v>2109</v>
      </c>
      <c r="J1881" s="247">
        <v>55</v>
      </c>
      <c r="K1881" s="247">
        <v>55</v>
      </c>
      <c r="L1881" s="249" t="s">
        <v>789</v>
      </c>
      <c r="M1881" s="249" t="s">
        <v>929</v>
      </c>
      <c r="N1881" s="248">
        <v>19.68</v>
      </c>
      <c r="O1881" s="248">
        <v>19.68</v>
      </c>
      <c r="P1881" s="247" t="s">
        <v>1383</v>
      </c>
      <c r="Q1881" s="247" t="s">
        <v>87</v>
      </c>
    </row>
    <row r="1882" spans="1:17" x14ac:dyDescent="0.25">
      <c r="A1882" s="247" t="s">
        <v>646</v>
      </c>
      <c r="B1882" s="247" t="s">
        <v>265</v>
      </c>
      <c r="C1882" s="247" t="s">
        <v>1343</v>
      </c>
      <c r="D1882" s="247" t="s">
        <v>946</v>
      </c>
      <c r="E1882" s="247" t="s">
        <v>1296</v>
      </c>
      <c r="F1882" s="247" t="s">
        <v>2108</v>
      </c>
      <c r="G1882" s="247" t="s">
        <v>1359</v>
      </c>
      <c r="H1882" s="247" t="s">
        <v>1989</v>
      </c>
      <c r="I1882" s="247" t="s">
        <v>2109</v>
      </c>
      <c r="J1882" s="247">
        <v>55</v>
      </c>
      <c r="K1882" s="247">
        <v>55</v>
      </c>
      <c r="L1882" s="249" t="s">
        <v>791</v>
      </c>
      <c r="M1882" s="249" t="s">
        <v>929</v>
      </c>
      <c r="N1882" s="248">
        <v>16.02</v>
      </c>
      <c r="O1882" s="248">
        <v>35.700000000000003</v>
      </c>
      <c r="P1882" s="247" t="s">
        <v>1383</v>
      </c>
      <c r="Q1882" s="247" t="s">
        <v>88</v>
      </c>
    </row>
    <row r="1883" spans="1:17" x14ac:dyDescent="0.25">
      <c r="A1883" s="247" t="s">
        <v>646</v>
      </c>
      <c r="B1883" s="247" t="s">
        <v>265</v>
      </c>
      <c r="C1883" s="247" t="s">
        <v>1343</v>
      </c>
      <c r="D1883" s="247" t="s">
        <v>946</v>
      </c>
      <c r="E1883" s="247" t="s">
        <v>1296</v>
      </c>
      <c r="F1883" s="247" t="s">
        <v>2108</v>
      </c>
      <c r="G1883" s="247" t="s">
        <v>1359</v>
      </c>
      <c r="H1883" s="247" t="s">
        <v>1989</v>
      </c>
      <c r="I1883" s="247" t="s">
        <v>2109</v>
      </c>
      <c r="J1883" s="247">
        <v>55</v>
      </c>
      <c r="K1883" s="247">
        <v>55</v>
      </c>
      <c r="L1883" s="249" t="s">
        <v>935</v>
      </c>
      <c r="M1883" s="249" t="s">
        <v>929</v>
      </c>
      <c r="N1883" s="248">
        <v>15.94</v>
      </c>
      <c r="O1883" s="248">
        <v>51.64</v>
      </c>
      <c r="P1883" s="247" t="s">
        <v>1383</v>
      </c>
      <c r="Q1883" s="247" t="s">
        <v>89</v>
      </c>
    </row>
    <row r="1884" spans="1:17" x14ac:dyDescent="0.25">
      <c r="A1884" s="247" t="s">
        <v>646</v>
      </c>
      <c r="B1884" s="247" t="s">
        <v>265</v>
      </c>
      <c r="C1884" s="247" t="s">
        <v>1343</v>
      </c>
      <c r="D1884" s="247" t="s">
        <v>946</v>
      </c>
      <c r="E1884" s="247" t="s">
        <v>1296</v>
      </c>
      <c r="F1884" s="247" t="s">
        <v>2108</v>
      </c>
      <c r="G1884" s="247" t="s">
        <v>1359</v>
      </c>
      <c r="H1884" s="247" t="s">
        <v>1989</v>
      </c>
      <c r="I1884" s="247" t="s">
        <v>2109</v>
      </c>
      <c r="J1884" s="247">
        <v>55</v>
      </c>
      <c r="K1884" s="247">
        <v>55</v>
      </c>
      <c r="L1884" s="249" t="s">
        <v>936</v>
      </c>
      <c r="M1884" s="249" t="s">
        <v>929</v>
      </c>
      <c r="N1884" s="248">
        <v>23.75</v>
      </c>
      <c r="O1884" s="248">
        <v>75.39</v>
      </c>
      <c r="P1884" s="247" t="s">
        <v>1383</v>
      </c>
      <c r="Q1884" s="247" t="s">
        <v>90</v>
      </c>
    </row>
    <row r="1885" spans="1:17" x14ac:dyDescent="0.25">
      <c r="A1885" s="247" t="s">
        <v>646</v>
      </c>
      <c r="B1885" s="247" t="s">
        <v>265</v>
      </c>
      <c r="C1885" s="247" t="s">
        <v>1343</v>
      </c>
      <c r="D1885" s="247" t="s">
        <v>946</v>
      </c>
      <c r="E1885" s="247" t="s">
        <v>1296</v>
      </c>
      <c r="F1885" s="247" t="s">
        <v>2108</v>
      </c>
      <c r="G1885" s="247" t="s">
        <v>1359</v>
      </c>
      <c r="H1885" s="247" t="s">
        <v>1989</v>
      </c>
      <c r="I1885" s="247" t="s">
        <v>2109</v>
      </c>
      <c r="J1885" s="247">
        <v>55</v>
      </c>
      <c r="K1885" s="247">
        <v>55</v>
      </c>
      <c r="L1885" s="249" t="s">
        <v>937</v>
      </c>
      <c r="M1885" s="249" t="s">
        <v>929</v>
      </c>
      <c r="N1885" s="248">
        <v>16.07</v>
      </c>
      <c r="O1885" s="248">
        <v>91.46</v>
      </c>
      <c r="P1885" s="247" t="s">
        <v>1383</v>
      </c>
      <c r="Q1885" s="247" t="s">
        <v>91</v>
      </c>
    </row>
    <row r="1886" spans="1:17" x14ac:dyDescent="0.25">
      <c r="A1886" s="247" t="s">
        <v>646</v>
      </c>
      <c r="B1886" s="247" t="s">
        <v>265</v>
      </c>
      <c r="C1886" s="247" t="s">
        <v>1343</v>
      </c>
      <c r="D1886" s="247" t="s">
        <v>946</v>
      </c>
      <c r="E1886" s="247" t="s">
        <v>1296</v>
      </c>
      <c r="F1886" s="247" t="s">
        <v>2108</v>
      </c>
      <c r="G1886" s="247" t="s">
        <v>1359</v>
      </c>
      <c r="H1886" s="247" t="s">
        <v>1989</v>
      </c>
      <c r="I1886" s="247" t="s">
        <v>2109</v>
      </c>
      <c r="J1886" s="247">
        <v>55</v>
      </c>
      <c r="K1886" s="247">
        <v>55</v>
      </c>
      <c r="L1886" s="249" t="s">
        <v>938</v>
      </c>
      <c r="M1886" s="249" t="s">
        <v>929</v>
      </c>
      <c r="N1886" s="248">
        <v>16.43</v>
      </c>
      <c r="O1886" s="248">
        <v>107.89</v>
      </c>
      <c r="P1886" s="247" t="s">
        <v>1383</v>
      </c>
      <c r="Q1886" s="247" t="s">
        <v>92</v>
      </c>
    </row>
    <row r="1887" spans="1:17" x14ac:dyDescent="0.25">
      <c r="A1887" s="247" t="s">
        <v>646</v>
      </c>
      <c r="B1887" s="247" t="s">
        <v>265</v>
      </c>
      <c r="C1887" s="247" t="s">
        <v>1343</v>
      </c>
      <c r="D1887" s="247" t="s">
        <v>946</v>
      </c>
      <c r="E1887" s="247" t="s">
        <v>1296</v>
      </c>
      <c r="F1887" s="247" t="s">
        <v>2108</v>
      </c>
      <c r="G1887" s="247" t="s">
        <v>1359</v>
      </c>
      <c r="H1887" s="247" t="s">
        <v>1989</v>
      </c>
      <c r="I1887" s="247" t="s">
        <v>2109</v>
      </c>
      <c r="J1887" s="247">
        <v>55</v>
      </c>
      <c r="K1887" s="247">
        <v>55</v>
      </c>
      <c r="L1887" s="249" t="s">
        <v>939</v>
      </c>
      <c r="M1887" s="249" t="s">
        <v>929</v>
      </c>
      <c r="N1887" s="248">
        <v>17.399999999999999</v>
      </c>
      <c r="O1887" s="248">
        <v>125.29</v>
      </c>
      <c r="P1887" s="247" t="s">
        <v>1383</v>
      </c>
      <c r="Q1887" s="247" t="s">
        <v>93</v>
      </c>
    </row>
    <row r="1888" spans="1:17" x14ac:dyDescent="0.25">
      <c r="A1888" s="247" t="s">
        <v>646</v>
      </c>
      <c r="B1888" s="247" t="s">
        <v>265</v>
      </c>
      <c r="C1888" s="247" t="s">
        <v>1343</v>
      </c>
      <c r="D1888" s="247" t="s">
        <v>946</v>
      </c>
      <c r="E1888" s="247" t="s">
        <v>1296</v>
      </c>
      <c r="F1888" s="247" t="s">
        <v>2108</v>
      </c>
      <c r="G1888" s="247" t="s">
        <v>1359</v>
      </c>
      <c r="H1888" s="247" t="s">
        <v>1989</v>
      </c>
      <c r="I1888" s="247" t="s">
        <v>2109</v>
      </c>
      <c r="J1888" s="247">
        <v>55</v>
      </c>
      <c r="K1888" s="247">
        <v>55</v>
      </c>
      <c r="L1888" s="249" t="s">
        <v>940</v>
      </c>
      <c r="M1888" s="249" t="s">
        <v>929</v>
      </c>
      <c r="N1888" s="248">
        <v>17.63</v>
      </c>
      <c r="O1888" s="248">
        <v>142.91999999999999</v>
      </c>
      <c r="P1888" s="247" t="s">
        <v>1383</v>
      </c>
      <c r="Q1888" s="247" t="s">
        <v>94</v>
      </c>
    </row>
    <row r="1889" spans="1:17" x14ac:dyDescent="0.25">
      <c r="A1889" s="247" t="s">
        <v>646</v>
      </c>
      <c r="B1889" s="247" t="s">
        <v>265</v>
      </c>
      <c r="C1889" s="247" t="s">
        <v>1343</v>
      </c>
      <c r="D1889" s="247" t="s">
        <v>946</v>
      </c>
      <c r="E1889" s="247" t="s">
        <v>1296</v>
      </c>
      <c r="F1889" s="247" t="s">
        <v>2108</v>
      </c>
      <c r="G1889" s="247" t="s">
        <v>1359</v>
      </c>
      <c r="H1889" s="247" t="s">
        <v>1989</v>
      </c>
      <c r="I1889" s="247" t="s">
        <v>2109</v>
      </c>
      <c r="J1889" s="247">
        <v>55</v>
      </c>
      <c r="K1889" s="247">
        <v>55</v>
      </c>
      <c r="L1889" s="249" t="s">
        <v>642</v>
      </c>
      <c r="M1889" s="249" t="s">
        <v>929</v>
      </c>
      <c r="N1889" s="248">
        <v>20.82</v>
      </c>
      <c r="O1889" s="248">
        <v>163.74</v>
      </c>
      <c r="P1889" s="247" t="s">
        <v>1383</v>
      </c>
      <c r="Q1889" s="247" t="s">
        <v>95</v>
      </c>
    </row>
    <row r="1890" spans="1:17" x14ac:dyDescent="0.25">
      <c r="A1890" s="247" t="s">
        <v>646</v>
      </c>
      <c r="B1890" s="247" t="s">
        <v>265</v>
      </c>
      <c r="C1890" s="247" t="s">
        <v>1343</v>
      </c>
      <c r="D1890" s="247" t="s">
        <v>1361</v>
      </c>
      <c r="E1890" s="247" t="s">
        <v>1296</v>
      </c>
      <c r="F1890" s="247" t="s">
        <v>2110</v>
      </c>
      <c r="G1890" s="247" t="s">
        <v>1362</v>
      </c>
      <c r="H1890" s="247" t="s">
        <v>1989</v>
      </c>
      <c r="I1890" s="247" t="s">
        <v>2111</v>
      </c>
      <c r="J1890" s="247">
        <v>54</v>
      </c>
      <c r="K1890" s="247">
        <v>54</v>
      </c>
      <c r="L1890" s="249" t="s">
        <v>646</v>
      </c>
      <c r="M1890" s="249" t="s">
        <v>933</v>
      </c>
      <c r="N1890" s="248">
        <v>475.31</v>
      </c>
      <c r="O1890" s="248">
        <v>764.09</v>
      </c>
      <c r="P1890" s="247" t="s">
        <v>1384</v>
      </c>
      <c r="Q1890" s="247" t="s">
        <v>84</v>
      </c>
    </row>
    <row r="1891" spans="1:17" x14ac:dyDescent="0.25">
      <c r="A1891" s="247" t="s">
        <v>646</v>
      </c>
      <c r="B1891" s="247" t="s">
        <v>265</v>
      </c>
      <c r="C1891" s="247" t="s">
        <v>1343</v>
      </c>
      <c r="D1891" s="247" t="s">
        <v>1361</v>
      </c>
      <c r="E1891" s="247" t="s">
        <v>1296</v>
      </c>
      <c r="F1891" s="247" t="s">
        <v>2110</v>
      </c>
      <c r="G1891" s="247" t="s">
        <v>1362</v>
      </c>
      <c r="H1891" s="247" t="s">
        <v>1989</v>
      </c>
      <c r="I1891" s="247" t="s">
        <v>2111</v>
      </c>
      <c r="J1891" s="247">
        <v>54</v>
      </c>
      <c r="K1891" s="247">
        <v>54</v>
      </c>
      <c r="L1891" s="249" t="s">
        <v>650</v>
      </c>
      <c r="M1891" s="249" t="s">
        <v>933</v>
      </c>
      <c r="N1891" s="248">
        <v>328.09</v>
      </c>
      <c r="O1891" s="248">
        <v>1092.18</v>
      </c>
      <c r="P1891" s="247" t="s">
        <v>1384</v>
      </c>
      <c r="Q1891" s="247" t="s">
        <v>85</v>
      </c>
    </row>
    <row r="1892" spans="1:17" x14ac:dyDescent="0.25">
      <c r="A1892" s="247" t="s">
        <v>646</v>
      </c>
      <c r="B1892" s="247" t="s">
        <v>265</v>
      </c>
      <c r="C1892" s="247" t="s">
        <v>1343</v>
      </c>
      <c r="D1892" s="247" t="s">
        <v>1361</v>
      </c>
      <c r="E1892" s="247" t="s">
        <v>1296</v>
      </c>
      <c r="F1892" s="247" t="s">
        <v>2110</v>
      </c>
      <c r="G1892" s="247" t="s">
        <v>1362</v>
      </c>
      <c r="H1892" s="247" t="s">
        <v>1989</v>
      </c>
      <c r="I1892" s="247" t="s">
        <v>2111</v>
      </c>
      <c r="J1892" s="247">
        <v>54</v>
      </c>
      <c r="K1892" s="247">
        <v>54</v>
      </c>
      <c r="L1892" s="249" t="s">
        <v>652</v>
      </c>
      <c r="M1892" s="249" t="s">
        <v>933</v>
      </c>
      <c r="N1892" s="248">
        <v>247.78</v>
      </c>
      <c r="O1892" s="248">
        <v>1339.96</v>
      </c>
      <c r="P1892" s="247" t="s">
        <v>1384</v>
      </c>
      <c r="Q1892" s="247" t="s">
        <v>86</v>
      </c>
    </row>
    <row r="1893" spans="1:17" x14ac:dyDescent="0.25">
      <c r="A1893" s="247" t="s">
        <v>646</v>
      </c>
      <c r="B1893" s="247" t="s">
        <v>265</v>
      </c>
      <c r="C1893" s="247" t="s">
        <v>1343</v>
      </c>
      <c r="D1893" s="247" t="s">
        <v>1361</v>
      </c>
      <c r="E1893" s="247" t="s">
        <v>1296</v>
      </c>
      <c r="F1893" s="247" t="s">
        <v>2110</v>
      </c>
      <c r="G1893" s="247" t="s">
        <v>1362</v>
      </c>
      <c r="H1893" s="247" t="s">
        <v>1989</v>
      </c>
      <c r="I1893" s="247" t="s">
        <v>2111</v>
      </c>
      <c r="J1893" s="247">
        <v>54</v>
      </c>
      <c r="K1893" s="247">
        <v>54</v>
      </c>
      <c r="L1893" s="249" t="s">
        <v>789</v>
      </c>
      <c r="M1893" s="249" t="s">
        <v>929</v>
      </c>
      <c r="N1893" s="248">
        <v>304.68</v>
      </c>
      <c r="O1893" s="248">
        <v>304.68</v>
      </c>
      <c r="P1893" s="247" t="s">
        <v>1384</v>
      </c>
      <c r="Q1893" s="247" t="s">
        <v>87</v>
      </c>
    </row>
    <row r="1894" spans="1:17" x14ac:dyDescent="0.25">
      <c r="A1894" s="247" t="s">
        <v>646</v>
      </c>
      <c r="B1894" s="247" t="s">
        <v>265</v>
      </c>
      <c r="C1894" s="247" t="s">
        <v>1343</v>
      </c>
      <c r="D1894" s="247" t="s">
        <v>1361</v>
      </c>
      <c r="E1894" s="247" t="s">
        <v>1296</v>
      </c>
      <c r="F1894" s="247" t="s">
        <v>2110</v>
      </c>
      <c r="G1894" s="247" t="s">
        <v>1362</v>
      </c>
      <c r="H1894" s="247" t="s">
        <v>1989</v>
      </c>
      <c r="I1894" s="247" t="s">
        <v>2111</v>
      </c>
      <c r="J1894" s="247">
        <v>54</v>
      </c>
      <c r="K1894" s="247">
        <v>54</v>
      </c>
      <c r="L1894" s="249" t="s">
        <v>791</v>
      </c>
      <c r="M1894" s="249" t="s">
        <v>929</v>
      </c>
      <c r="N1894" s="248">
        <v>357.45</v>
      </c>
      <c r="O1894" s="248">
        <v>662.13</v>
      </c>
      <c r="P1894" s="247" t="s">
        <v>1384</v>
      </c>
      <c r="Q1894" s="247" t="s">
        <v>88</v>
      </c>
    </row>
    <row r="1895" spans="1:17" x14ac:dyDescent="0.25">
      <c r="A1895" s="247" t="s">
        <v>646</v>
      </c>
      <c r="B1895" s="247" t="s">
        <v>265</v>
      </c>
      <c r="C1895" s="247" t="s">
        <v>1343</v>
      </c>
      <c r="D1895" s="247" t="s">
        <v>1361</v>
      </c>
      <c r="E1895" s="247" t="s">
        <v>1296</v>
      </c>
      <c r="F1895" s="247" t="s">
        <v>2110</v>
      </c>
      <c r="G1895" s="247" t="s">
        <v>1362</v>
      </c>
      <c r="H1895" s="247" t="s">
        <v>1989</v>
      </c>
      <c r="I1895" s="247" t="s">
        <v>2111</v>
      </c>
      <c r="J1895" s="247">
        <v>54</v>
      </c>
      <c r="K1895" s="247">
        <v>54</v>
      </c>
      <c r="L1895" s="249" t="s">
        <v>935</v>
      </c>
      <c r="M1895" s="249" t="s">
        <v>929</v>
      </c>
      <c r="N1895" s="248">
        <v>326.51</v>
      </c>
      <c r="O1895" s="248">
        <v>988.64</v>
      </c>
      <c r="P1895" s="247" t="s">
        <v>1384</v>
      </c>
      <c r="Q1895" s="247" t="s">
        <v>89</v>
      </c>
    </row>
    <row r="1896" spans="1:17" x14ac:dyDescent="0.25">
      <c r="A1896" s="247" t="s">
        <v>646</v>
      </c>
      <c r="B1896" s="247" t="s">
        <v>265</v>
      </c>
      <c r="C1896" s="247" t="s">
        <v>1343</v>
      </c>
      <c r="D1896" s="247" t="s">
        <v>1361</v>
      </c>
      <c r="E1896" s="247" t="s">
        <v>1296</v>
      </c>
      <c r="F1896" s="247" t="s">
        <v>2110</v>
      </c>
      <c r="G1896" s="247" t="s">
        <v>1362</v>
      </c>
      <c r="H1896" s="247" t="s">
        <v>1989</v>
      </c>
      <c r="I1896" s="247" t="s">
        <v>2111</v>
      </c>
      <c r="J1896" s="247">
        <v>54</v>
      </c>
      <c r="K1896" s="247">
        <v>54</v>
      </c>
      <c r="L1896" s="249" t="s">
        <v>936</v>
      </c>
      <c r="M1896" s="249" t="s">
        <v>929</v>
      </c>
      <c r="N1896" s="248">
        <v>518.14</v>
      </c>
      <c r="O1896" s="248">
        <v>1506.78</v>
      </c>
      <c r="P1896" s="247" t="s">
        <v>1384</v>
      </c>
      <c r="Q1896" s="247" t="s">
        <v>90</v>
      </c>
    </row>
    <row r="1897" spans="1:17" x14ac:dyDescent="0.25">
      <c r="A1897" s="247" t="s">
        <v>646</v>
      </c>
      <c r="B1897" s="247" t="s">
        <v>265</v>
      </c>
      <c r="C1897" s="247" t="s">
        <v>1343</v>
      </c>
      <c r="D1897" s="247" t="s">
        <v>1361</v>
      </c>
      <c r="E1897" s="247" t="s">
        <v>1296</v>
      </c>
      <c r="F1897" s="247" t="s">
        <v>2110</v>
      </c>
      <c r="G1897" s="247" t="s">
        <v>1362</v>
      </c>
      <c r="H1897" s="247" t="s">
        <v>1989</v>
      </c>
      <c r="I1897" s="247" t="s">
        <v>2111</v>
      </c>
      <c r="J1897" s="247">
        <v>54</v>
      </c>
      <c r="K1897" s="247">
        <v>54</v>
      </c>
      <c r="L1897" s="249" t="s">
        <v>937</v>
      </c>
      <c r="M1897" s="249" t="s">
        <v>929</v>
      </c>
      <c r="N1897" s="248">
        <v>358.15</v>
      </c>
      <c r="O1897" s="248">
        <v>1864.93</v>
      </c>
      <c r="P1897" s="247" t="s">
        <v>1384</v>
      </c>
      <c r="Q1897" s="247" t="s">
        <v>91</v>
      </c>
    </row>
    <row r="1898" spans="1:17" x14ac:dyDescent="0.25">
      <c r="A1898" s="247" t="s">
        <v>646</v>
      </c>
      <c r="B1898" s="247" t="s">
        <v>265</v>
      </c>
      <c r="C1898" s="247" t="s">
        <v>1343</v>
      </c>
      <c r="D1898" s="247" t="s">
        <v>1361</v>
      </c>
      <c r="E1898" s="247" t="s">
        <v>1296</v>
      </c>
      <c r="F1898" s="247" t="s">
        <v>2110</v>
      </c>
      <c r="G1898" s="247" t="s">
        <v>1362</v>
      </c>
      <c r="H1898" s="247" t="s">
        <v>1989</v>
      </c>
      <c r="I1898" s="247" t="s">
        <v>2111</v>
      </c>
      <c r="J1898" s="247">
        <v>54</v>
      </c>
      <c r="K1898" s="247">
        <v>54</v>
      </c>
      <c r="L1898" s="249" t="s">
        <v>938</v>
      </c>
      <c r="M1898" s="249" t="s">
        <v>929</v>
      </c>
      <c r="N1898" s="248">
        <v>288.33999999999997</v>
      </c>
      <c r="O1898" s="248">
        <v>2153.27</v>
      </c>
      <c r="P1898" s="247" t="s">
        <v>1384</v>
      </c>
      <c r="Q1898" s="247" t="s">
        <v>92</v>
      </c>
    </row>
    <row r="1899" spans="1:17" x14ac:dyDescent="0.25">
      <c r="A1899" s="247" t="s">
        <v>646</v>
      </c>
      <c r="B1899" s="247" t="s">
        <v>265</v>
      </c>
      <c r="C1899" s="247" t="s">
        <v>1343</v>
      </c>
      <c r="D1899" s="247" t="s">
        <v>1361</v>
      </c>
      <c r="E1899" s="247" t="s">
        <v>1296</v>
      </c>
      <c r="F1899" s="247" t="s">
        <v>2110</v>
      </c>
      <c r="G1899" s="247" t="s">
        <v>1362</v>
      </c>
      <c r="H1899" s="247" t="s">
        <v>1989</v>
      </c>
      <c r="I1899" s="247" t="s">
        <v>2111</v>
      </c>
      <c r="J1899" s="247">
        <v>54</v>
      </c>
      <c r="K1899" s="247">
        <v>54</v>
      </c>
      <c r="L1899" s="249" t="s">
        <v>939</v>
      </c>
      <c r="M1899" s="249" t="s">
        <v>929</v>
      </c>
      <c r="N1899" s="248">
        <v>345.65</v>
      </c>
      <c r="O1899" s="248">
        <v>2498.92</v>
      </c>
      <c r="P1899" s="247" t="s">
        <v>1384</v>
      </c>
      <c r="Q1899" s="247" t="s">
        <v>93</v>
      </c>
    </row>
    <row r="1900" spans="1:17" x14ac:dyDescent="0.25">
      <c r="A1900" s="247" t="s">
        <v>646</v>
      </c>
      <c r="B1900" s="247" t="s">
        <v>265</v>
      </c>
      <c r="C1900" s="247" t="s">
        <v>1343</v>
      </c>
      <c r="D1900" s="247" t="s">
        <v>1361</v>
      </c>
      <c r="E1900" s="247" t="s">
        <v>1296</v>
      </c>
      <c r="F1900" s="247" t="s">
        <v>2110</v>
      </c>
      <c r="G1900" s="247" t="s">
        <v>1362</v>
      </c>
      <c r="H1900" s="247" t="s">
        <v>1989</v>
      </c>
      <c r="I1900" s="247" t="s">
        <v>2111</v>
      </c>
      <c r="J1900" s="247">
        <v>54</v>
      </c>
      <c r="K1900" s="247">
        <v>54</v>
      </c>
      <c r="L1900" s="249" t="s">
        <v>940</v>
      </c>
      <c r="M1900" s="249" t="s">
        <v>929</v>
      </c>
      <c r="N1900" s="248">
        <v>362.39</v>
      </c>
      <c r="O1900" s="248">
        <v>2861.31</v>
      </c>
      <c r="P1900" s="247" t="s">
        <v>1384</v>
      </c>
      <c r="Q1900" s="247" t="s">
        <v>94</v>
      </c>
    </row>
    <row r="1901" spans="1:17" x14ac:dyDescent="0.25">
      <c r="A1901" s="247" t="s">
        <v>646</v>
      </c>
      <c r="B1901" s="247" t="s">
        <v>265</v>
      </c>
      <c r="C1901" s="247" t="s">
        <v>1343</v>
      </c>
      <c r="D1901" s="247" t="s">
        <v>1361</v>
      </c>
      <c r="E1901" s="247" t="s">
        <v>1296</v>
      </c>
      <c r="F1901" s="247" t="s">
        <v>2110</v>
      </c>
      <c r="G1901" s="247" t="s">
        <v>1362</v>
      </c>
      <c r="H1901" s="247" t="s">
        <v>1989</v>
      </c>
      <c r="I1901" s="247" t="s">
        <v>2111</v>
      </c>
      <c r="J1901" s="247">
        <v>54</v>
      </c>
      <c r="K1901" s="247">
        <v>54</v>
      </c>
      <c r="L1901" s="249" t="s">
        <v>642</v>
      </c>
      <c r="M1901" s="249" t="s">
        <v>929</v>
      </c>
      <c r="N1901" s="248">
        <v>510.6</v>
      </c>
      <c r="O1901" s="248">
        <v>3371.91</v>
      </c>
      <c r="P1901" s="247" t="s">
        <v>1384</v>
      </c>
      <c r="Q1901" s="247" t="s">
        <v>95</v>
      </c>
    </row>
    <row r="1902" spans="1:17" x14ac:dyDescent="0.25">
      <c r="A1902" s="247" t="s">
        <v>646</v>
      </c>
      <c r="B1902" s="247" t="s">
        <v>265</v>
      </c>
      <c r="C1902" s="247" t="s">
        <v>1343</v>
      </c>
      <c r="D1902" s="247" t="s">
        <v>1172</v>
      </c>
      <c r="E1902" s="247" t="s">
        <v>1296</v>
      </c>
      <c r="F1902" s="247" t="s">
        <v>2112</v>
      </c>
      <c r="G1902" s="247" t="s">
        <v>1364</v>
      </c>
      <c r="H1902" s="247" t="s">
        <v>1989</v>
      </c>
      <c r="I1902" s="247" t="s">
        <v>2113</v>
      </c>
      <c r="J1902" s="247">
        <v>56</v>
      </c>
      <c r="K1902" s="247">
        <v>56</v>
      </c>
      <c r="L1902" s="249" t="s">
        <v>646</v>
      </c>
      <c r="M1902" s="249" t="s">
        <v>933</v>
      </c>
      <c r="N1902" s="248">
        <v>0</v>
      </c>
      <c r="O1902" s="248">
        <v>106.58</v>
      </c>
      <c r="P1902" s="247" t="s">
        <v>1385</v>
      </c>
      <c r="Q1902" s="247" t="s">
        <v>84</v>
      </c>
    </row>
    <row r="1903" spans="1:17" x14ac:dyDescent="0.25">
      <c r="A1903" s="247" t="s">
        <v>646</v>
      </c>
      <c r="B1903" s="247" t="s">
        <v>265</v>
      </c>
      <c r="C1903" s="247" t="s">
        <v>1343</v>
      </c>
      <c r="D1903" s="247" t="s">
        <v>1172</v>
      </c>
      <c r="E1903" s="247" t="s">
        <v>1296</v>
      </c>
      <c r="F1903" s="247" t="s">
        <v>2112</v>
      </c>
      <c r="G1903" s="247" t="s">
        <v>1364</v>
      </c>
      <c r="H1903" s="247" t="s">
        <v>1989</v>
      </c>
      <c r="I1903" s="247" t="s">
        <v>2113</v>
      </c>
      <c r="J1903" s="247">
        <v>56</v>
      </c>
      <c r="K1903" s="247">
        <v>56</v>
      </c>
      <c r="L1903" s="249" t="s">
        <v>650</v>
      </c>
      <c r="M1903" s="249" t="s">
        <v>933</v>
      </c>
      <c r="N1903" s="248">
        <v>0</v>
      </c>
      <c r="O1903" s="248">
        <v>106.58</v>
      </c>
      <c r="P1903" s="247" t="s">
        <v>1385</v>
      </c>
      <c r="Q1903" s="247" t="s">
        <v>85</v>
      </c>
    </row>
    <row r="1904" spans="1:17" x14ac:dyDescent="0.25">
      <c r="A1904" s="247" t="s">
        <v>646</v>
      </c>
      <c r="B1904" s="247" t="s">
        <v>265</v>
      </c>
      <c r="C1904" s="247" t="s">
        <v>1343</v>
      </c>
      <c r="D1904" s="247" t="s">
        <v>1172</v>
      </c>
      <c r="E1904" s="247" t="s">
        <v>1296</v>
      </c>
      <c r="F1904" s="247" t="s">
        <v>2112</v>
      </c>
      <c r="G1904" s="247" t="s">
        <v>1364</v>
      </c>
      <c r="H1904" s="247" t="s">
        <v>1989</v>
      </c>
      <c r="I1904" s="247" t="s">
        <v>2113</v>
      </c>
      <c r="J1904" s="247">
        <v>56</v>
      </c>
      <c r="K1904" s="247">
        <v>56</v>
      </c>
      <c r="L1904" s="249" t="s">
        <v>652</v>
      </c>
      <c r="M1904" s="249" t="s">
        <v>933</v>
      </c>
      <c r="N1904" s="248">
        <v>0</v>
      </c>
      <c r="O1904" s="248">
        <v>106.58</v>
      </c>
      <c r="P1904" s="247" t="s">
        <v>1385</v>
      </c>
      <c r="Q1904" s="247" t="s">
        <v>86</v>
      </c>
    </row>
    <row r="1905" spans="1:17" x14ac:dyDescent="0.25">
      <c r="A1905" s="247" t="s">
        <v>646</v>
      </c>
      <c r="B1905" s="247" t="s">
        <v>265</v>
      </c>
      <c r="C1905" s="247" t="s">
        <v>1343</v>
      </c>
      <c r="D1905" s="247" t="s">
        <v>926</v>
      </c>
      <c r="E1905" s="247" t="s">
        <v>1300</v>
      </c>
      <c r="F1905" s="247" t="s">
        <v>2114</v>
      </c>
      <c r="G1905" s="247" t="s">
        <v>1344</v>
      </c>
      <c r="H1905" s="247" t="s">
        <v>1996</v>
      </c>
      <c r="I1905" s="247" t="s">
        <v>2115</v>
      </c>
      <c r="J1905" s="247">
        <v>29</v>
      </c>
      <c r="K1905" s="247">
        <v>29</v>
      </c>
      <c r="L1905" s="249" t="s">
        <v>646</v>
      </c>
      <c r="M1905" s="249" t="s">
        <v>933</v>
      </c>
      <c r="N1905" s="248">
        <v>694.94</v>
      </c>
      <c r="O1905" s="248">
        <v>694.94</v>
      </c>
      <c r="P1905" s="247" t="s">
        <v>1386</v>
      </c>
      <c r="Q1905" s="247" t="s">
        <v>84</v>
      </c>
    </row>
    <row r="1906" spans="1:17" x14ac:dyDescent="0.25">
      <c r="A1906" s="247" t="s">
        <v>646</v>
      </c>
      <c r="B1906" s="247" t="s">
        <v>265</v>
      </c>
      <c r="C1906" s="247" t="s">
        <v>1343</v>
      </c>
      <c r="D1906" s="247" t="s">
        <v>926</v>
      </c>
      <c r="E1906" s="247" t="s">
        <v>1300</v>
      </c>
      <c r="F1906" s="247" t="s">
        <v>2114</v>
      </c>
      <c r="G1906" s="247" t="s">
        <v>1344</v>
      </c>
      <c r="H1906" s="247" t="s">
        <v>1996</v>
      </c>
      <c r="I1906" s="247" t="s">
        <v>2115</v>
      </c>
      <c r="J1906" s="247">
        <v>29</v>
      </c>
      <c r="K1906" s="247">
        <v>29</v>
      </c>
      <c r="L1906" s="249" t="s">
        <v>650</v>
      </c>
      <c r="M1906" s="249" t="s">
        <v>933</v>
      </c>
      <c r="N1906" s="248">
        <v>553.70000000000005</v>
      </c>
      <c r="O1906" s="248">
        <v>1248.6400000000001</v>
      </c>
      <c r="P1906" s="247" t="s">
        <v>1386</v>
      </c>
      <c r="Q1906" s="247" t="s">
        <v>85</v>
      </c>
    </row>
    <row r="1907" spans="1:17" x14ac:dyDescent="0.25">
      <c r="A1907" s="247" t="s">
        <v>646</v>
      </c>
      <c r="B1907" s="247" t="s">
        <v>265</v>
      </c>
      <c r="C1907" s="247" t="s">
        <v>1343</v>
      </c>
      <c r="D1907" s="247" t="s">
        <v>926</v>
      </c>
      <c r="E1907" s="247" t="s">
        <v>1300</v>
      </c>
      <c r="F1907" s="247" t="s">
        <v>2114</v>
      </c>
      <c r="G1907" s="247" t="s">
        <v>1344</v>
      </c>
      <c r="H1907" s="247" t="s">
        <v>1996</v>
      </c>
      <c r="I1907" s="247" t="s">
        <v>2115</v>
      </c>
      <c r="J1907" s="247">
        <v>29</v>
      </c>
      <c r="K1907" s="247">
        <v>29</v>
      </c>
      <c r="L1907" s="249" t="s">
        <v>652</v>
      </c>
      <c r="M1907" s="249" t="s">
        <v>933</v>
      </c>
      <c r="N1907" s="248">
        <v>1279.17</v>
      </c>
      <c r="O1907" s="248">
        <v>2527.81</v>
      </c>
      <c r="P1907" s="247" t="s">
        <v>1386</v>
      </c>
      <c r="Q1907" s="247" t="s">
        <v>86</v>
      </c>
    </row>
    <row r="1908" spans="1:17" x14ac:dyDescent="0.25">
      <c r="A1908" s="247" t="s">
        <v>646</v>
      </c>
      <c r="B1908" s="247" t="s">
        <v>265</v>
      </c>
      <c r="C1908" s="247" t="s">
        <v>1343</v>
      </c>
      <c r="D1908" s="247" t="s">
        <v>926</v>
      </c>
      <c r="E1908" s="247" t="s">
        <v>1300</v>
      </c>
      <c r="F1908" s="247" t="s">
        <v>2114</v>
      </c>
      <c r="G1908" s="247" t="s">
        <v>1344</v>
      </c>
      <c r="H1908" s="247" t="s">
        <v>1996</v>
      </c>
      <c r="I1908" s="247" t="s">
        <v>2115</v>
      </c>
      <c r="J1908" s="247">
        <v>29</v>
      </c>
      <c r="K1908" s="247">
        <v>29</v>
      </c>
      <c r="L1908" s="249" t="s">
        <v>789</v>
      </c>
      <c r="M1908" s="249" t="s">
        <v>929</v>
      </c>
      <c r="N1908" s="248">
        <v>742.75</v>
      </c>
      <c r="O1908" s="248">
        <v>742.75</v>
      </c>
      <c r="P1908" s="247" t="s">
        <v>1386</v>
      </c>
      <c r="Q1908" s="247" t="s">
        <v>87</v>
      </c>
    </row>
    <row r="1909" spans="1:17" x14ac:dyDescent="0.25">
      <c r="A1909" s="247" t="s">
        <v>646</v>
      </c>
      <c r="B1909" s="247" t="s">
        <v>265</v>
      </c>
      <c r="C1909" s="247" t="s">
        <v>1343</v>
      </c>
      <c r="D1909" s="247" t="s">
        <v>926</v>
      </c>
      <c r="E1909" s="247" t="s">
        <v>1300</v>
      </c>
      <c r="F1909" s="247" t="s">
        <v>2114</v>
      </c>
      <c r="G1909" s="247" t="s">
        <v>1344</v>
      </c>
      <c r="H1909" s="247" t="s">
        <v>1996</v>
      </c>
      <c r="I1909" s="247" t="s">
        <v>2115</v>
      </c>
      <c r="J1909" s="247">
        <v>29</v>
      </c>
      <c r="K1909" s="247">
        <v>29</v>
      </c>
      <c r="L1909" s="249" t="s">
        <v>791</v>
      </c>
      <c r="M1909" s="249" t="s">
        <v>929</v>
      </c>
      <c r="N1909" s="248">
        <v>742.75</v>
      </c>
      <c r="O1909" s="248">
        <v>1485.5</v>
      </c>
      <c r="P1909" s="247" t="s">
        <v>1386</v>
      </c>
      <c r="Q1909" s="247" t="s">
        <v>88</v>
      </c>
    </row>
    <row r="1910" spans="1:17" x14ac:dyDescent="0.25">
      <c r="A1910" s="247" t="s">
        <v>646</v>
      </c>
      <c r="B1910" s="247" t="s">
        <v>265</v>
      </c>
      <c r="C1910" s="247" t="s">
        <v>1343</v>
      </c>
      <c r="D1910" s="247" t="s">
        <v>926</v>
      </c>
      <c r="E1910" s="247" t="s">
        <v>1300</v>
      </c>
      <c r="F1910" s="247" t="s">
        <v>2114</v>
      </c>
      <c r="G1910" s="247" t="s">
        <v>1344</v>
      </c>
      <c r="H1910" s="247" t="s">
        <v>1996</v>
      </c>
      <c r="I1910" s="247" t="s">
        <v>2115</v>
      </c>
      <c r="J1910" s="247">
        <v>29</v>
      </c>
      <c r="K1910" s="247">
        <v>29</v>
      </c>
      <c r="L1910" s="249" t="s">
        <v>935</v>
      </c>
      <c r="M1910" s="249" t="s">
        <v>929</v>
      </c>
      <c r="N1910" s="248">
        <v>742.75</v>
      </c>
      <c r="O1910" s="248">
        <v>2228.25</v>
      </c>
      <c r="P1910" s="247" t="s">
        <v>1386</v>
      </c>
      <c r="Q1910" s="247" t="s">
        <v>89</v>
      </c>
    </row>
    <row r="1911" spans="1:17" x14ac:dyDescent="0.25">
      <c r="A1911" s="247" t="s">
        <v>646</v>
      </c>
      <c r="B1911" s="247" t="s">
        <v>265</v>
      </c>
      <c r="C1911" s="247" t="s">
        <v>1343</v>
      </c>
      <c r="D1911" s="247" t="s">
        <v>926</v>
      </c>
      <c r="E1911" s="247" t="s">
        <v>1300</v>
      </c>
      <c r="F1911" s="247" t="s">
        <v>2114</v>
      </c>
      <c r="G1911" s="247" t="s">
        <v>1344</v>
      </c>
      <c r="H1911" s="247" t="s">
        <v>1996</v>
      </c>
      <c r="I1911" s="247" t="s">
        <v>2115</v>
      </c>
      <c r="J1911" s="247">
        <v>29</v>
      </c>
      <c r="K1911" s="247">
        <v>29</v>
      </c>
      <c r="L1911" s="249" t="s">
        <v>936</v>
      </c>
      <c r="M1911" s="249" t="s">
        <v>929</v>
      </c>
      <c r="N1911" s="248">
        <v>742.75</v>
      </c>
      <c r="O1911" s="248">
        <v>2971</v>
      </c>
      <c r="P1911" s="247" t="s">
        <v>1386</v>
      </c>
      <c r="Q1911" s="247" t="s">
        <v>90</v>
      </c>
    </row>
    <row r="1912" spans="1:17" x14ac:dyDescent="0.25">
      <c r="A1912" s="247" t="s">
        <v>646</v>
      </c>
      <c r="B1912" s="247" t="s">
        <v>265</v>
      </c>
      <c r="C1912" s="247" t="s">
        <v>1343</v>
      </c>
      <c r="D1912" s="247" t="s">
        <v>926</v>
      </c>
      <c r="E1912" s="247" t="s">
        <v>1300</v>
      </c>
      <c r="F1912" s="247" t="s">
        <v>2114</v>
      </c>
      <c r="G1912" s="247" t="s">
        <v>1344</v>
      </c>
      <c r="H1912" s="247" t="s">
        <v>1996</v>
      </c>
      <c r="I1912" s="247" t="s">
        <v>2115</v>
      </c>
      <c r="J1912" s="247">
        <v>29</v>
      </c>
      <c r="K1912" s="247">
        <v>29</v>
      </c>
      <c r="L1912" s="249" t="s">
        <v>937</v>
      </c>
      <c r="M1912" s="249" t="s">
        <v>929</v>
      </c>
      <c r="N1912" s="248">
        <v>742.75</v>
      </c>
      <c r="O1912" s="248">
        <v>3713.75</v>
      </c>
      <c r="P1912" s="247" t="s">
        <v>1386</v>
      </c>
      <c r="Q1912" s="247" t="s">
        <v>91</v>
      </c>
    </row>
    <row r="1913" spans="1:17" x14ac:dyDescent="0.25">
      <c r="A1913" s="247" t="s">
        <v>646</v>
      </c>
      <c r="B1913" s="247" t="s">
        <v>265</v>
      </c>
      <c r="C1913" s="247" t="s">
        <v>1343</v>
      </c>
      <c r="D1913" s="247" t="s">
        <v>926</v>
      </c>
      <c r="E1913" s="247" t="s">
        <v>1300</v>
      </c>
      <c r="F1913" s="247" t="s">
        <v>2114</v>
      </c>
      <c r="G1913" s="247" t="s">
        <v>1344</v>
      </c>
      <c r="H1913" s="247" t="s">
        <v>1996</v>
      </c>
      <c r="I1913" s="247" t="s">
        <v>2115</v>
      </c>
      <c r="J1913" s="247">
        <v>29</v>
      </c>
      <c r="K1913" s="247">
        <v>29</v>
      </c>
      <c r="L1913" s="249" t="s">
        <v>938</v>
      </c>
      <c r="M1913" s="249" t="s">
        <v>929</v>
      </c>
      <c r="N1913" s="248">
        <v>742.75</v>
      </c>
      <c r="O1913" s="248">
        <v>4456.5</v>
      </c>
      <c r="P1913" s="247" t="s">
        <v>1386</v>
      </c>
      <c r="Q1913" s="247" t="s">
        <v>92</v>
      </c>
    </row>
    <row r="1914" spans="1:17" x14ac:dyDescent="0.25">
      <c r="A1914" s="247" t="s">
        <v>646</v>
      </c>
      <c r="B1914" s="247" t="s">
        <v>265</v>
      </c>
      <c r="C1914" s="247" t="s">
        <v>1343</v>
      </c>
      <c r="D1914" s="247" t="s">
        <v>926</v>
      </c>
      <c r="E1914" s="247" t="s">
        <v>1300</v>
      </c>
      <c r="F1914" s="247" t="s">
        <v>2114</v>
      </c>
      <c r="G1914" s="247" t="s">
        <v>1344</v>
      </c>
      <c r="H1914" s="247" t="s">
        <v>1996</v>
      </c>
      <c r="I1914" s="247" t="s">
        <v>2115</v>
      </c>
      <c r="J1914" s="247">
        <v>29</v>
      </c>
      <c r="K1914" s="247">
        <v>29</v>
      </c>
      <c r="L1914" s="249" t="s">
        <v>939</v>
      </c>
      <c r="M1914" s="249" t="s">
        <v>929</v>
      </c>
      <c r="N1914" s="248">
        <v>742.75</v>
      </c>
      <c r="O1914" s="248">
        <v>5199.25</v>
      </c>
      <c r="P1914" s="247" t="s">
        <v>1386</v>
      </c>
      <c r="Q1914" s="247" t="s">
        <v>93</v>
      </c>
    </row>
    <row r="1915" spans="1:17" x14ac:dyDescent="0.25">
      <c r="A1915" s="247" t="s">
        <v>646</v>
      </c>
      <c r="B1915" s="247" t="s">
        <v>265</v>
      </c>
      <c r="C1915" s="247" t="s">
        <v>1343</v>
      </c>
      <c r="D1915" s="247" t="s">
        <v>926</v>
      </c>
      <c r="E1915" s="247" t="s">
        <v>1300</v>
      </c>
      <c r="F1915" s="247" t="s">
        <v>2114</v>
      </c>
      <c r="G1915" s="247" t="s">
        <v>1344</v>
      </c>
      <c r="H1915" s="247" t="s">
        <v>1996</v>
      </c>
      <c r="I1915" s="247" t="s">
        <v>2115</v>
      </c>
      <c r="J1915" s="247">
        <v>29</v>
      </c>
      <c r="K1915" s="247">
        <v>29</v>
      </c>
      <c r="L1915" s="249" t="s">
        <v>940</v>
      </c>
      <c r="M1915" s="249" t="s">
        <v>929</v>
      </c>
      <c r="N1915" s="248">
        <v>742.75</v>
      </c>
      <c r="O1915" s="248">
        <v>5942</v>
      </c>
      <c r="P1915" s="247" t="s">
        <v>1386</v>
      </c>
      <c r="Q1915" s="247" t="s">
        <v>94</v>
      </c>
    </row>
    <row r="1916" spans="1:17" x14ac:dyDescent="0.25">
      <c r="A1916" s="247" t="s">
        <v>646</v>
      </c>
      <c r="B1916" s="247" t="s">
        <v>265</v>
      </c>
      <c r="C1916" s="247" t="s">
        <v>1343</v>
      </c>
      <c r="D1916" s="247" t="s">
        <v>926</v>
      </c>
      <c r="E1916" s="247" t="s">
        <v>1300</v>
      </c>
      <c r="F1916" s="247" t="s">
        <v>2114</v>
      </c>
      <c r="G1916" s="247" t="s">
        <v>1344</v>
      </c>
      <c r="H1916" s="247" t="s">
        <v>1996</v>
      </c>
      <c r="I1916" s="247" t="s">
        <v>2115</v>
      </c>
      <c r="J1916" s="247">
        <v>29</v>
      </c>
      <c r="K1916" s="247">
        <v>29</v>
      </c>
      <c r="L1916" s="249" t="s">
        <v>642</v>
      </c>
      <c r="M1916" s="249" t="s">
        <v>929</v>
      </c>
      <c r="N1916" s="248">
        <v>742.75</v>
      </c>
      <c r="O1916" s="248">
        <v>6684.75</v>
      </c>
      <c r="P1916" s="247" t="s">
        <v>1386</v>
      </c>
      <c r="Q1916" s="247" t="s">
        <v>95</v>
      </c>
    </row>
    <row r="1917" spans="1:17" x14ac:dyDescent="0.25">
      <c r="A1917" s="247" t="s">
        <v>646</v>
      </c>
      <c r="B1917" s="247" t="s">
        <v>265</v>
      </c>
      <c r="C1917" s="247" t="s">
        <v>1343</v>
      </c>
      <c r="D1917" s="247" t="s">
        <v>711</v>
      </c>
      <c r="E1917" s="247" t="s">
        <v>1300</v>
      </c>
      <c r="F1917" s="247" t="s">
        <v>2116</v>
      </c>
      <c r="G1917" s="247" t="s">
        <v>1346</v>
      </c>
      <c r="H1917" s="247" t="s">
        <v>1996</v>
      </c>
      <c r="I1917" s="247" t="s">
        <v>2117</v>
      </c>
      <c r="J1917" s="247">
        <v>30</v>
      </c>
      <c r="K1917" s="247">
        <v>30</v>
      </c>
      <c r="L1917" s="249" t="s">
        <v>939</v>
      </c>
      <c r="M1917" s="249" t="s">
        <v>929</v>
      </c>
      <c r="N1917" s="248">
        <v>354.8</v>
      </c>
      <c r="O1917" s="248">
        <v>354.8</v>
      </c>
      <c r="P1917" s="247" t="s">
        <v>1387</v>
      </c>
      <c r="Q1917" s="247" t="s">
        <v>93</v>
      </c>
    </row>
    <row r="1918" spans="1:17" x14ac:dyDescent="0.25">
      <c r="A1918" s="247" t="s">
        <v>646</v>
      </c>
      <c r="B1918" s="247" t="s">
        <v>265</v>
      </c>
      <c r="C1918" s="247" t="s">
        <v>1343</v>
      </c>
      <c r="D1918" s="247" t="s">
        <v>711</v>
      </c>
      <c r="E1918" s="247" t="s">
        <v>1300</v>
      </c>
      <c r="F1918" s="247" t="s">
        <v>2116</v>
      </c>
      <c r="G1918" s="247" t="s">
        <v>1346</v>
      </c>
      <c r="H1918" s="247" t="s">
        <v>1996</v>
      </c>
      <c r="I1918" s="247" t="s">
        <v>2117</v>
      </c>
      <c r="J1918" s="247">
        <v>30</v>
      </c>
      <c r="K1918" s="247">
        <v>30</v>
      </c>
      <c r="L1918" s="249" t="s">
        <v>940</v>
      </c>
      <c r="M1918" s="249" t="s">
        <v>929</v>
      </c>
      <c r="N1918" s="248">
        <v>354.8</v>
      </c>
      <c r="O1918" s="248">
        <v>709.6</v>
      </c>
      <c r="P1918" s="247" t="s">
        <v>1387</v>
      </c>
      <c r="Q1918" s="247" t="s">
        <v>94</v>
      </c>
    </row>
    <row r="1919" spans="1:17" x14ac:dyDescent="0.25">
      <c r="A1919" s="247" t="s">
        <v>646</v>
      </c>
      <c r="B1919" s="247" t="s">
        <v>265</v>
      </c>
      <c r="C1919" s="247" t="s">
        <v>1343</v>
      </c>
      <c r="D1919" s="247" t="s">
        <v>711</v>
      </c>
      <c r="E1919" s="247" t="s">
        <v>1300</v>
      </c>
      <c r="F1919" s="247" t="s">
        <v>2116</v>
      </c>
      <c r="G1919" s="247" t="s">
        <v>1346</v>
      </c>
      <c r="H1919" s="247" t="s">
        <v>1996</v>
      </c>
      <c r="I1919" s="247" t="s">
        <v>2117</v>
      </c>
      <c r="J1919" s="247">
        <v>30</v>
      </c>
      <c r="K1919" s="247">
        <v>30</v>
      </c>
      <c r="L1919" s="249" t="s">
        <v>642</v>
      </c>
      <c r="M1919" s="249" t="s">
        <v>929</v>
      </c>
      <c r="N1919" s="248">
        <v>532.20000000000005</v>
      </c>
      <c r="O1919" s="248">
        <v>1241.8</v>
      </c>
      <c r="P1919" s="247" t="s">
        <v>1387</v>
      </c>
      <c r="Q1919" s="247" t="s">
        <v>95</v>
      </c>
    </row>
    <row r="1920" spans="1:17" x14ac:dyDescent="0.25">
      <c r="A1920" s="247" t="s">
        <v>646</v>
      </c>
      <c r="B1920" s="247" t="s">
        <v>265</v>
      </c>
      <c r="C1920" s="247" t="s">
        <v>1343</v>
      </c>
      <c r="D1920" s="247" t="s">
        <v>755</v>
      </c>
      <c r="E1920" s="247" t="s">
        <v>1300</v>
      </c>
      <c r="F1920" s="247" t="s">
        <v>2118</v>
      </c>
      <c r="G1920" s="247" t="s">
        <v>1388</v>
      </c>
      <c r="H1920" s="247" t="s">
        <v>1996</v>
      </c>
      <c r="I1920" s="247" t="s">
        <v>2119</v>
      </c>
      <c r="J1920" s="247">
        <v>30</v>
      </c>
      <c r="K1920" s="247">
        <v>30</v>
      </c>
      <c r="L1920" s="249" t="s">
        <v>646</v>
      </c>
      <c r="M1920" s="249" t="s">
        <v>933</v>
      </c>
      <c r="N1920" s="248">
        <v>21.5</v>
      </c>
      <c r="O1920" s="248">
        <v>21.5</v>
      </c>
      <c r="P1920" s="247" t="s">
        <v>1389</v>
      </c>
      <c r="Q1920" s="247" t="s">
        <v>84</v>
      </c>
    </row>
    <row r="1921" spans="1:17" x14ac:dyDescent="0.25">
      <c r="A1921" s="247" t="s">
        <v>646</v>
      </c>
      <c r="B1921" s="247" t="s">
        <v>265</v>
      </c>
      <c r="C1921" s="247" t="s">
        <v>1343</v>
      </c>
      <c r="D1921" s="247" t="s">
        <v>755</v>
      </c>
      <c r="E1921" s="247" t="s">
        <v>1300</v>
      </c>
      <c r="F1921" s="247" t="s">
        <v>2118</v>
      </c>
      <c r="G1921" s="247" t="s">
        <v>1388</v>
      </c>
      <c r="H1921" s="247" t="s">
        <v>1996</v>
      </c>
      <c r="I1921" s="247" t="s">
        <v>2119</v>
      </c>
      <c r="J1921" s="247">
        <v>30</v>
      </c>
      <c r="K1921" s="247">
        <v>30</v>
      </c>
      <c r="L1921" s="249" t="s">
        <v>650</v>
      </c>
      <c r="M1921" s="249" t="s">
        <v>933</v>
      </c>
      <c r="N1921" s="248">
        <v>21.5</v>
      </c>
      <c r="O1921" s="248">
        <v>43</v>
      </c>
      <c r="P1921" s="247" t="s">
        <v>1389</v>
      </c>
      <c r="Q1921" s="247" t="s">
        <v>85</v>
      </c>
    </row>
    <row r="1922" spans="1:17" x14ac:dyDescent="0.25">
      <c r="A1922" s="247" t="s">
        <v>646</v>
      </c>
      <c r="B1922" s="247" t="s">
        <v>265</v>
      </c>
      <c r="C1922" s="247" t="s">
        <v>1343</v>
      </c>
      <c r="D1922" s="247" t="s">
        <v>755</v>
      </c>
      <c r="E1922" s="247" t="s">
        <v>1300</v>
      </c>
      <c r="F1922" s="247" t="s">
        <v>2118</v>
      </c>
      <c r="G1922" s="247" t="s">
        <v>1388</v>
      </c>
      <c r="H1922" s="247" t="s">
        <v>1996</v>
      </c>
      <c r="I1922" s="247" t="s">
        <v>2119</v>
      </c>
      <c r="J1922" s="247">
        <v>30</v>
      </c>
      <c r="K1922" s="247">
        <v>30</v>
      </c>
      <c r="L1922" s="249" t="s">
        <v>652</v>
      </c>
      <c r="M1922" s="249" t="s">
        <v>933</v>
      </c>
      <c r="N1922" s="248">
        <v>21.5</v>
      </c>
      <c r="O1922" s="248">
        <v>64.5</v>
      </c>
      <c r="P1922" s="247" t="s">
        <v>1389</v>
      </c>
      <c r="Q1922" s="247" t="s">
        <v>86</v>
      </c>
    </row>
    <row r="1923" spans="1:17" x14ac:dyDescent="0.25">
      <c r="A1923" s="247" t="s">
        <v>646</v>
      </c>
      <c r="B1923" s="247" t="s">
        <v>265</v>
      </c>
      <c r="C1923" s="247" t="s">
        <v>1343</v>
      </c>
      <c r="D1923" s="247" t="s">
        <v>755</v>
      </c>
      <c r="E1923" s="247" t="s">
        <v>1300</v>
      </c>
      <c r="F1923" s="247" t="s">
        <v>2118</v>
      </c>
      <c r="G1923" s="247" t="s">
        <v>1388</v>
      </c>
      <c r="H1923" s="247" t="s">
        <v>1996</v>
      </c>
      <c r="I1923" s="247" t="s">
        <v>2119</v>
      </c>
      <c r="J1923" s="247">
        <v>30</v>
      </c>
      <c r="K1923" s="247">
        <v>30</v>
      </c>
      <c r="L1923" s="249" t="s">
        <v>789</v>
      </c>
      <c r="M1923" s="249" t="s">
        <v>929</v>
      </c>
      <c r="N1923" s="248">
        <v>21.5</v>
      </c>
      <c r="O1923" s="248">
        <v>21.5</v>
      </c>
      <c r="P1923" s="247" t="s">
        <v>1389</v>
      </c>
      <c r="Q1923" s="247" t="s">
        <v>87</v>
      </c>
    </row>
    <row r="1924" spans="1:17" x14ac:dyDescent="0.25">
      <c r="A1924" s="247" t="s">
        <v>646</v>
      </c>
      <c r="B1924" s="247" t="s">
        <v>265</v>
      </c>
      <c r="C1924" s="247" t="s">
        <v>1343</v>
      </c>
      <c r="D1924" s="247" t="s">
        <v>755</v>
      </c>
      <c r="E1924" s="247" t="s">
        <v>1300</v>
      </c>
      <c r="F1924" s="247" t="s">
        <v>2118</v>
      </c>
      <c r="G1924" s="247" t="s">
        <v>1388</v>
      </c>
      <c r="H1924" s="247" t="s">
        <v>1996</v>
      </c>
      <c r="I1924" s="247" t="s">
        <v>2119</v>
      </c>
      <c r="J1924" s="247">
        <v>30</v>
      </c>
      <c r="K1924" s="247">
        <v>30</v>
      </c>
      <c r="L1924" s="249" t="s">
        <v>791</v>
      </c>
      <c r="M1924" s="249" t="s">
        <v>929</v>
      </c>
      <c r="N1924" s="248">
        <v>32.25</v>
      </c>
      <c r="O1924" s="248">
        <v>53.75</v>
      </c>
      <c r="P1924" s="247" t="s">
        <v>1389</v>
      </c>
      <c r="Q1924" s="247" t="s">
        <v>88</v>
      </c>
    </row>
    <row r="1925" spans="1:17" x14ac:dyDescent="0.25">
      <c r="A1925" s="247" t="s">
        <v>646</v>
      </c>
      <c r="B1925" s="247" t="s">
        <v>265</v>
      </c>
      <c r="C1925" s="247" t="s">
        <v>1343</v>
      </c>
      <c r="D1925" s="247" t="s">
        <v>755</v>
      </c>
      <c r="E1925" s="247" t="s">
        <v>1300</v>
      </c>
      <c r="F1925" s="247" t="s">
        <v>2118</v>
      </c>
      <c r="G1925" s="247" t="s">
        <v>1388</v>
      </c>
      <c r="H1925" s="247" t="s">
        <v>1996</v>
      </c>
      <c r="I1925" s="247" t="s">
        <v>2119</v>
      </c>
      <c r="J1925" s="247">
        <v>30</v>
      </c>
      <c r="K1925" s="247">
        <v>30</v>
      </c>
      <c r="L1925" s="249" t="s">
        <v>935</v>
      </c>
      <c r="M1925" s="249" t="s">
        <v>929</v>
      </c>
      <c r="N1925" s="248">
        <v>32.25</v>
      </c>
      <c r="O1925" s="248">
        <v>86</v>
      </c>
      <c r="P1925" s="247" t="s">
        <v>1389</v>
      </c>
      <c r="Q1925" s="247" t="s">
        <v>89</v>
      </c>
    </row>
    <row r="1926" spans="1:17" x14ac:dyDescent="0.25">
      <c r="A1926" s="247" t="s">
        <v>646</v>
      </c>
      <c r="B1926" s="247" t="s">
        <v>265</v>
      </c>
      <c r="C1926" s="247" t="s">
        <v>1343</v>
      </c>
      <c r="D1926" s="247" t="s">
        <v>755</v>
      </c>
      <c r="E1926" s="247" t="s">
        <v>1300</v>
      </c>
      <c r="F1926" s="247" t="s">
        <v>2118</v>
      </c>
      <c r="G1926" s="247" t="s">
        <v>1388</v>
      </c>
      <c r="H1926" s="247" t="s">
        <v>1996</v>
      </c>
      <c r="I1926" s="247" t="s">
        <v>2119</v>
      </c>
      <c r="J1926" s="247">
        <v>30</v>
      </c>
      <c r="K1926" s="247">
        <v>30</v>
      </c>
      <c r="L1926" s="249" t="s">
        <v>936</v>
      </c>
      <c r="M1926" s="249" t="s">
        <v>929</v>
      </c>
      <c r="N1926" s="248">
        <v>32.25</v>
      </c>
      <c r="O1926" s="248">
        <v>118.25</v>
      </c>
      <c r="P1926" s="247" t="s">
        <v>1389</v>
      </c>
      <c r="Q1926" s="247" t="s">
        <v>90</v>
      </c>
    </row>
    <row r="1927" spans="1:17" x14ac:dyDescent="0.25">
      <c r="A1927" s="247" t="s">
        <v>646</v>
      </c>
      <c r="B1927" s="247" t="s">
        <v>265</v>
      </c>
      <c r="C1927" s="247" t="s">
        <v>1343</v>
      </c>
      <c r="D1927" s="247" t="s">
        <v>755</v>
      </c>
      <c r="E1927" s="247" t="s">
        <v>1300</v>
      </c>
      <c r="F1927" s="247" t="s">
        <v>2118</v>
      </c>
      <c r="G1927" s="247" t="s">
        <v>1388</v>
      </c>
      <c r="H1927" s="247" t="s">
        <v>1996</v>
      </c>
      <c r="I1927" s="247" t="s">
        <v>2119</v>
      </c>
      <c r="J1927" s="247">
        <v>30</v>
      </c>
      <c r="K1927" s="247">
        <v>30</v>
      </c>
      <c r="L1927" s="249" t="s">
        <v>937</v>
      </c>
      <c r="M1927" s="249" t="s">
        <v>929</v>
      </c>
      <c r="N1927" s="248">
        <v>32.25</v>
      </c>
      <c r="O1927" s="248">
        <v>150.5</v>
      </c>
      <c r="P1927" s="247" t="s">
        <v>1389</v>
      </c>
      <c r="Q1927" s="247" t="s">
        <v>91</v>
      </c>
    </row>
    <row r="1928" spans="1:17" x14ac:dyDescent="0.25">
      <c r="A1928" s="247" t="s">
        <v>646</v>
      </c>
      <c r="B1928" s="247" t="s">
        <v>265</v>
      </c>
      <c r="C1928" s="247" t="s">
        <v>1343</v>
      </c>
      <c r="D1928" s="247" t="s">
        <v>755</v>
      </c>
      <c r="E1928" s="247" t="s">
        <v>1300</v>
      </c>
      <c r="F1928" s="247" t="s">
        <v>2118</v>
      </c>
      <c r="G1928" s="247" t="s">
        <v>1388</v>
      </c>
      <c r="H1928" s="247" t="s">
        <v>1996</v>
      </c>
      <c r="I1928" s="247" t="s">
        <v>2119</v>
      </c>
      <c r="J1928" s="247">
        <v>30</v>
      </c>
      <c r="K1928" s="247">
        <v>30</v>
      </c>
      <c r="L1928" s="249" t="s">
        <v>938</v>
      </c>
      <c r="M1928" s="249" t="s">
        <v>929</v>
      </c>
      <c r="N1928" s="248">
        <v>32.25</v>
      </c>
      <c r="O1928" s="248">
        <v>182.75</v>
      </c>
      <c r="P1928" s="247" t="s">
        <v>1389</v>
      </c>
      <c r="Q1928" s="247" t="s">
        <v>92</v>
      </c>
    </row>
    <row r="1929" spans="1:17" x14ac:dyDescent="0.25">
      <c r="A1929" s="247" t="s">
        <v>646</v>
      </c>
      <c r="B1929" s="247" t="s">
        <v>265</v>
      </c>
      <c r="C1929" s="247" t="s">
        <v>1343</v>
      </c>
      <c r="D1929" s="247" t="s">
        <v>755</v>
      </c>
      <c r="E1929" s="247" t="s">
        <v>1300</v>
      </c>
      <c r="F1929" s="247" t="s">
        <v>2118</v>
      </c>
      <c r="G1929" s="247" t="s">
        <v>1388</v>
      </c>
      <c r="H1929" s="247" t="s">
        <v>1996</v>
      </c>
      <c r="I1929" s="247" t="s">
        <v>2119</v>
      </c>
      <c r="J1929" s="247">
        <v>30</v>
      </c>
      <c r="K1929" s="247">
        <v>30</v>
      </c>
      <c r="L1929" s="249" t="s">
        <v>939</v>
      </c>
      <c r="M1929" s="249" t="s">
        <v>929</v>
      </c>
      <c r="N1929" s="248">
        <v>32.25</v>
      </c>
      <c r="O1929" s="248">
        <v>215</v>
      </c>
      <c r="P1929" s="247" t="s">
        <v>1389</v>
      </c>
      <c r="Q1929" s="247" t="s">
        <v>93</v>
      </c>
    </row>
    <row r="1930" spans="1:17" x14ac:dyDescent="0.25">
      <c r="A1930" s="247" t="s">
        <v>646</v>
      </c>
      <c r="B1930" s="247" t="s">
        <v>265</v>
      </c>
      <c r="C1930" s="247" t="s">
        <v>1343</v>
      </c>
      <c r="D1930" s="247" t="s">
        <v>755</v>
      </c>
      <c r="E1930" s="247" t="s">
        <v>1300</v>
      </c>
      <c r="F1930" s="247" t="s">
        <v>2118</v>
      </c>
      <c r="G1930" s="247" t="s">
        <v>1388</v>
      </c>
      <c r="H1930" s="247" t="s">
        <v>1996</v>
      </c>
      <c r="I1930" s="247" t="s">
        <v>2119</v>
      </c>
      <c r="J1930" s="247">
        <v>30</v>
      </c>
      <c r="K1930" s="247">
        <v>30</v>
      </c>
      <c r="L1930" s="249" t="s">
        <v>940</v>
      </c>
      <c r="M1930" s="249" t="s">
        <v>929</v>
      </c>
      <c r="N1930" s="248">
        <v>32.25</v>
      </c>
      <c r="O1930" s="248">
        <v>247.25</v>
      </c>
      <c r="P1930" s="247" t="s">
        <v>1389</v>
      </c>
      <c r="Q1930" s="247" t="s">
        <v>94</v>
      </c>
    </row>
    <row r="1931" spans="1:17" x14ac:dyDescent="0.25">
      <c r="A1931" s="247" t="s">
        <v>646</v>
      </c>
      <c r="B1931" s="247" t="s">
        <v>265</v>
      </c>
      <c r="C1931" s="247" t="s">
        <v>1343</v>
      </c>
      <c r="D1931" s="247" t="s">
        <v>755</v>
      </c>
      <c r="E1931" s="247" t="s">
        <v>1300</v>
      </c>
      <c r="F1931" s="247" t="s">
        <v>2118</v>
      </c>
      <c r="G1931" s="247" t="s">
        <v>1388</v>
      </c>
      <c r="H1931" s="247" t="s">
        <v>1996</v>
      </c>
      <c r="I1931" s="247" t="s">
        <v>2119</v>
      </c>
      <c r="J1931" s="247">
        <v>30</v>
      </c>
      <c r="K1931" s="247">
        <v>30</v>
      </c>
      <c r="L1931" s="249" t="s">
        <v>642</v>
      </c>
      <c r="M1931" s="249" t="s">
        <v>929</v>
      </c>
      <c r="N1931" s="248">
        <v>32.25</v>
      </c>
      <c r="O1931" s="248">
        <v>279.5</v>
      </c>
      <c r="P1931" s="247" t="s">
        <v>1389</v>
      </c>
      <c r="Q1931" s="247" t="s">
        <v>95</v>
      </c>
    </row>
    <row r="1932" spans="1:17" x14ac:dyDescent="0.25">
      <c r="A1932" s="247" t="s">
        <v>646</v>
      </c>
      <c r="B1932" s="247" t="s">
        <v>265</v>
      </c>
      <c r="C1932" s="247" t="s">
        <v>1343</v>
      </c>
      <c r="D1932" s="247" t="s">
        <v>823</v>
      </c>
      <c r="E1932" s="247" t="s">
        <v>1300</v>
      </c>
      <c r="F1932" s="247" t="s">
        <v>2120</v>
      </c>
      <c r="G1932" s="247" t="s">
        <v>1390</v>
      </c>
      <c r="H1932" s="247" t="s">
        <v>1996</v>
      </c>
      <c r="I1932" s="247" t="s">
        <v>2121</v>
      </c>
      <c r="J1932" s="247">
        <v>28</v>
      </c>
      <c r="K1932" s="247">
        <v>28</v>
      </c>
      <c r="L1932" s="249" t="s">
        <v>789</v>
      </c>
      <c r="M1932" s="249" t="s">
        <v>929</v>
      </c>
      <c r="N1932" s="248">
        <v>482.14</v>
      </c>
      <c r="O1932" s="248">
        <v>482.14</v>
      </c>
      <c r="P1932" s="247" t="s">
        <v>1391</v>
      </c>
      <c r="Q1932" s="247" t="s">
        <v>87</v>
      </c>
    </row>
    <row r="1933" spans="1:17" x14ac:dyDescent="0.25">
      <c r="A1933" s="247" t="s">
        <v>646</v>
      </c>
      <c r="B1933" s="247" t="s">
        <v>265</v>
      </c>
      <c r="C1933" s="247" t="s">
        <v>1343</v>
      </c>
      <c r="D1933" s="247" t="s">
        <v>823</v>
      </c>
      <c r="E1933" s="247" t="s">
        <v>1300</v>
      </c>
      <c r="F1933" s="247" t="s">
        <v>2120</v>
      </c>
      <c r="G1933" s="247" t="s">
        <v>1390</v>
      </c>
      <c r="H1933" s="247" t="s">
        <v>1996</v>
      </c>
      <c r="I1933" s="247" t="s">
        <v>2121</v>
      </c>
      <c r="J1933" s="247">
        <v>28</v>
      </c>
      <c r="K1933" s="247">
        <v>28</v>
      </c>
      <c r="L1933" s="249" t="s">
        <v>791</v>
      </c>
      <c r="M1933" s="249" t="s">
        <v>929</v>
      </c>
      <c r="N1933" s="248">
        <v>482.14</v>
      </c>
      <c r="O1933" s="248">
        <v>964.28</v>
      </c>
      <c r="P1933" s="247" t="s">
        <v>1391</v>
      </c>
      <c r="Q1933" s="247" t="s">
        <v>88</v>
      </c>
    </row>
    <row r="1934" spans="1:17" x14ac:dyDescent="0.25">
      <c r="A1934" s="247" t="s">
        <v>646</v>
      </c>
      <c r="B1934" s="247" t="s">
        <v>265</v>
      </c>
      <c r="C1934" s="247" t="s">
        <v>1343</v>
      </c>
      <c r="D1934" s="247" t="s">
        <v>823</v>
      </c>
      <c r="E1934" s="247" t="s">
        <v>1300</v>
      </c>
      <c r="F1934" s="247" t="s">
        <v>2120</v>
      </c>
      <c r="G1934" s="247" t="s">
        <v>1390</v>
      </c>
      <c r="H1934" s="247" t="s">
        <v>1996</v>
      </c>
      <c r="I1934" s="247" t="s">
        <v>2121</v>
      </c>
      <c r="J1934" s="247">
        <v>28</v>
      </c>
      <c r="K1934" s="247">
        <v>28</v>
      </c>
      <c r="L1934" s="249" t="s">
        <v>935</v>
      </c>
      <c r="M1934" s="249" t="s">
        <v>929</v>
      </c>
      <c r="N1934" s="248">
        <v>482.14</v>
      </c>
      <c r="O1934" s="248">
        <v>1446.42</v>
      </c>
      <c r="P1934" s="247" t="s">
        <v>1391</v>
      </c>
      <c r="Q1934" s="247" t="s">
        <v>89</v>
      </c>
    </row>
    <row r="1935" spans="1:17" x14ac:dyDescent="0.25">
      <c r="A1935" s="247" t="s">
        <v>646</v>
      </c>
      <c r="B1935" s="247" t="s">
        <v>265</v>
      </c>
      <c r="C1935" s="247" t="s">
        <v>1343</v>
      </c>
      <c r="D1935" s="247" t="s">
        <v>823</v>
      </c>
      <c r="E1935" s="247" t="s">
        <v>1300</v>
      </c>
      <c r="F1935" s="247" t="s">
        <v>2120</v>
      </c>
      <c r="G1935" s="247" t="s">
        <v>1390</v>
      </c>
      <c r="H1935" s="247" t="s">
        <v>1996</v>
      </c>
      <c r="I1935" s="247" t="s">
        <v>2121</v>
      </c>
      <c r="J1935" s="247">
        <v>28</v>
      </c>
      <c r="K1935" s="247">
        <v>28</v>
      </c>
      <c r="L1935" s="249" t="s">
        <v>936</v>
      </c>
      <c r="M1935" s="249" t="s">
        <v>929</v>
      </c>
      <c r="N1935" s="248">
        <v>482.14</v>
      </c>
      <c r="O1935" s="248">
        <v>1928.56</v>
      </c>
      <c r="P1935" s="247" t="s">
        <v>1391</v>
      </c>
      <c r="Q1935" s="247" t="s">
        <v>90</v>
      </c>
    </row>
    <row r="1936" spans="1:17" x14ac:dyDescent="0.25">
      <c r="A1936" s="247" t="s">
        <v>646</v>
      </c>
      <c r="B1936" s="247" t="s">
        <v>265</v>
      </c>
      <c r="C1936" s="247" t="s">
        <v>1343</v>
      </c>
      <c r="D1936" s="247" t="s">
        <v>823</v>
      </c>
      <c r="E1936" s="247" t="s">
        <v>1300</v>
      </c>
      <c r="F1936" s="247" t="s">
        <v>2120</v>
      </c>
      <c r="G1936" s="247" t="s">
        <v>1390</v>
      </c>
      <c r="H1936" s="247" t="s">
        <v>1996</v>
      </c>
      <c r="I1936" s="247" t="s">
        <v>2121</v>
      </c>
      <c r="J1936" s="247">
        <v>28</v>
      </c>
      <c r="K1936" s="247">
        <v>28</v>
      </c>
      <c r="L1936" s="249" t="s">
        <v>937</v>
      </c>
      <c r="M1936" s="249" t="s">
        <v>929</v>
      </c>
      <c r="N1936" s="248">
        <v>482.14</v>
      </c>
      <c r="O1936" s="248">
        <v>2410.6999999999998</v>
      </c>
      <c r="P1936" s="247" t="s">
        <v>1391</v>
      </c>
      <c r="Q1936" s="247" t="s">
        <v>91</v>
      </c>
    </row>
    <row r="1937" spans="1:17" x14ac:dyDescent="0.25">
      <c r="A1937" s="247" t="s">
        <v>646</v>
      </c>
      <c r="B1937" s="247" t="s">
        <v>265</v>
      </c>
      <c r="C1937" s="247" t="s">
        <v>1343</v>
      </c>
      <c r="D1937" s="247" t="s">
        <v>823</v>
      </c>
      <c r="E1937" s="247" t="s">
        <v>1300</v>
      </c>
      <c r="F1937" s="247" t="s">
        <v>2120</v>
      </c>
      <c r="G1937" s="247" t="s">
        <v>1390</v>
      </c>
      <c r="H1937" s="247" t="s">
        <v>1996</v>
      </c>
      <c r="I1937" s="247" t="s">
        <v>2121</v>
      </c>
      <c r="J1937" s="247">
        <v>28</v>
      </c>
      <c r="K1937" s="247">
        <v>28</v>
      </c>
      <c r="L1937" s="249" t="s">
        <v>938</v>
      </c>
      <c r="M1937" s="249" t="s">
        <v>929</v>
      </c>
      <c r="N1937" s="248">
        <v>482.14</v>
      </c>
      <c r="O1937" s="248">
        <v>2892.84</v>
      </c>
      <c r="P1937" s="247" t="s">
        <v>1391</v>
      </c>
      <c r="Q1937" s="247" t="s">
        <v>92</v>
      </c>
    </row>
    <row r="1938" spans="1:17" x14ac:dyDescent="0.25">
      <c r="A1938" s="247" t="s">
        <v>646</v>
      </c>
      <c r="B1938" s="247" t="s">
        <v>265</v>
      </c>
      <c r="C1938" s="247" t="s">
        <v>1343</v>
      </c>
      <c r="D1938" s="247" t="s">
        <v>823</v>
      </c>
      <c r="E1938" s="247" t="s">
        <v>1300</v>
      </c>
      <c r="F1938" s="247" t="s">
        <v>2120</v>
      </c>
      <c r="G1938" s="247" t="s">
        <v>1390</v>
      </c>
      <c r="H1938" s="247" t="s">
        <v>1996</v>
      </c>
      <c r="I1938" s="247" t="s">
        <v>2121</v>
      </c>
      <c r="J1938" s="247">
        <v>28</v>
      </c>
      <c r="K1938" s="247">
        <v>28</v>
      </c>
      <c r="L1938" s="249" t="s">
        <v>939</v>
      </c>
      <c r="M1938" s="249" t="s">
        <v>929</v>
      </c>
      <c r="N1938" s="248">
        <v>482.14</v>
      </c>
      <c r="O1938" s="248">
        <v>3374.98</v>
      </c>
      <c r="P1938" s="247" t="s">
        <v>1391</v>
      </c>
      <c r="Q1938" s="247" t="s">
        <v>93</v>
      </c>
    </row>
    <row r="1939" spans="1:17" x14ac:dyDescent="0.25">
      <c r="A1939" s="247" t="s">
        <v>646</v>
      </c>
      <c r="B1939" s="247" t="s">
        <v>265</v>
      </c>
      <c r="C1939" s="247" t="s">
        <v>1343</v>
      </c>
      <c r="D1939" s="247" t="s">
        <v>823</v>
      </c>
      <c r="E1939" s="247" t="s">
        <v>1300</v>
      </c>
      <c r="F1939" s="247" t="s">
        <v>2120</v>
      </c>
      <c r="G1939" s="247" t="s">
        <v>1390</v>
      </c>
      <c r="H1939" s="247" t="s">
        <v>1996</v>
      </c>
      <c r="I1939" s="247" t="s">
        <v>2121</v>
      </c>
      <c r="J1939" s="247">
        <v>28</v>
      </c>
      <c r="K1939" s="247">
        <v>28</v>
      </c>
      <c r="L1939" s="249" t="s">
        <v>940</v>
      </c>
      <c r="M1939" s="249" t="s">
        <v>929</v>
      </c>
      <c r="N1939" s="248">
        <v>482.14</v>
      </c>
      <c r="O1939" s="248">
        <v>3857.12</v>
      </c>
      <c r="P1939" s="247" t="s">
        <v>1391</v>
      </c>
      <c r="Q1939" s="247" t="s">
        <v>94</v>
      </c>
    </row>
    <row r="1940" spans="1:17" x14ac:dyDescent="0.25">
      <c r="A1940" s="247" t="s">
        <v>646</v>
      </c>
      <c r="B1940" s="247" t="s">
        <v>265</v>
      </c>
      <c r="C1940" s="247" t="s">
        <v>1343</v>
      </c>
      <c r="D1940" s="247" t="s">
        <v>823</v>
      </c>
      <c r="E1940" s="247" t="s">
        <v>1300</v>
      </c>
      <c r="F1940" s="247" t="s">
        <v>2120</v>
      </c>
      <c r="G1940" s="247" t="s">
        <v>1390</v>
      </c>
      <c r="H1940" s="247" t="s">
        <v>1996</v>
      </c>
      <c r="I1940" s="247" t="s">
        <v>2121</v>
      </c>
      <c r="J1940" s="247">
        <v>28</v>
      </c>
      <c r="K1940" s="247">
        <v>28</v>
      </c>
      <c r="L1940" s="249" t="s">
        <v>642</v>
      </c>
      <c r="M1940" s="249" t="s">
        <v>929</v>
      </c>
      <c r="N1940" s="248">
        <v>482.14</v>
      </c>
      <c r="O1940" s="248">
        <v>4339.26</v>
      </c>
      <c r="P1940" s="247" t="s">
        <v>1391</v>
      </c>
      <c r="Q1940" s="247" t="s">
        <v>95</v>
      </c>
    </row>
    <row r="1941" spans="1:17" x14ac:dyDescent="0.25">
      <c r="A1941" s="247" t="s">
        <v>646</v>
      </c>
      <c r="B1941" s="247" t="s">
        <v>265</v>
      </c>
      <c r="C1941" s="247" t="s">
        <v>1343</v>
      </c>
      <c r="D1941" s="247" t="s">
        <v>569</v>
      </c>
      <c r="E1941" s="247" t="s">
        <v>1300</v>
      </c>
      <c r="F1941" s="247" t="s">
        <v>2122</v>
      </c>
      <c r="G1941" s="247" t="s">
        <v>1352</v>
      </c>
      <c r="H1941" s="247" t="s">
        <v>1996</v>
      </c>
      <c r="I1941" s="247" t="s">
        <v>2123</v>
      </c>
      <c r="J1941" s="247">
        <v>32</v>
      </c>
      <c r="K1941" s="247">
        <v>32</v>
      </c>
      <c r="L1941" s="249" t="s">
        <v>646</v>
      </c>
      <c r="M1941" s="249" t="s">
        <v>933</v>
      </c>
      <c r="N1941" s="248">
        <v>608.07000000000005</v>
      </c>
      <c r="O1941" s="248">
        <v>608.07000000000005</v>
      </c>
      <c r="P1941" s="247" t="s">
        <v>1392</v>
      </c>
      <c r="Q1941" s="247" t="s">
        <v>84</v>
      </c>
    </row>
    <row r="1942" spans="1:17" x14ac:dyDescent="0.25">
      <c r="A1942" s="247" t="s">
        <v>646</v>
      </c>
      <c r="B1942" s="247" t="s">
        <v>265</v>
      </c>
      <c r="C1942" s="247" t="s">
        <v>1343</v>
      </c>
      <c r="D1942" s="247" t="s">
        <v>569</v>
      </c>
      <c r="E1942" s="247" t="s">
        <v>1300</v>
      </c>
      <c r="F1942" s="247" t="s">
        <v>2122</v>
      </c>
      <c r="G1942" s="247" t="s">
        <v>1352</v>
      </c>
      <c r="H1942" s="247" t="s">
        <v>1996</v>
      </c>
      <c r="I1942" s="247" t="s">
        <v>2123</v>
      </c>
      <c r="J1942" s="247">
        <v>32</v>
      </c>
      <c r="K1942" s="247">
        <v>32</v>
      </c>
      <c r="L1942" s="249" t="s">
        <v>650</v>
      </c>
      <c r="M1942" s="249" t="s">
        <v>933</v>
      </c>
      <c r="N1942" s="248">
        <v>429.24</v>
      </c>
      <c r="O1942" s="248">
        <v>1037.31</v>
      </c>
      <c r="P1942" s="247" t="s">
        <v>1392</v>
      </c>
      <c r="Q1942" s="247" t="s">
        <v>85</v>
      </c>
    </row>
    <row r="1943" spans="1:17" x14ac:dyDescent="0.25">
      <c r="A1943" s="247" t="s">
        <v>646</v>
      </c>
      <c r="B1943" s="247" t="s">
        <v>265</v>
      </c>
      <c r="C1943" s="247" t="s">
        <v>1343</v>
      </c>
      <c r="D1943" s="247" t="s">
        <v>569</v>
      </c>
      <c r="E1943" s="247" t="s">
        <v>1300</v>
      </c>
      <c r="F1943" s="247" t="s">
        <v>2122</v>
      </c>
      <c r="G1943" s="247" t="s">
        <v>1352</v>
      </c>
      <c r="H1943" s="247" t="s">
        <v>1996</v>
      </c>
      <c r="I1943" s="247" t="s">
        <v>2123</v>
      </c>
      <c r="J1943" s="247">
        <v>32</v>
      </c>
      <c r="K1943" s="247">
        <v>32</v>
      </c>
      <c r="L1943" s="249" t="s">
        <v>652</v>
      </c>
      <c r="M1943" s="249" t="s">
        <v>933</v>
      </c>
      <c r="N1943" s="248">
        <v>739.23</v>
      </c>
      <c r="O1943" s="248">
        <v>1776.54</v>
      </c>
      <c r="P1943" s="247" t="s">
        <v>1392</v>
      </c>
      <c r="Q1943" s="247" t="s">
        <v>86</v>
      </c>
    </row>
    <row r="1944" spans="1:17" x14ac:dyDescent="0.25">
      <c r="A1944" s="247" t="s">
        <v>646</v>
      </c>
      <c r="B1944" s="247" t="s">
        <v>265</v>
      </c>
      <c r="C1944" s="247" t="s">
        <v>1343</v>
      </c>
      <c r="D1944" s="247" t="s">
        <v>569</v>
      </c>
      <c r="E1944" s="247" t="s">
        <v>1300</v>
      </c>
      <c r="F1944" s="247" t="s">
        <v>2122</v>
      </c>
      <c r="G1944" s="247" t="s">
        <v>1352</v>
      </c>
      <c r="H1944" s="247" t="s">
        <v>1996</v>
      </c>
      <c r="I1944" s="247" t="s">
        <v>2123</v>
      </c>
      <c r="J1944" s="247">
        <v>32</v>
      </c>
      <c r="K1944" s="247">
        <v>32</v>
      </c>
      <c r="L1944" s="249" t="s">
        <v>789</v>
      </c>
      <c r="M1944" s="249" t="s">
        <v>929</v>
      </c>
      <c r="N1944" s="248">
        <v>434.59</v>
      </c>
      <c r="O1944" s="248">
        <v>434.59</v>
      </c>
      <c r="P1944" s="247" t="s">
        <v>1392</v>
      </c>
      <c r="Q1944" s="247" t="s">
        <v>87</v>
      </c>
    </row>
    <row r="1945" spans="1:17" x14ac:dyDescent="0.25">
      <c r="A1945" s="247" t="s">
        <v>646</v>
      </c>
      <c r="B1945" s="247" t="s">
        <v>265</v>
      </c>
      <c r="C1945" s="247" t="s">
        <v>1343</v>
      </c>
      <c r="D1945" s="247" t="s">
        <v>569</v>
      </c>
      <c r="E1945" s="247" t="s">
        <v>1300</v>
      </c>
      <c r="F1945" s="247" t="s">
        <v>2122</v>
      </c>
      <c r="G1945" s="247" t="s">
        <v>1352</v>
      </c>
      <c r="H1945" s="247" t="s">
        <v>1996</v>
      </c>
      <c r="I1945" s="247" t="s">
        <v>2123</v>
      </c>
      <c r="J1945" s="247">
        <v>32</v>
      </c>
      <c r="K1945" s="247">
        <v>32</v>
      </c>
      <c r="L1945" s="249" t="s">
        <v>791</v>
      </c>
      <c r="M1945" s="249" t="s">
        <v>929</v>
      </c>
      <c r="N1945" s="248">
        <v>439.95</v>
      </c>
      <c r="O1945" s="248">
        <v>874.54</v>
      </c>
      <c r="P1945" s="247" t="s">
        <v>1392</v>
      </c>
      <c r="Q1945" s="247" t="s">
        <v>88</v>
      </c>
    </row>
    <row r="1946" spans="1:17" x14ac:dyDescent="0.25">
      <c r="A1946" s="247" t="s">
        <v>646</v>
      </c>
      <c r="B1946" s="247" t="s">
        <v>265</v>
      </c>
      <c r="C1946" s="247" t="s">
        <v>1343</v>
      </c>
      <c r="D1946" s="247" t="s">
        <v>569</v>
      </c>
      <c r="E1946" s="247" t="s">
        <v>1300</v>
      </c>
      <c r="F1946" s="247" t="s">
        <v>2122</v>
      </c>
      <c r="G1946" s="247" t="s">
        <v>1352</v>
      </c>
      <c r="H1946" s="247" t="s">
        <v>1996</v>
      </c>
      <c r="I1946" s="247" t="s">
        <v>2123</v>
      </c>
      <c r="J1946" s="247">
        <v>32</v>
      </c>
      <c r="K1946" s="247">
        <v>32</v>
      </c>
      <c r="L1946" s="249" t="s">
        <v>935</v>
      </c>
      <c r="M1946" s="249" t="s">
        <v>929</v>
      </c>
      <c r="N1946" s="248">
        <v>439.96</v>
      </c>
      <c r="O1946" s="248">
        <v>1314.5</v>
      </c>
      <c r="P1946" s="247" t="s">
        <v>1392</v>
      </c>
      <c r="Q1946" s="247" t="s">
        <v>89</v>
      </c>
    </row>
    <row r="1947" spans="1:17" x14ac:dyDescent="0.25">
      <c r="A1947" s="247" t="s">
        <v>646</v>
      </c>
      <c r="B1947" s="247" t="s">
        <v>265</v>
      </c>
      <c r="C1947" s="247" t="s">
        <v>1343</v>
      </c>
      <c r="D1947" s="247" t="s">
        <v>569</v>
      </c>
      <c r="E1947" s="247" t="s">
        <v>1300</v>
      </c>
      <c r="F1947" s="247" t="s">
        <v>2122</v>
      </c>
      <c r="G1947" s="247" t="s">
        <v>1352</v>
      </c>
      <c r="H1947" s="247" t="s">
        <v>1996</v>
      </c>
      <c r="I1947" s="247" t="s">
        <v>2123</v>
      </c>
      <c r="J1947" s="247">
        <v>32</v>
      </c>
      <c r="K1947" s="247">
        <v>32</v>
      </c>
      <c r="L1947" s="249" t="s">
        <v>936</v>
      </c>
      <c r="M1947" s="249" t="s">
        <v>929</v>
      </c>
      <c r="N1947" s="248">
        <v>659.92</v>
      </c>
      <c r="O1947" s="248">
        <v>1974.42</v>
      </c>
      <c r="P1947" s="247" t="s">
        <v>1392</v>
      </c>
      <c r="Q1947" s="247" t="s">
        <v>90</v>
      </c>
    </row>
    <row r="1948" spans="1:17" x14ac:dyDescent="0.25">
      <c r="A1948" s="247" t="s">
        <v>646</v>
      </c>
      <c r="B1948" s="247" t="s">
        <v>265</v>
      </c>
      <c r="C1948" s="247" t="s">
        <v>1343</v>
      </c>
      <c r="D1948" s="247" t="s">
        <v>569</v>
      </c>
      <c r="E1948" s="247" t="s">
        <v>1300</v>
      </c>
      <c r="F1948" s="247" t="s">
        <v>2122</v>
      </c>
      <c r="G1948" s="247" t="s">
        <v>1352</v>
      </c>
      <c r="H1948" s="247" t="s">
        <v>1996</v>
      </c>
      <c r="I1948" s="247" t="s">
        <v>2123</v>
      </c>
      <c r="J1948" s="247">
        <v>32</v>
      </c>
      <c r="K1948" s="247">
        <v>32</v>
      </c>
      <c r="L1948" s="249" t="s">
        <v>937</v>
      </c>
      <c r="M1948" s="249" t="s">
        <v>929</v>
      </c>
      <c r="N1948" s="248">
        <v>439.96</v>
      </c>
      <c r="O1948" s="248">
        <v>2414.38</v>
      </c>
      <c r="P1948" s="247" t="s">
        <v>1392</v>
      </c>
      <c r="Q1948" s="247" t="s">
        <v>91</v>
      </c>
    </row>
    <row r="1949" spans="1:17" x14ac:dyDescent="0.25">
      <c r="A1949" s="247" t="s">
        <v>646</v>
      </c>
      <c r="B1949" s="247" t="s">
        <v>265</v>
      </c>
      <c r="C1949" s="247" t="s">
        <v>1343</v>
      </c>
      <c r="D1949" s="247" t="s">
        <v>569</v>
      </c>
      <c r="E1949" s="247" t="s">
        <v>1300</v>
      </c>
      <c r="F1949" s="247" t="s">
        <v>2122</v>
      </c>
      <c r="G1949" s="247" t="s">
        <v>1352</v>
      </c>
      <c r="H1949" s="247" t="s">
        <v>1996</v>
      </c>
      <c r="I1949" s="247" t="s">
        <v>2123</v>
      </c>
      <c r="J1949" s="247">
        <v>32</v>
      </c>
      <c r="K1949" s="247">
        <v>32</v>
      </c>
      <c r="L1949" s="249" t="s">
        <v>938</v>
      </c>
      <c r="M1949" s="249" t="s">
        <v>929</v>
      </c>
      <c r="N1949" s="248">
        <v>439.95</v>
      </c>
      <c r="O1949" s="248">
        <v>2854.33</v>
      </c>
      <c r="P1949" s="247" t="s">
        <v>1392</v>
      </c>
      <c r="Q1949" s="247" t="s">
        <v>92</v>
      </c>
    </row>
    <row r="1950" spans="1:17" x14ac:dyDescent="0.25">
      <c r="A1950" s="247" t="s">
        <v>646</v>
      </c>
      <c r="B1950" s="247" t="s">
        <v>265</v>
      </c>
      <c r="C1950" s="247" t="s">
        <v>1343</v>
      </c>
      <c r="D1950" s="247" t="s">
        <v>569</v>
      </c>
      <c r="E1950" s="247" t="s">
        <v>1300</v>
      </c>
      <c r="F1950" s="247" t="s">
        <v>2122</v>
      </c>
      <c r="G1950" s="247" t="s">
        <v>1352</v>
      </c>
      <c r="H1950" s="247" t="s">
        <v>1996</v>
      </c>
      <c r="I1950" s="247" t="s">
        <v>2123</v>
      </c>
      <c r="J1950" s="247">
        <v>32</v>
      </c>
      <c r="K1950" s="247">
        <v>32</v>
      </c>
      <c r="L1950" s="249" t="s">
        <v>939</v>
      </c>
      <c r="M1950" s="249" t="s">
        <v>929</v>
      </c>
      <c r="N1950" s="248">
        <v>439.95</v>
      </c>
      <c r="O1950" s="248">
        <v>3294.28</v>
      </c>
      <c r="P1950" s="247" t="s">
        <v>1392</v>
      </c>
      <c r="Q1950" s="247" t="s">
        <v>93</v>
      </c>
    </row>
    <row r="1951" spans="1:17" x14ac:dyDescent="0.25">
      <c r="A1951" s="247" t="s">
        <v>646</v>
      </c>
      <c r="B1951" s="247" t="s">
        <v>265</v>
      </c>
      <c r="C1951" s="247" t="s">
        <v>1343</v>
      </c>
      <c r="D1951" s="247" t="s">
        <v>569</v>
      </c>
      <c r="E1951" s="247" t="s">
        <v>1300</v>
      </c>
      <c r="F1951" s="247" t="s">
        <v>2122</v>
      </c>
      <c r="G1951" s="247" t="s">
        <v>1352</v>
      </c>
      <c r="H1951" s="247" t="s">
        <v>1996</v>
      </c>
      <c r="I1951" s="247" t="s">
        <v>2123</v>
      </c>
      <c r="J1951" s="247">
        <v>32</v>
      </c>
      <c r="K1951" s="247">
        <v>32</v>
      </c>
      <c r="L1951" s="249" t="s">
        <v>940</v>
      </c>
      <c r="M1951" s="249" t="s">
        <v>929</v>
      </c>
      <c r="N1951" s="248">
        <v>439.95</v>
      </c>
      <c r="O1951" s="248">
        <v>3734.23</v>
      </c>
      <c r="P1951" s="247" t="s">
        <v>1392</v>
      </c>
      <c r="Q1951" s="247" t="s">
        <v>94</v>
      </c>
    </row>
    <row r="1952" spans="1:17" x14ac:dyDescent="0.25">
      <c r="A1952" s="247" t="s">
        <v>646</v>
      </c>
      <c r="B1952" s="247" t="s">
        <v>265</v>
      </c>
      <c r="C1952" s="247" t="s">
        <v>1343</v>
      </c>
      <c r="D1952" s="247" t="s">
        <v>569</v>
      </c>
      <c r="E1952" s="247" t="s">
        <v>1300</v>
      </c>
      <c r="F1952" s="247" t="s">
        <v>2122</v>
      </c>
      <c r="G1952" s="247" t="s">
        <v>1352</v>
      </c>
      <c r="H1952" s="247" t="s">
        <v>1996</v>
      </c>
      <c r="I1952" s="247" t="s">
        <v>2123</v>
      </c>
      <c r="J1952" s="247">
        <v>32</v>
      </c>
      <c r="K1952" s="247">
        <v>32</v>
      </c>
      <c r="L1952" s="249" t="s">
        <v>642</v>
      </c>
      <c r="M1952" s="249" t="s">
        <v>929</v>
      </c>
      <c r="N1952" s="248">
        <v>659.93</v>
      </c>
      <c r="O1952" s="248">
        <v>4394.16</v>
      </c>
      <c r="P1952" s="247" t="s">
        <v>1392</v>
      </c>
      <c r="Q1952" s="247" t="s">
        <v>95</v>
      </c>
    </row>
    <row r="1953" spans="1:17" x14ac:dyDescent="0.25">
      <c r="A1953" s="247" t="s">
        <v>646</v>
      </c>
      <c r="B1953" s="247" t="s">
        <v>265</v>
      </c>
      <c r="C1953" s="247" t="s">
        <v>1343</v>
      </c>
      <c r="D1953" s="247" t="s">
        <v>575</v>
      </c>
      <c r="E1953" s="247" t="s">
        <v>1300</v>
      </c>
      <c r="F1953" s="247" t="s">
        <v>2124</v>
      </c>
      <c r="G1953" s="247" t="s">
        <v>1354</v>
      </c>
      <c r="H1953" s="247" t="s">
        <v>1996</v>
      </c>
      <c r="I1953" s="247" t="s">
        <v>2125</v>
      </c>
      <c r="J1953" s="247">
        <v>32</v>
      </c>
      <c r="K1953" s="247">
        <v>32</v>
      </c>
      <c r="L1953" s="249" t="s">
        <v>646</v>
      </c>
      <c r="M1953" s="249" t="s">
        <v>933</v>
      </c>
      <c r="N1953" s="248">
        <v>142.21</v>
      </c>
      <c r="O1953" s="248">
        <v>142.21</v>
      </c>
      <c r="P1953" s="247" t="s">
        <v>1393</v>
      </c>
      <c r="Q1953" s="247" t="s">
        <v>84</v>
      </c>
    </row>
    <row r="1954" spans="1:17" x14ac:dyDescent="0.25">
      <c r="A1954" s="247" t="s">
        <v>646</v>
      </c>
      <c r="B1954" s="247" t="s">
        <v>265</v>
      </c>
      <c r="C1954" s="247" t="s">
        <v>1343</v>
      </c>
      <c r="D1954" s="247" t="s">
        <v>575</v>
      </c>
      <c r="E1954" s="247" t="s">
        <v>1300</v>
      </c>
      <c r="F1954" s="247" t="s">
        <v>2124</v>
      </c>
      <c r="G1954" s="247" t="s">
        <v>1354</v>
      </c>
      <c r="H1954" s="247" t="s">
        <v>1996</v>
      </c>
      <c r="I1954" s="247" t="s">
        <v>2125</v>
      </c>
      <c r="J1954" s="247">
        <v>32</v>
      </c>
      <c r="K1954" s="247">
        <v>32</v>
      </c>
      <c r="L1954" s="249" t="s">
        <v>650</v>
      </c>
      <c r="M1954" s="249" t="s">
        <v>933</v>
      </c>
      <c r="N1954" s="248">
        <v>100.39</v>
      </c>
      <c r="O1954" s="248">
        <v>242.6</v>
      </c>
      <c r="P1954" s="247" t="s">
        <v>1393</v>
      </c>
      <c r="Q1954" s="247" t="s">
        <v>85</v>
      </c>
    </row>
    <row r="1955" spans="1:17" x14ac:dyDescent="0.25">
      <c r="A1955" s="247" t="s">
        <v>646</v>
      </c>
      <c r="B1955" s="247" t="s">
        <v>265</v>
      </c>
      <c r="C1955" s="247" t="s">
        <v>1343</v>
      </c>
      <c r="D1955" s="247" t="s">
        <v>575</v>
      </c>
      <c r="E1955" s="247" t="s">
        <v>1300</v>
      </c>
      <c r="F1955" s="247" t="s">
        <v>2124</v>
      </c>
      <c r="G1955" s="247" t="s">
        <v>1354</v>
      </c>
      <c r="H1955" s="247" t="s">
        <v>1996</v>
      </c>
      <c r="I1955" s="247" t="s">
        <v>2125</v>
      </c>
      <c r="J1955" s="247">
        <v>32</v>
      </c>
      <c r="K1955" s="247">
        <v>32</v>
      </c>
      <c r="L1955" s="249" t="s">
        <v>652</v>
      </c>
      <c r="M1955" s="249" t="s">
        <v>933</v>
      </c>
      <c r="N1955" s="248">
        <v>172.88</v>
      </c>
      <c r="O1955" s="248">
        <v>415.48</v>
      </c>
      <c r="P1955" s="247" t="s">
        <v>1393</v>
      </c>
      <c r="Q1955" s="247" t="s">
        <v>86</v>
      </c>
    </row>
    <row r="1956" spans="1:17" x14ac:dyDescent="0.25">
      <c r="A1956" s="247" t="s">
        <v>646</v>
      </c>
      <c r="B1956" s="247" t="s">
        <v>265</v>
      </c>
      <c r="C1956" s="247" t="s">
        <v>1343</v>
      </c>
      <c r="D1956" s="247" t="s">
        <v>575</v>
      </c>
      <c r="E1956" s="247" t="s">
        <v>1300</v>
      </c>
      <c r="F1956" s="247" t="s">
        <v>2124</v>
      </c>
      <c r="G1956" s="247" t="s">
        <v>1354</v>
      </c>
      <c r="H1956" s="247" t="s">
        <v>1996</v>
      </c>
      <c r="I1956" s="247" t="s">
        <v>2125</v>
      </c>
      <c r="J1956" s="247">
        <v>32</v>
      </c>
      <c r="K1956" s="247">
        <v>32</v>
      </c>
      <c r="L1956" s="249" t="s">
        <v>789</v>
      </c>
      <c r="M1956" s="249" t="s">
        <v>929</v>
      </c>
      <c r="N1956" s="248">
        <v>101.64</v>
      </c>
      <c r="O1956" s="248">
        <v>101.64</v>
      </c>
      <c r="P1956" s="247" t="s">
        <v>1393</v>
      </c>
      <c r="Q1956" s="247" t="s">
        <v>87</v>
      </c>
    </row>
    <row r="1957" spans="1:17" x14ac:dyDescent="0.25">
      <c r="A1957" s="247" t="s">
        <v>646</v>
      </c>
      <c r="B1957" s="247" t="s">
        <v>265</v>
      </c>
      <c r="C1957" s="247" t="s">
        <v>1343</v>
      </c>
      <c r="D1957" s="247" t="s">
        <v>575</v>
      </c>
      <c r="E1957" s="247" t="s">
        <v>1300</v>
      </c>
      <c r="F1957" s="247" t="s">
        <v>2124</v>
      </c>
      <c r="G1957" s="247" t="s">
        <v>1354</v>
      </c>
      <c r="H1957" s="247" t="s">
        <v>1996</v>
      </c>
      <c r="I1957" s="247" t="s">
        <v>2125</v>
      </c>
      <c r="J1957" s="247">
        <v>32</v>
      </c>
      <c r="K1957" s="247">
        <v>32</v>
      </c>
      <c r="L1957" s="249" t="s">
        <v>791</v>
      </c>
      <c r="M1957" s="249" t="s">
        <v>929</v>
      </c>
      <c r="N1957" s="248">
        <v>102.89</v>
      </c>
      <c r="O1957" s="248">
        <v>204.53</v>
      </c>
      <c r="P1957" s="247" t="s">
        <v>1393</v>
      </c>
      <c r="Q1957" s="247" t="s">
        <v>88</v>
      </c>
    </row>
    <row r="1958" spans="1:17" x14ac:dyDescent="0.25">
      <c r="A1958" s="247" t="s">
        <v>646</v>
      </c>
      <c r="B1958" s="247" t="s">
        <v>265</v>
      </c>
      <c r="C1958" s="247" t="s">
        <v>1343</v>
      </c>
      <c r="D1958" s="247" t="s">
        <v>575</v>
      </c>
      <c r="E1958" s="247" t="s">
        <v>1300</v>
      </c>
      <c r="F1958" s="247" t="s">
        <v>2124</v>
      </c>
      <c r="G1958" s="247" t="s">
        <v>1354</v>
      </c>
      <c r="H1958" s="247" t="s">
        <v>1996</v>
      </c>
      <c r="I1958" s="247" t="s">
        <v>2125</v>
      </c>
      <c r="J1958" s="247">
        <v>32</v>
      </c>
      <c r="K1958" s="247">
        <v>32</v>
      </c>
      <c r="L1958" s="249" t="s">
        <v>935</v>
      </c>
      <c r="M1958" s="249" t="s">
        <v>929</v>
      </c>
      <c r="N1958" s="248">
        <v>102.89</v>
      </c>
      <c r="O1958" s="248">
        <v>307.42</v>
      </c>
      <c r="P1958" s="247" t="s">
        <v>1393</v>
      </c>
      <c r="Q1958" s="247" t="s">
        <v>89</v>
      </c>
    </row>
    <row r="1959" spans="1:17" x14ac:dyDescent="0.25">
      <c r="A1959" s="247" t="s">
        <v>646</v>
      </c>
      <c r="B1959" s="247" t="s">
        <v>265</v>
      </c>
      <c r="C1959" s="247" t="s">
        <v>1343</v>
      </c>
      <c r="D1959" s="247" t="s">
        <v>575</v>
      </c>
      <c r="E1959" s="247" t="s">
        <v>1300</v>
      </c>
      <c r="F1959" s="247" t="s">
        <v>2124</v>
      </c>
      <c r="G1959" s="247" t="s">
        <v>1354</v>
      </c>
      <c r="H1959" s="247" t="s">
        <v>1996</v>
      </c>
      <c r="I1959" s="247" t="s">
        <v>2125</v>
      </c>
      <c r="J1959" s="247">
        <v>32</v>
      </c>
      <c r="K1959" s="247">
        <v>32</v>
      </c>
      <c r="L1959" s="249" t="s">
        <v>936</v>
      </c>
      <c r="M1959" s="249" t="s">
        <v>929</v>
      </c>
      <c r="N1959" s="248">
        <v>154.34</v>
      </c>
      <c r="O1959" s="248">
        <v>461.76</v>
      </c>
      <c r="P1959" s="247" t="s">
        <v>1393</v>
      </c>
      <c r="Q1959" s="247" t="s">
        <v>90</v>
      </c>
    </row>
    <row r="1960" spans="1:17" x14ac:dyDescent="0.25">
      <c r="A1960" s="247" t="s">
        <v>646</v>
      </c>
      <c r="B1960" s="247" t="s">
        <v>265</v>
      </c>
      <c r="C1960" s="247" t="s">
        <v>1343</v>
      </c>
      <c r="D1960" s="247" t="s">
        <v>575</v>
      </c>
      <c r="E1960" s="247" t="s">
        <v>1300</v>
      </c>
      <c r="F1960" s="247" t="s">
        <v>2124</v>
      </c>
      <c r="G1960" s="247" t="s">
        <v>1354</v>
      </c>
      <c r="H1960" s="247" t="s">
        <v>1996</v>
      </c>
      <c r="I1960" s="247" t="s">
        <v>2125</v>
      </c>
      <c r="J1960" s="247">
        <v>32</v>
      </c>
      <c r="K1960" s="247">
        <v>32</v>
      </c>
      <c r="L1960" s="249" t="s">
        <v>937</v>
      </c>
      <c r="M1960" s="249" t="s">
        <v>929</v>
      </c>
      <c r="N1960" s="248">
        <v>102.89</v>
      </c>
      <c r="O1960" s="248">
        <v>564.65</v>
      </c>
      <c r="P1960" s="247" t="s">
        <v>1393</v>
      </c>
      <c r="Q1960" s="247" t="s">
        <v>91</v>
      </c>
    </row>
    <row r="1961" spans="1:17" x14ac:dyDescent="0.25">
      <c r="A1961" s="247" t="s">
        <v>646</v>
      </c>
      <c r="B1961" s="247" t="s">
        <v>265</v>
      </c>
      <c r="C1961" s="247" t="s">
        <v>1343</v>
      </c>
      <c r="D1961" s="247" t="s">
        <v>575</v>
      </c>
      <c r="E1961" s="247" t="s">
        <v>1300</v>
      </c>
      <c r="F1961" s="247" t="s">
        <v>2124</v>
      </c>
      <c r="G1961" s="247" t="s">
        <v>1354</v>
      </c>
      <c r="H1961" s="247" t="s">
        <v>1996</v>
      </c>
      <c r="I1961" s="247" t="s">
        <v>2125</v>
      </c>
      <c r="J1961" s="247">
        <v>32</v>
      </c>
      <c r="K1961" s="247">
        <v>32</v>
      </c>
      <c r="L1961" s="249" t="s">
        <v>938</v>
      </c>
      <c r="M1961" s="249" t="s">
        <v>929</v>
      </c>
      <c r="N1961" s="248">
        <v>102.89</v>
      </c>
      <c r="O1961" s="248">
        <v>667.54</v>
      </c>
      <c r="P1961" s="247" t="s">
        <v>1393</v>
      </c>
      <c r="Q1961" s="247" t="s">
        <v>92</v>
      </c>
    </row>
    <row r="1962" spans="1:17" x14ac:dyDescent="0.25">
      <c r="A1962" s="247" t="s">
        <v>646</v>
      </c>
      <c r="B1962" s="247" t="s">
        <v>265</v>
      </c>
      <c r="C1962" s="247" t="s">
        <v>1343</v>
      </c>
      <c r="D1962" s="247" t="s">
        <v>575</v>
      </c>
      <c r="E1962" s="247" t="s">
        <v>1300</v>
      </c>
      <c r="F1962" s="247" t="s">
        <v>2124</v>
      </c>
      <c r="G1962" s="247" t="s">
        <v>1354</v>
      </c>
      <c r="H1962" s="247" t="s">
        <v>1996</v>
      </c>
      <c r="I1962" s="247" t="s">
        <v>2125</v>
      </c>
      <c r="J1962" s="247">
        <v>32</v>
      </c>
      <c r="K1962" s="247">
        <v>32</v>
      </c>
      <c r="L1962" s="249" t="s">
        <v>939</v>
      </c>
      <c r="M1962" s="249" t="s">
        <v>929</v>
      </c>
      <c r="N1962" s="248">
        <v>102.9</v>
      </c>
      <c r="O1962" s="248">
        <v>770.44</v>
      </c>
      <c r="P1962" s="247" t="s">
        <v>1393</v>
      </c>
      <c r="Q1962" s="247" t="s">
        <v>93</v>
      </c>
    </row>
    <row r="1963" spans="1:17" x14ac:dyDescent="0.25">
      <c r="A1963" s="247" t="s">
        <v>646</v>
      </c>
      <c r="B1963" s="247" t="s">
        <v>265</v>
      </c>
      <c r="C1963" s="247" t="s">
        <v>1343</v>
      </c>
      <c r="D1963" s="247" t="s">
        <v>575</v>
      </c>
      <c r="E1963" s="247" t="s">
        <v>1300</v>
      </c>
      <c r="F1963" s="247" t="s">
        <v>2124</v>
      </c>
      <c r="G1963" s="247" t="s">
        <v>1354</v>
      </c>
      <c r="H1963" s="247" t="s">
        <v>1996</v>
      </c>
      <c r="I1963" s="247" t="s">
        <v>2125</v>
      </c>
      <c r="J1963" s="247">
        <v>32</v>
      </c>
      <c r="K1963" s="247">
        <v>32</v>
      </c>
      <c r="L1963" s="249" t="s">
        <v>940</v>
      </c>
      <c r="M1963" s="249" t="s">
        <v>929</v>
      </c>
      <c r="N1963" s="248">
        <v>102.89</v>
      </c>
      <c r="O1963" s="248">
        <v>873.33</v>
      </c>
      <c r="P1963" s="247" t="s">
        <v>1393</v>
      </c>
      <c r="Q1963" s="247" t="s">
        <v>94</v>
      </c>
    </row>
    <row r="1964" spans="1:17" x14ac:dyDescent="0.25">
      <c r="A1964" s="247" t="s">
        <v>646</v>
      </c>
      <c r="B1964" s="247" t="s">
        <v>265</v>
      </c>
      <c r="C1964" s="247" t="s">
        <v>1343</v>
      </c>
      <c r="D1964" s="247" t="s">
        <v>575</v>
      </c>
      <c r="E1964" s="247" t="s">
        <v>1300</v>
      </c>
      <c r="F1964" s="247" t="s">
        <v>2124</v>
      </c>
      <c r="G1964" s="247" t="s">
        <v>1354</v>
      </c>
      <c r="H1964" s="247" t="s">
        <v>1996</v>
      </c>
      <c r="I1964" s="247" t="s">
        <v>2125</v>
      </c>
      <c r="J1964" s="247">
        <v>32</v>
      </c>
      <c r="K1964" s="247">
        <v>32</v>
      </c>
      <c r="L1964" s="249" t="s">
        <v>642</v>
      </c>
      <c r="M1964" s="249" t="s">
        <v>929</v>
      </c>
      <c r="N1964" s="248">
        <v>154.34</v>
      </c>
      <c r="O1964" s="248">
        <v>1027.67</v>
      </c>
      <c r="P1964" s="247" t="s">
        <v>1393</v>
      </c>
      <c r="Q1964" s="247" t="s">
        <v>95</v>
      </c>
    </row>
    <row r="1965" spans="1:17" x14ac:dyDescent="0.25">
      <c r="A1965" s="247" t="s">
        <v>646</v>
      </c>
      <c r="B1965" s="247" t="s">
        <v>265</v>
      </c>
      <c r="C1965" s="247" t="s">
        <v>1343</v>
      </c>
      <c r="D1965" s="247" t="s">
        <v>1356</v>
      </c>
      <c r="E1965" s="247" t="s">
        <v>1300</v>
      </c>
      <c r="F1965" s="247" t="s">
        <v>2126</v>
      </c>
      <c r="G1965" s="247" t="s">
        <v>1357</v>
      </c>
      <c r="H1965" s="247" t="s">
        <v>1996</v>
      </c>
      <c r="I1965" s="247" t="s">
        <v>2127</v>
      </c>
      <c r="J1965" s="247">
        <v>32</v>
      </c>
      <c r="K1965" s="247">
        <v>32</v>
      </c>
      <c r="L1965" s="249" t="s">
        <v>789</v>
      </c>
      <c r="M1965" s="249" t="s">
        <v>929</v>
      </c>
      <c r="N1965" s="248">
        <v>42</v>
      </c>
      <c r="O1965" s="248">
        <v>42</v>
      </c>
      <c r="P1965" s="247" t="s">
        <v>1394</v>
      </c>
      <c r="Q1965" s="247" t="s">
        <v>87</v>
      </c>
    </row>
    <row r="1966" spans="1:17" x14ac:dyDescent="0.25">
      <c r="A1966" s="247" t="s">
        <v>646</v>
      </c>
      <c r="B1966" s="247" t="s">
        <v>265</v>
      </c>
      <c r="C1966" s="247" t="s">
        <v>1343</v>
      </c>
      <c r="D1966" s="247" t="s">
        <v>1356</v>
      </c>
      <c r="E1966" s="247" t="s">
        <v>1300</v>
      </c>
      <c r="F1966" s="247" t="s">
        <v>2126</v>
      </c>
      <c r="G1966" s="247" t="s">
        <v>1357</v>
      </c>
      <c r="H1966" s="247" t="s">
        <v>1996</v>
      </c>
      <c r="I1966" s="247" t="s">
        <v>2127</v>
      </c>
      <c r="J1966" s="247">
        <v>32</v>
      </c>
      <c r="K1966" s="247">
        <v>32</v>
      </c>
      <c r="L1966" s="249" t="s">
        <v>791</v>
      </c>
      <c r="M1966" s="249" t="s">
        <v>929</v>
      </c>
      <c r="N1966" s="248">
        <v>0</v>
      </c>
      <c r="O1966" s="248">
        <v>42</v>
      </c>
      <c r="P1966" s="247" t="s">
        <v>1394</v>
      </c>
      <c r="Q1966" s="247" t="s">
        <v>88</v>
      </c>
    </row>
    <row r="1967" spans="1:17" x14ac:dyDescent="0.25">
      <c r="A1967" s="247" t="s">
        <v>646</v>
      </c>
      <c r="B1967" s="247" t="s">
        <v>265</v>
      </c>
      <c r="C1967" s="247" t="s">
        <v>1343</v>
      </c>
      <c r="D1967" s="247" t="s">
        <v>1356</v>
      </c>
      <c r="E1967" s="247" t="s">
        <v>1300</v>
      </c>
      <c r="F1967" s="247" t="s">
        <v>2126</v>
      </c>
      <c r="G1967" s="247" t="s">
        <v>1357</v>
      </c>
      <c r="H1967" s="247" t="s">
        <v>1996</v>
      </c>
      <c r="I1967" s="247" t="s">
        <v>2127</v>
      </c>
      <c r="J1967" s="247">
        <v>32</v>
      </c>
      <c r="K1967" s="247">
        <v>32</v>
      </c>
      <c r="L1967" s="249" t="s">
        <v>935</v>
      </c>
      <c r="M1967" s="249" t="s">
        <v>929</v>
      </c>
      <c r="N1967" s="248">
        <v>0</v>
      </c>
      <c r="O1967" s="248">
        <v>42</v>
      </c>
      <c r="P1967" s="247" t="s">
        <v>1394</v>
      </c>
      <c r="Q1967" s="247" t="s">
        <v>89</v>
      </c>
    </row>
    <row r="1968" spans="1:17" x14ac:dyDescent="0.25">
      <c r="A1968" s="247" t="s">
        <v>646</v>
      </c>
      <c r="B1968" s="247" t="s">
        <v>265</v>
      </c>
      <c r="C1968" s="247" t="s">
        <v>1343</v>
      </c>
      <c r="D1968" s="247" t="s">
        <v>1356</v>
      </c>
      <c r="E1968" s="247" t="s">
        <v>1300</v>
      </c>
      <c r="F1968" s="247" t="s">
        <v>2126</v>
      </c>
      <c r="G1968" s="247" t="s">
        <v>1357</v>
      </c>
      <c r="H1968" s="247" t="s">
        <v>1996</v>
      </c>
      <c r="I1968" s="247" t="s">
        <v>2127</v>
      </c>
      <c r="J1968" s="247">
        <v>32</v>
      </c>
      <c r="K1968" s="247">
        <v>32</v>
      </c>
      <c r="L1968" s="249" t="s">
        <v>936</v>
      </c>
      <c r="M1968" s="249" t="s">
        <v>929</v>
      </c>
      <c r="N1968" s="248">
        <v>0</v>
      </c>
      <c r="O1968" s="248">
        <v>42</v>
      </c>
      <c r="P1968" s="247" t="s">
        <v>1394</v>
      </c>
      <c r="Q1968" s="247" t="s">
        <v>90</v>
      </c>
    </row>
    <row r="1969" spans="1:17" x14ac:dyDescent="0.25">
      <c r="A1969" s="247" t="s">
        <v>646</v>
      </c>
      <c r="B1969" s="247" t="s">
        <v>265</v>
      </c>
      <c r="C1969" s="247" t="s">
        <v>1343</v>
      </c>
      <c r="D1969" s="247" t="s">
        <v>1356</v>
      </c>
      <c r="E1969" s="247" t="s">
        <v>1300</v>
      </c>
      <c r="F1969" s="247" t="s">
        <v>2126</v>
      </c>
      <c r="G1969" s="247" t="s">
        <v>1357</v>
      </c>
      <c r="H1969" s="247" t="s">
        <v>1996</v>
      </c>
      <c r="I1969" s="247" t="s">
        <v>2127</v>
      </c>
      <c r="J1969" s="247">
        <v>32</v>
      </c>
      <c r="K1969" s="247">
        <v>32</v>
      </c>
      <c r="L1969" s="249" t="s">
        <v>937</v>
      </c>
      <c r="M1969" s="249" t="s">
        <v>929</v>
      </c>
      <c r="N1969" s="248">
        <v>0</v>
      </c>
      <c r="O1969" s="248">
        <v>42</v>
      </c>
      <c r="P1969" s="247" t="s">
        <v>1394</v>
      </c>
      <c r="Q1969" s="247" t="s">
        <v>91</v>
      </c>
    </row>
    <row r="1970" spans="1:17" x14ac:dyDescent="0.25">
      <c r="A1970" s="247" t="s">
        <v>646</v>
      </c>
      <c r="B1970" s="247" t="s">
        <v>265</v>
      </c>
      <c r="C1970" s="247" t="s">
        <v>1343</v>
      </c>
      <c r="D1970" s="247" t="s">
        <v>1356</v>
      </c>
      <c r="E1970" s="247" t="s">
        <v>1300</v>
      </c>
      <c r="F1970" s="247" t="s">
        <v>2126</v>
      </c>
      <c r="G1970" s="247" t="s">
        <v>1357</v>
      </c>
      <c r="H1970" s="247" t="s">
        <v>1996</v>
      </c>
      <c r="I1970" s="247" t="s">
        <v>2127</v>
      </c>
      <c r="J1970" s="247">
        <v>32</v>
      </c>
      <c r="K1970" s="247">
        <v>32</v>
      </c>
      <c r="L1970" s="249" t="s">
        <v>938</v>
      </c>
      <c r="M1970" s="249" t="s">
        <v>929</v>
      </c>
      <c r="N1970" s="248">
        <v>0</v>
      </c>
      <c r="O1970" s="248">
        <v>42</v>
      </c>
      <c r="P1970" s="247" t="s">
        <v>1394</v>
      </c>
      <c r="Q1970" s="247" t="s">
        <v>92</v>
      </c>
    </row>
    <row r="1971" spans="1:17" x14ac:dyDescent="0.25">
      <c r="A1971" s="247" t="s">
        <v>646</v>
      </c>
      <c r="B1971" s="247" t="s">
        <v>265</v>
      </c>
      <c r="C1971" s="247" t="s">
        <v>1343</v>
      </c>
      <c r="D1971" s="247" t="s">
        <v>1356</v>
      </c>
      <c r="E1971" s="247" t="s">
        <v>1300</v>
      </c>
      <c r="F1971" s="247" t="s">
        <v>2126</v>
      </c>
      <c r="G1971" s="247" t="s">
        <v>1357</v>
      </c>
      <c r="H1971" s="247" t="s">
        <v>1996</v>
      </c>
      <c r="I1971" s="247" t="s">
        <v>2127</v>
      </c>
      <c r="J1971" s="247">
        <v>32</v>
      </c>
      <c r="K1971" s="247">
        <v>32</v>
      </c>
      <c r="L1971" s="249" t="s">
        <v>939</v>
      </c>
      <c r="M1971" s="249" t="s">
        <v>929</v>
      </c>
      <c r="N1971" s="248">
        <v>0</v>
      </c>
      <c r="O1971" s="248">
        <v>42</v>
      </c>
      <c r="P1971" s="247" t="s">
        <v>1394</v>
      </c>
      <c r="Q1971" s="247" t="s">
        <v>93</v>
      </c>
    </row>
    <row r="1972" spans="1:17" x14ac:dyDescent="0.25">
      <c r="A1972" s="247" t="s">
        <v>646</v>
      </c>
      <c r="B1972" s="247" t="s">
        <v>265</v>
      </c>
      <c r="C1972" s="247" t="s">
        <v>1343</v>
      </c>
      <c r="D1972" s="247" t="s">
        <v>1356</v>
      </c>
      <c r="E1972" s="247" t="s">
        <v>1300</v>
      </c>
      <c r="F1972" s="247" t="s">
        <v>2126</v>
      </c>
      <c r="G1972" s="247" t="s">
        <v>1357</v>
      </c>
      <c r="H1972" s="247" t="s">
        <v>1996</v>
      </c>
      <c r="I1972" s="247" t="s">
        <v>2127</v>
      </c>
      <c r="J1972" s="247">
        <v>32</v>
      </c>
      <c r="K1972" s="247">
        <v>32</v>
      </c>
      <c r="L1972" s="249" t="s">
        <v>940</v>
      </c>
      <c r="M1972" s="249" t="s">
        <v>929</v>
      </c>
      <c r="N1972" s="248">
        <v>0</v>
      </c>
      <c r="O1972" s="248">
        <v>42</v>
      </c>
      <c r="P1972" s="247" t="s">
        <v>1394</v>
      </c>
      <c r="Q1972" s="247" t="s">
        <v>94</v>
      </c>
    </row>
    <row r="1973" spans="1:17" x14ac:dyDescent="0.25">
      <c r="A1973" s="247" t="s">
        <v>646</v>
      </c>
      <c r="B1973" s="247" t="s">
        <v>265</v>
      </c>
      <c r="C1973" s="247" t="s">
        <v>1343</v>
      </c>
      <c r="D1973" s="247" t="s">
        <v>1356</v>
      </c>
      <c r="E1973" s="247" t="s">
        <v>1300</v>
      </c>
      <c r="F1973" s="247" t="s">
        <v>2126</v>
      </c>
      <c r="G1973" s="247" t="s">
        <v>1357</v>
      </c>
      <c r="H1973" s="247" t="s">
        <v>1996</v>
      </c>
      <c r="I1973" s="247" t="s">
        <v>2127</v>
      </c>
      <c r="J1973" s="247">
        <v>32</v>
      </c>
      <c r="K1973" s="247">
        <v>32</v>
      </c>
      <c r="L1973" s="249" t="s">
        <v>642</v>
      </c>
      <c r="M1973" s="249" t="s">
        <v>929</v>
      </c>
      <c r="N1973" s="248">
        <v>0</v>
      </c>
      <c r="O1973" s="248">
        <v>42</v>
      </c>
      <c r="P1973" s="247" t="s">
        <v>1394</v>
      </c>
      <c r="Q1973" s="247" t="s">
        <v>95</v>
      </c>
    </row>
    <row r="1974" spans="1:17" x14ac:dyDescent="0.25">
      <c r="A1974" s="247" t="s">
        <v>646</v>
      </c>
      <c r="B1974" s="247" t="s">
        <v>265</v>
      </c>
      <c r="C1974" s="247" t="s">
        <v>1343</v>
      </c>
      <c r="D1974" s="247" t="s">
        <v>946</v>
      </c>
      <c r="E1974" s="247" t="s">
        <v>1300</v>
      </c>
      <c r="F1974" s="247" t="s">
        <v>2128</v>
      </c>
      <c r="G1974" s="247" t="s">
        <v>1359</v>
      </c>
      <c r="H1974" s="247" t="s">
        <v>1996</v>
      </c>
      <c r="I1974" s="247" t="s">
        <v>2129</v>
      </c>
      <c r="J1974" s="247">
        <v>32</v>
      </c>
      <c r="K1974" s="247">
        <v>32</v>
      </c>
      <c r="L1974" s="249" t="s">
        <v>789</v>
      </c>
      <c r="M1974" s="249" t="s">
        <v>929</v>
      </c>
      <c r="N1974" s="248">
        <v>27.66</v>
      </c>
      <c r="O1974" s="248">
        <v>27.66</v>
      </c>
      <c r="P1974" s="247" t="s">
        <v>1395</v>
      </c>
      <c r="Q1974" s="247" t="s">
        <v>87</v>
      </c>
    </row>
    <row r="1975" spans="1:17" x14ac:dyDescent="0.25">
      <c r="A1975" s="247" t="s">
        <v>646</v>
      </c>
      <c r="B1975" s="247" t="s">
        <v>265</v>
      </c>
      <c r="C1975" s="247" t="s">
        <v>1343</v>
      </c>
      <c r="D1975" s="247" t="s">
        <v>946</v>
      </c>
      <c r="E1975" s="247" t="s">
        <v>1300</v>
      </c>
      <c r="F1975" s="247" t="s">
        <v>2128</v>
      </c>
      <c r="G1975" s="247" t="s">
        <v>1359</v>
      </c>
      <c r="H1975" s="247" t="s">
        <v>1996</v>
      </c>
      <c r="I1975" s="247" t="s">
        <v>2129</v>
      </c>
      <c r="J1975" s="247">
        <v>32</v>
      </c>
      <c r="K1975" s="247">
        <v>32</v>
      </c>
      <c r="L1975" s="249" t="s">
        <v>791</v>
      </c>
      <c r="M1975" s="249" t="s">
        <v>929</v>
      </c>
      <c r="N1975" s="248">
        <v>26.24</v>
      </c>
      <c r="O1975" s="248">
        <v>53.9</v>
      </c>
      <c r="P1975" s="247" t="s">
        <v>1395</v>
      </c>
      <c r="Q1975" s="247" t="s">
        <v>88</v>
      </c>
    </row>
    <row r="1976" spans="1:17" x14ac:dyDescent="0.25">
      <c r="A1976" s="247" t="s">
        <v>646</v>
      </c>
      <c r="B1976" s="247" t="s">
        <v>265</v>
      </c>
      <c r="C1976" s="247" t="s">
        <v>1343</v>
      </c>
      <c r="D1976" s="247" t="s">
        <v>946</v>
      </c>
      <c r="E1976" s="247" t="s">
        <v>1300</v>
      </c>
      <c r="F1976" s="247" t="s">
        <v>2128</v>
      </c>
      <c r="G1976" s="247" t="s">
        <v>1359</v>
      </c>
      <c r="H1976" s="247" t="s">
        <v>1996</v>
      </c>
      <c r="I1976" s="247" t="s">
        <v>2129</v>
      </c>
      <c r="J1976" s="247">
        <v>32</v>
      </c>
      <c r="K1976" s="247">
        <v>32</v>
      </c>
      <c r="L1976" s="249" t="s">
        <v>935</v>
      </c>
      <c r="M1976" s="249" t="s">
        <v>929</v>
      </c>
      <c r="N1976" s="248">
        <v>26.24</v>
      </c>
      <c r="O1976" s="248">
        <v>80.14</v>
      </c>
      <c r="P1976" s="247" t="s">
        <v>1395</v>
      </c>
      <c r="Q1976" s="247" t="s">
        <v>89</v>
      </c>
    </row>
    <row r="1977" spans="1:17" x14ac:dyDescent="0.25">
      <c r="A1977" s="247" t="s">
        <v>646</v>
      </c>
      <c r="B1977" s="247" t="s">
        <v>265</v>
      </c>
      <c r="C1977" s="247" t="s">
        <v>1343</v>
      </c>
      <c r="D1977" s="247" t="s">
        <v>946</v>
      </c>
      <c r="E1977" s="247" t="s">
        <v>1300</v>
      </c>
      <c r="F1977" s="247" t="s">
        <v>2128</v>
      </c>
      <c r="G1977" s="247" t="s">
        <v>1359</v>
      </c>
      <c r="H1977" s="247" t="s">
        <v>1996</v>
      </c>
      <c r="I1977" s="247" t="s">
        <v>2129</v>
      </c>
      <c r="J1977" s="247">
        <v>32</v>
      </c>
      <c r="K1977" s="247">
        <v>32</v>
      </c>
      <c r="L1977" s="249" t="s">
        <v>936</v>
      </c>
      <c r="M1977" s="249" t="s">
        <v>929</v>
      </c>
      <c r="N1977" s="248">
        <v>39.36</v>
      </c>
      <c r="O1977" s="248">
        <v>119.5</v>
      </c>
      <c r="P1977" s="247" t="s">
        <v>1395</v>
      </c>
      <c r="Q1977" s="247" t="s">
        <v>90</v>
      </c>
    </row>
    <row r="1978" spans="1:17" x14ac:dyDescent="0.25">
      <c r="A1978" s="247" t="s">
        <v>646</v>
      </c>
      <c r="B1978" s="247" t="s">
        <v>265</v>
      </c>
      <c r="C1978" s="247" t="s">
        <v>1343</v>
      </c>
      <c r="D1978" s="247" t="s">
        <v>946</v>
      </c>
      <c r="E1978" s="247" t="s">
        <v>1300</v>
      </c>
      <c r="F1978" s="247" t="s">
        <v>2128</v>
      </c>
      <c r="G1978" s="247" t="s">
        <v>1359</v>
      </c>
      <c r="H1978" s="247" t="s">
        <v>1996</v>
      </c>
      <c r="I1978" s="247" t="s">
        <v>2129</v>
      </c>
      <c r="J1978" s="247">
        <v>32</v>
      </c>
      <c r="K1978" s="247">
        <v>32</v>
      </c>
      <c r="L1978" s="249" t="s">
        <v>937</v>
      </c>
      <c r="M1978" s="249" t="s">
        <v>929</v>
      </c>
      <c r="N1978" s="248">
        <v>26.24</v>
      </c>
      <c r="O1978" s="248">
        <v>145.74</v>
      </c>
      <c r="P1978" s="247" t="s">
        <v>1395</v>
      </c>
      <c r="Q1978" s="247" t="s">
        <v>91</v>
      </c>
    </row>
    <row r="1979" spans="1:17" x14ac:dyDescent="0.25">
      <c r="A1979" s="247" t="s">
        <v>646</v>
      </c>
      <c r="B1979" s="247" t="s">
        <v>265</v>
      </c>
      <c r="C1979" s="247" t="s">
        <v>1343</v>
      </c>
      <c r="D1979" s="247" t="s">
        <v>946</v>
      </c>
      <c r="E1979" s="247" t="s">
        <v>1300</v>
      </c>
      <c r="F1979" s="247" t="s">
        <v>2128</v>
      </c>
      <c r="G1979" s="247" t="s">
        <v>1359</v>
      </c>
      <c r="H1979" s="247" t="s">
        <v>1996</v>
      </c>
      <c r="I1979" s="247" t="s">
        <v>2129</v>
      </c>
      <c r="J1979" s="247">
        <v>32</v>
      </c>
      <c r="K1979" s="247">
        <v>32</v>
      </c>
      <c r="L1979" s="249" t="s">
        <v>938</v>
      </c>
      <c r="M1979" s="249" t="s">
        <v>929</v>
      </c>
      <c r="N1979" s="248">
        <v>18.71</v>
      </c>
      <c r="O1979" s="248">
        <v>164.45</v>
      </c>
      <c r="P1979" s="247" t="s">
        <v>1395</v>
      </c>
      <c r="Q1979" s="247" t="s">
        <v>92</v>
      </c>
    </row>
    <row r="1980" spans="1:17" x14ac:dyDescent="0.25">
      <c r="A1980" s="247" t="s">
        <v>646</v>
      </c>
      <c r="B1980" s="247" t="s">
        <v>265</v>
      </c>
      <c r="C1980" s="247" t="s">
        <v>1343</v>
      </c>
      <c r="D1980" s="247" t="s">
        <v>946</v>
      </c>
      <c r="E1980" s="247" t="s">
        <v>1300</v>
      </c>
      <c r="F1980" s="247" t="s">
        <v>2128</v>
      </c>
      <c r="G1980" s="247" t="s">
        <v>1359</v>
      </c>
      <c r="H1980" s="247" t="s">
        <v>1996</v>
      </c>
      <c r="I1980" s="247" t="s">
        <v>2129</v>
      </c>
      <c r="J1980" s="247">
        <v>32</v>
      </c>
      <c r="K1980" s="247">
        <v>32</v>
      </c>
      <c r="L1980" s="249" t="s">
        <v>939</v>
      </c>
      <c r="M1980" s="249" t="s">
        <v>929</v>
      </c>
      <c r="N1980" s="248">
        <v>0</v>
      </c>
      <c r="O1980" s="248">
        <v>164.45</v>
      </c>
      <c r="P1980" s="247" t="s">
        <v>1395</v>
      </c>
      <c r="Q1980" s="247" t="s">
        <v>93</v>
      </c>
    </row>
    <row r="1981" spans="1:17" x14ac:dyDescent="0.25">
      <c r="A1981" s="247" t="s">
        <v>646</v>
      </c>
      <c r="B1981" s="247" t="s">
        <v>265</v>
      </c>
      <c r="C1981" s="247" t="s">
        <v>1343</v>
      </c>
      <c r="D1981" s="247" t="s">
        <v>946</v>
      </c>
      <c r="E1981" s="247" t="s">
        <v>1300</v>
      </c>
      <c r="F1981" s="247" t="s">
        <v>2128</v>
      </c>
      <c r="G1981" s="247" t="s">
        <v>1359</v>
      </c>
      <c r="H1981" s="247" t="s">
        <v>1996</v>
      </c>
      <c r="I1981" s="247" t="s">
        <v>2129</v>
      </c>
      <c r="J1981" s="247">
        <v>32</v>
      </c>
      <c r="K1981" s="247">
        <v>32</v>
      </c>
      <c r="L1981" s="249" t="s">
        <v>940</v>
      </c>
      <c r="M1981" s="249" t="s">
        <v>929</v>
      </c>
      <c r="N1981" s="248">
        <v>0</v>
      </c>
      <c r="O1981" s="248">
        <v>164.45</v>
      </c>
      <c r="P1981" s="247" t="s">
        <v>1395</v>
      </c>
      <c r="Q1981" s="247" t="s">
        <v>94</v>
      </c>
    </row>
    <row r="1982" spans="1:17" x14ac:dyDescent="0.25">
      <c r="A1982" s="247" t="s">
        <v>646</v>
      </c>
      <c r="B1982" s="247" t="s">
        <v>265</v>
      </c>
      <c r="C1982" s="247" t="s">
        <v>1343</v>
      </c>
      <c r="D1982" s="247" t="s">
        <v>946</v>
      </c>
      <c r="E1982" s="247" t="s">
        <v>1300</v>
      </c>
      <c r="F1982" s="247" t="s">
        <v>2128</v>
      </c>
      <c r="G1982" s="247" t="s">
        <v>1359</v>
      </c>
      <c r="H1982" s="247" t="s">
        <v>1996</v>
      </c>
      <c r="I1982" s="247" t="s">
        <v>2129</v>
      </c>
      <c r="J1982" s="247">
        <v>32</v>
      </c>
      <c r="K1982" s="247">
        <v>32</v>
      </c>
      <c r="L1982" s="249" t="s">
        <v>642</v>
      </c>
      <c r="M1982" s="249" t="s">
        <v>929</v>
      </c>
      <c r="N1982" s="248">
        <v>0</v>
      </c>
      <c r="O1982" s="248">
        <v>164.45</v>
      </c>
      <c r="P1982" s="247" t="s">
        <v>1395</v>
      </c>
      <c r="Q1982" s="247" t="s">
        <v>95</v>
      </c>
    </row>
    <row r="1983" spans="1:17" x14ac:dyDescent="0.25">
      <c r="A1983" s="247" t="s">
        <v>646</v>
      </c>
      <c r="B1983" s="247" t="s">
        <v>265</v>
      </c>
      <c r="C1983" s="247" t="s">
        <v>1343</v>
      </c>
      <c r="D1983" s="247" t="s">
        <v>1361</v>
      </c>
      <c r="E1983" s="247" t="s">
        <v>1300</v>
      </c>
      <c r="F1983" s="247" t="s">
        <v>2130</v>
      </c>
      <c r="G1983" s="247" t="s">
        <v>1396</v>
      </c>
      <c r="H1983" s="247" t="s">
        <v>1996</v>
      </c>
      <c r="I1983" s="247" t="s">
        <v>2131</v>
      </c>
      <c r="J1983" s="247">
        <v>31</v>
      </c>
      <c r="K1983" s="247">
        <v>31</v>
      </c>
      <c r="L1983" s="249" t="s">
        <v>646</v>
      </c>
      <c r="M1983" s="249" t="s">
        <v>933</v>
      </c>
      <c r="N1983" s="248">
        <v>18.36</v>
      </c>
      <c r="O1983" s="248">
        <v>18.36</v>
      </c>
      <c r="P1983" s="247" t="s">
        <v>1397</v>
      </c>
      <c r="Q1983" s="247" t="s">
        <v>84</v>
      </c>
    </row>
    <row r="1984" spans="1:17" x14ac:dyDescent="0.25">
      <c r="A1984" s="247" t="s">
        <v>646</v>
      </c>
      <c r="B1984" s="247" t="s">
        <v>265</v>
      </c>
      <c r="C1984" s="247" t="s">
        <v>1343</v>
      </c>
      <c r="D1984" s="247" t="s">
        <v>1361</v>
      </c>
      <c r="E1984" s="247" t="s">
        <v>1300</v>
      </c>
      <c r="F1984" s="247" t="s">
        <v>2130</v>
      </c>
      <c r="G1984" s="247" t="s">
        <v>1396</v>
      </c>
      <c r="H1984" s="247" t="s">
        <v>1996</v>
      </c>
      <c r="I1984" s="247" t="s">
        <v>2131</v>
      </c>
      <c r="J1984" s="247">
        <v>31</v>
      </c>
      <c r="K1984" s="247">
        <v>31</v>
      </c>
      <c r="L1984" s="249" t="s">
        <v>650</v>
      </c>
      <c r="M1984" s="249" t="s">
        <v>933</v>
      </c>
      <c r="N1984" s="248">
        <v>12.24</v>
      </c>
      <c r="O1984" s="248">
        <v>30.6</v>
      </c>
      <c r="P1984" s="247" t="s">
        <v>1397</v>
      </c>
      <c r="Q1984" s="247" t="s">
        <v>85</v>
      </c>
    </row>
    <row r="1985" spans="1:17" x14ac:dyDescent="0.25">
      <c r="A1985" s="247" t="s">
        <v>646</v>
      </c>
      <c r="B1985" s="247" t="s">
        <v>265</v>
      </c>
      <c r="C1985" s="247" t="s">
        <v>1343</v>
      </c>
      <c r="D1985" s="247" t="s">
        <v>1361</v>
      </c>
      <c r="E1985" s="247" t="s">
        <v>1300</v>
      </c>
      <c r="F1985" s="247" t="s">
        <v>2130</v>
      </c>
      <c r="G1985" s="247" t="s">
        <v>1396</v>
      </c>
      <c r="H1985" s="247" t="s">
        <v>1996</v>
      </c>
      <c r="I1985" s="247" t="s">
        <v>2131</v>
      </c>
      <c r="J1985" s="247">
        <v>31</v>
      </c>
      <c r="K1985" s="247">
        <v>31</v>
      </c>
      <c r="L1985" s="249" t="s">
        <v>652</v>
      </c>
      <c r="M1985" s="249" t="s">
        <v>933</v>
      </c>
      <c r="N1985" s="248">
        <v>11.62</v>
      </c>
      <c r="O1985" s="248">
        <v>42.22</v>
      </c>
      <c r="P1985" s="247" t="s">
        <v>1397</v>
      </c>
      <c r="Q1985" s="247" t="s">
        <v>86</v>
      </c>
    </row>
    <row r="1986" spans="1:17" x14ac:dyDescent="0.25">
      <c r="A1986" s="247" t="s">
        <v>646</v>
      </c>
      <c r="B1986" s="247" t="s">
        <v>265</v>
      </c>
      <c r="C1986" s="247" t="s">
        <v>1343</v>
      </c>
      <c r="D1986" s="247" t="s">
        <v>1361</v>
      </c>
      <c r="E1986" s="247" t="s">
        <v>1300</v>
      </c>
      <c r="F1986" s="247" t="s">
        <v>2130</v>
      </c>
      <c r="G1986" s="247" t="s">
        <v>1396</v>
      </c>
      <c r="H1986" s="247" t="s">
        <v>1996</v>
      </c>
      <c r="I1986" s="247" t="s">
        <v>2131</v>
      </c>
      <c r="J1986" s="247">
        <v>31</v>
      </c>
      <c r="K1986" s="247">
        <v>31</v>
      </c>
      <c r="L1986" s="249" t="s">
        <v>789</v>
      </c>
      <c r="M1986" s="249" t="s">
        <v>929</v>
      </c>
      <c r="N1986" s="248">
        <v>11.5</v>
      </c>
      <c r="O1986" s="248">
        <v>11.5</v>
      </c>
      <c r="P1986" s="247" t="s">
        <v>1397</v>
      </c>
      <c r="Q1986" s="247" t="s">
        <v>87</v>
      </c>
    </row>
    <row r="1987" spans="1:17" x14ac:dyDescent="0.25">
      <c r="A1987" s="247" t="s">
        <v>646</v>
      </c>
      <c r="B1987" s="247" t="s">
        <v>265</v>
      </c>
      <c r="C1987" s="247" t="s">
        <v>1343</v>
      </c>
      <c r="D1987" s="247" t="s">
        <v>1361</v>
      </c>
      <c r="E1987" s="247" t="s">
        <v>1300</v>
      </c>
      <c r="F1987" s="247" t="s">
        <v>2130</v>
      </c>
      <c r="G1987" s="247" t="s">
        <v>1396</v>
      </c>
      <c r="H1987" s="247" t="s">
        <v>1996</v>
      </c>
      <c r="I1987" s="247" t="s">
        <v>2131</v>
      </c>
      <c r="J1987" s="247">
        <v>31</v>
      </c>
      <c r="K1987" s="247">
        <v>31</v>
      </c>
      <c r="L1987" s="249" t="s">
        <v>791</v>
      </c>
      <c r="M1987" s="249" t="s">
        <v>929</v>
      </c>
      <c r="N1987" s="248">
        <v>12.78</v>
      </c>
      <c r="O1987" s="248">
        <v>24.28</v>
      </c>
      <c r="P1987" s="247" t="s">
        <v>1397</v>
      </c>
      <c r="Q1987" s="247" t="s">
        <v>88</v>
      </c>
    </row>
    <row r="1988" spans="1:17" x14ac:dyDescent="0.25">
      <c r="A1988" s="247" t="s">
        <v>646</v>
      </c>
      <c r="B1988" s="247" t="s">
        <v>265</v>
      </c>
      <c r="C1988" s="247" t="s">
        <v>1343</v>
      </c>
      <c r="D1988" s="247" t="s">
        <v>1361</v>
      </c>
      <c r="E1988" s="247" t="s">
        <v>1300</v>
      </c>
      <c r="F1988" s="247" t="s">
        <v>2130</v>
      </c>
      <c r="G1988" s="247" t="s">
        <v>1396</v>
      </c>
      <c r="H1988" s="247" t="s">
        <v>1996</v>
      </c>
      <c r="I1988" s="247" t="s">
        <v>2131</v>
      </c>
      <c r="J1988" s="247">
        <v>31</v>
      </c>
      <c r="K1988" s="247">
        <v>31</v>
      </c>
      <c r="L1988" s="249" t="s">
        <v>935</v>
      </c>
      <c r="M1988" s="249" t="s">
        <v>929</v>
      </c>
      <c r="N1988" s="248">
        <v>12.78</v>
      </c>
      <c r="O1988" s="248">
        <v>37.06</v>
      </c>
      <c r="P1988" s="247" t="s">
        <v>1397</v>
      </c>
      <c r="Q1988" s="247" t="s">
        <v>89</v>
      </c>
    </row>
    <row r="1989" spans="1:17" x14ac:dyDescent="0.25">
      <c r="A1989" s="247" t="s">
        <v>646</v>
      </c>
      <c r="B1989" s="247" t="s">
        <v>265</v>
      </c>
      <c r="C1989" s="247" t="s">
        <v>1343</v>
      </c>
      <c r="D1989" s="247" t="s">
        <v>1361</v>
      </c>
      <c r="E1989" s="247" t="s">
        <v>1300</v>
      </c>
      <c r="F1989" s="247" t="s">
        <v>2130</v>
      </c>
      <c r="G1989" s="247" t="s">
        <v>1396</v>
      </c>
      <c r="H1989" s="247" t="s">
        <v>1996</v>
      </c>
      <c r="I1989" s="247" t="s">
        <v>2131</v>
      </c>
      <c r="J1989" s="247">
        <v>31</v>
      </c>
      <c r="K1989" s="247">
        <v>31</v>
      </c>
      <c r="L1989" s="249" t="s">
        <v>936</v>
      </c>
      <c r="M1989" s="249" t="s">
        <v>929</v>
      </c>
      <c r="N1989" s="248">
        <v>19.170000000000002</v>
      </c>
      <c r="O1989" s="248">
        <v>56.23</v>
      </c>
      <c r="P1989" s="247" t="s">
        <v>1397</v>
      </c>
      <c r="Q1989" s="247" t="s">
        <v>90</v>
      </c>
    </row>
    <row r="1990" spans="1:17" x14ac:dyDescent="0.25">
      <c r="A1990" s="247" t="s">
        <v>646</v>
      </c>
      <c r="B1990" s="247" t="s">
        <v>265</v>
      </c>
      <c r="C1990" s="247" t="s">
        <v>1343</v>
      </c>
      <c r="D1990" s="247" t="s">
        <v>1361</v>
      </c>
      <c r="E1990" s="247" t="s">
        <v>1300</v>
      </c>
      <c r="F1990" s="247" t="s">
        <v>2130</v>
      </c>
      <c r="G1990" s="247" t="s">
        <v>1396</v>
      </c>
      <c r="H1990" s="247" t="s">
        <v>1996</v>
      </c>
      <c r="I1990" s="247" t="s">
        <v>2131</v>
      </c>
      <c r="J1990" s="247">
        <v>31</v>
      </c>
      <c r="K1990" s="247">
        <v>31</v>
      </c>
      <c r="L1990" s="249" t="s">
        <v>937</v>
      </c>
      <c r="M1990" s="249" t="s">
        <v>929</v>
      </c>
      <c r="N1990" s="248">
        <v>12.78</v>
      </c>
      <c r="O1990" s="248">
        <v>69.010000000000005</v>
      </c>
      <c r="P1990" s="247" t="s">
        <v>1397</v>
      </c>
      <c r="Q1990" s="247" t="s">
        <v>91</v>
      </c>
    </row>
    <row r="1991" spans="1:17" x14ac:dyDescent="0.25">
      <c r="A1991" s="247" t="s">
        <v>646</v>
      </c>
      <c r="B1991" s="247" t="s">
        <v>265</v>
      </c>
      <c r="C1991" s="247" t="s">
        <v>1343</v>
      </c>
      <c r="D1991" s="247" t="s">
        <v>1361</v>
      </c>
      <c r="E1991" s="247" t="s">
        <v>1300</v>
      </c>
      <c r="F1991" s="247" t="s">
        <v>2130</v>
      </c>
      <c r="G1991" s="247" t="s">
        <v>1396</v>
      </c>
      <c r="H1991" s="247" t="s">
        <v>1996</v>
      </c>
      <c r="I1991" s="247" t="s">
        <v>2131</v>
      </c>
      <c r="J1991" s="247">
        <v>31</v>
      </c>
      <c r="K1991" s="247">
        <v>31</v>
      </c>
      <c r="L1991" s="249" t="s">
        <v>938</v>
      </c>
      <c r="M1991" s="249" t="s">
        <v>929</v>
      </c>
      <c r="N1991" s="248">
        <v>12.14</v>
      </c>
      <c r="O1991" s="248">
        <v>81.150000000000006</v>
      </c>
      <c r="P1991" s="247" t="s">
        <v>1397</v>
      </c>
      <c r="Q1991" s="247" t="s">
        <v>92</v>
      </c>
    </row>
    <row r="1992" spans="1:17" x14ac:dyDescent="0.25">
      <c r="A1992" s="247" t="s">
        <v>646</v>
      </c>
      <c r="B1992" s="247" t="s">
        <v>265</v>
      </c>
      <c r="C1992" s="247" t="s">
        <v>1343</v>
      </c>
      <c r="D1992" s="247" t="s">
        <v>1361</v>
      </c>
      <c r="E1992" s="247" t="s">
        <v>1300</v>
      </c>
      <c r="F1992" s="247" t="s">
        <v>2130</v>
      </c>
      <c r="G1992" s="247" t="s">
        <v>1396</v>
      </c>
      <c r="H1992" s="247" t="s">
        <v>1996</v>
      </c>
      <c r="I1992" s="247" t="s">
        <v>2131</v>
      </c>
      <c r="J1992" s="247">
        <v>31</v>
      </c>
      <c r="K1992" s="247">
        <v>31</v>
      </c>
      <c r="L1992" s="249" t="s">
        <v>939</v>
      </c>
      <c r="M1992" s="249" t="s">
        <v>929</v>
      </c>
      <c r="N1992" s="248">
        <v>12.14</v>
      </c>
      <c r="O1992" s="248">
        <v>93.29</v>
      </c>
      <c r="P1992" s="247" t="s">
        <v>1397</v>
      </c>
      <c r="Q1992" s="247" t="s">
        <v>93</v>
      </c>
    </row>
    <row r="1993" spans="1:17" x14ac:dyDescent="0.25">
      <c r="A1993" s="247" t="s">
        <v>646</v>
      </c>
      <c r="B1993" s="247" t="s">
        <v>265</v>
      </c>
      <c r="C1993" s="247" t="s">
        <v>1343</v>
      </c>
      <c r="D1993" s="247" t="s">
        <v>1361</v>
      </c>
      <c r="E1993" s="247" t="s">
        <v>1300</v>
      </c>
      <c r="F1993" s="247" t="s">
        <v>2130</v>
      </c>
      <c r="G1993" s="247" t="s">
        <v>1396</v>
      </c>
      <c r="H1993" s="247" t="s">
        <v>1996</v>
      </c>
      <c r="I1993" s="247" t="s">
        <v>2131</v>
      </c>
      <c r="J1993" s="247">
        <v>31</v>
      </c>
      <c r="K1993" s="247">
        <v>31</v>
      </c>
      <c r="L1993" s="249" t="s">
        <v>940</v>
      </c>
      <c r="M1993" s="249" t="s">
        <v>929</v>
      </c>
      <c r="N1993" s="248">
        <v>9.58</v>
      </c>
      <c r="O1993" s="248">
        <v>102.87</v>
      </c>
      <c r="P1993" s="247" t="s">
        <v>1397</v>
      </c>
      <c r="Q1993" s="247" t="s">
        <v>94</v>
      </c>
    </row>
    <row r="1994" spans="1:17" x14ac:dyDescent="0.25">
      <c r="A1994" s="247" t="s">
        <v>646</v>
      </c>
      <c r="B1994" s="247" t="s">
        <v>265</v>
      </c>
      <c r="C1994" s="247" t="s">
        <v>1343</v>
      </c>
      <c r="D1994" s="247" t="s">
        <v>1361</v>
      </c>
      <c r="E1994" s="247" t="s">
        <v>1300</v>
      </c>
      <c r="F1994" s="247" t="s">
        <v>2130</v>
      </c>
      <c r="G1994" s="247" t="s">
        <v>1396</v>
      </c>
      <c r="H1994" s="247" t="s">
        <v>1996</v>
      </c>
      <c r="I1994" s="247" t="s">
        <v>2131</v>
      </c>
      <c r="J1994" s="247">
        <v>31</v>
      </c>
      <c r="K1994" s="247">
        <v>31</v>
      </c>
      <c r="L1994" s="249" t="s">
        <v>642</v>
      </c>
      <c r="M1994" s="249" t="s">
        <v>929</v>
      </c>
      <c r="N1994" s="248">
        <v>18.53</v>
      </c>
      <c r="O1994" s="248">
        <v>121.4</v>
      </c>
      <c r="P1994" s="247" t="s">
        <v>1397</v>
      </c>
      <c r="Q1994" s="247" t="s">
        <v>95</v>
      </c>
    </row>
    <row r="1995" spans="1:17" x14ac:dyDescent="0.25">
      <c r="A1995" s="247" t="s">
        <v>646</v>
      </c>
      <c r="B1995" s="247" t="s">
        <v>265</v>
      </c>
      <c r="C1995" s="247" t="s">
        <v>1343</v>
      </c>
      <c r="D1995" s="247" t="s">
        <v>926</v>
      </c>
      <c r="E1995" s="247" t="s">
        <v>1302</v>
      </c>
      <c r="F1995" s="247" t="s">
        <v>2132</v>
      </c>
      <c r="G1995" s="247" t="s">
        <v>1344</v>
      </c>
      <c r="H1995" s="247" t="s">
        <v>1999</v>
      </c>
      <c r="I1995" s="247" t="s">
        <v>2133</v>
      </c>
      <c r="J1995" s="247">
        <v>87</v>
      </c>
      <c r="K1995" s="247">
        <v>87.1</v>
      </c>
      <c r="L1995" s="249" t="s">
        <v>646</v>
      </c>
      <c r="M1995" s="249" t="s">
        <v>933</v>
      </c>
      <c r="N1995" s="248">
        <v>3050.91</v>
      </c>
      <c r="O1995" s="248">
        <v>53822.09</v>
      </c>
      <c r="P1995" s="247" t="s">
        <v>1398</v>
      </c>
      <c r="Q1995" s="247" t="s">
        <v>84</v>
      </c>
    </row>
    <row r="1996" spans="1:17" x14ac:dyDescent="0.25">
      <c r="A1996" s="247" t="s">
        <v>646</v>
      </c>
      <c r="B1996" s="247" t="s">
        <v>265</v>
      </c>
      <c r="C1996" s="247" t="s">
        <v>1343</v>
      </c>
      <c r="D1996" s="247" t="s">
        <v>926</v>
      </c>
      <c r="E1996" s="247" t="s">
        <v>1302</v>
      </c>
      <c r="F1996" s="247" t="s">
        <v>2132</v>
      </c>
      <c r="G1996" s="247" t="s">
        <v>1344</v>
      </c>
      <c r="H1996" s="247" t="s">
        <v>1999</v>
      </c>
      <c r="I1996" s="247" t="s">
        <v>2133</v>
      </c>
      <c r="J1996" s="247">
        <v>87</v>
      </c>
      <c r="K1996" s="247">
        <v>87.1</v>
      </c>
      <c r="L1996" s="249" t="s">
        <v>650</v>
      </c>
      <c r="M1996" s="249" t="s">
        <v>933</v>
      </c>
      <c r="N1996" s="248">
        <v>2203.44</v>
      </c>
      <c r="O1996" s="248">
        <v>56025.53</v>
      </c>
      <c r="P1996" s="247" t="s">
        <v>1398</v>
      </c>
      <c r="Q1996" s="247" t="s">
        <v>85</v>
      </c>
    </row>
    <row r="1997" spans="1:17" x14ac:dyDescent="0.25">
      <c r="A1997" s="247" t="s">
        <v>646</v>
      </c>
      <c r="B1997" s="247" t="s">
        <v>265</v>
      </c>
      <c r="C1997" s="247" t="s">
        <v>1343</v>
      </c>
      <c r="D1997" s="247" t="s">
        <v>926</v>
      </c>
      <c r="E1997" s="247" t="s">
        <v>1302</v>
      </c>
      <c r="F1997" s="247" t="s">
        <v>2132</v>
      </c>
      <c r="G1997" s="247" t="s">
        <v>1344</v>
      </c>
      <c r="H1997" s="247" t="s">
        <v>1999</v>
      </c>
      <c r="I1997" s="247" t="s">
        <v>2133</v>
      </c>
      <c r="J1997" s="247">
        <v>87</v>
      </c>
      <c r="K1997" s="247">
        <v>87.1</v>
      </c>
      <c r="L1997" s="249" t="s">
        <v>652</v>
      </c>
      <c r="M1997" s="249" t="s">
        <v>933</v>
      </c>
      <c r="N1997" s="248">
        <v>6556.27</v>
      </c>
      <c r="O1997" s="248">
        <v>62581.8</v>
      </c>
      <c r="P1997" s="247" t="s">
        <v>1398</v>
      </c>
      <c r="Q1997" s="247" t="s">
        <v>86</v>
      </c>
    </row>
    <row r="1998" spans="1:17" x14ac:dyDescent="0.25">
      <c r="A1998" s="247" t="s">
        <v>646</v>
      </c>
      <c r="B1998" s="247" t="s">
        <v>265</v>
      </c>
      <c r="C1998" s="247" t="s">
        <v>1343</v>
      </c>
      <c r="D1998" s="247" t="s">
        <v>926</v>
      </c>
      <c r="E1998" s="247" t="s">
        <v>1302</v>
      </c>
      <c r="F1998" s="247" t="s">
        <v>2132</v>
      </c>
      <c r="G1998" s="247" t="s">
        <v>1344</v>
      </c>
      <c r="H1998" s="247" t="s">
        <v>1999</v>
      </c>
      <c r="I1998" s="247" t="s">
        <v>2133</v>
      </c>
      <c r="J1998" s="247">
        <v>87</v>
      </c>
      <c r="K1998" s="247">
        <v>87.1</v>
      </c>
      <c r="L1998" s="249" t="s">
        <v>789</v>
      </c>
      <c r="M1998" s="249" t="s">
        <v>929</v>
      </c>
      <c r="N1998" s="248">
        <v>3345.36</v>
      </c>
      <c r="O1998" s="248">
        <v>3345.36</v>
      </c>
      <c r="P1998" s="247" t="s">
        <v>1398</v>
      </c>
      <c r="Q1998" s="247" t="s">
        <v>87</v>
      </c>
    </row>
    <row r="1999" spans="1:17" x14ac:dyDescent="0.25">
      <c r="A1999" s="247" t="s">
        <v>646</v>
      </c>
      <c r="B1999" s="247" t="s">
        <v>265</v>
      </c>
      <c r="C1999" s="247" t="s">
        <v>1343</v>
      </c>
      <c r="D1999" s="247" t="s">
        <v>926</v>
      </c>
      <c r="E1999" s="247" t="s">
        <v>1302</v>
      </c>
      <c r="F1999" s="247" t="s">
        <v>2132</v>
      </c>
      <c r="G1999" s="247" t="s">
        <v>1344</v>
      </c>
      <c r="H1999" s="247" t="s">
        <v>1999</v>
      </c>
      <c r="I1999" s="247" t="s">
        <v>2133</v>
      </c>
      <c r="J1999" s="247">
        <v>87</v>
      </c>
      <c r="K1999" s="247">
        <v>87.1</v>
      </c>
      <c r="L1999" s="249" t="s">
        <v>791</v>
      </c>
      <c r="M1999" s="249" t="s">
        <v>929</v>
      </c>
      <c r="N1999" s="248">
        <v>3345.36</v>
      </c>
      <c r="O1999" s="248">
        <v>6690.72</v>
      </c>
      <c r="P1999" s="247" t="s">
        <v>1398</v>
      </c>
      <c r="Q1999" s="247" t="s">
        <v>88</v>
      </c>
    </row>
    <row r="2000" spans="1:17" x14ac:dyDescent="0.25">
      <c r="A2000" s="247" t="s">
        <v>646</v>
      </c>
      <c r="B2000" s="247" t="s">
        <v>265</v>
      </c>
      <c r="C2000" s="247" t="s">
        <v>1343</v>
      </c>
      <c r="D2000" s="247" t="s">
        <v>926</v>
      </c>
      <c r="E2000" s="247" t="s">
        <v>1302</v>
      </c>
      <c r="F2000" s="247" t="s">
        <v>2132</v>
      </c>
      <c r="G2000" s="247" t="s">
        <v>1344</v>
      </c>
      <c r="H2000" s="247" t="s">
        <v>1999</v>
      </c>
      <c r="I2000" s="247" t="s">
        <v>2133</v>
      </c>
      <c r="J2000" s="247">
        <v>87</v>
      </c>
      <c r="K2000" s="247">
        <v>87.1</v>
      </c>
      <c r="L2000" s="249" t="s">
        <v>935</v>
      </c>
      <c r="M2000" s="249" t="s">
        <v>929</v>
      </c>
      <c r="N2000" s="248">
        <v>3345.36</v>
      </c>
      <c r="O2000" s="248">
        <v>10036.08</v>
      </c>
      <c r="P2000" s="247" t="s">
        <v>1398</v>
      </c>
      <c r="Q2000" s="247" t="s">
        <v>89</v>
      </c>
    </row>
    <row r="2001" spans="1:17" x14ac:dyDescent="0.25">
      <c r="A2001" s="247" t="s">
        <v>646</v>
      </c>
      <c r="B2001" s="247" t="s">
        <v>265</v>
      </c>
      <c r="C2001" s="247" t="s">
        <v>1343</v>
      </c>
      <c r="D2001" s="247" t="s">
        <v>926</v>
      </c>
      <c r="E2001" s="247" t="s">
        <v>1302</v>
      </c>
      <c r="F2001" s="247" t="s">
        <v>2132</v>
      </c>
      <c r="G2001" s="247" t="s">
        <v>1344</v>
      </c>
      <c r="H2001" s="247" t="s">
        <v>1999</v>
      </c>
      <c r="I2001" s="247" t="s">
        <v>2133</v>
      </c>
      <c r="J2001" s="247">
        <v>87</v>
      </c>
      <c r="K2001" s="247">
        <v>87.1</v>
      </c>
      <c r="L2001" s="249" t="s">
        <v>936</v>
      </c>
      <c r="M2001" s="249" t="s">
        <v>929</v>
      </c>
      <c r="N2001" s="248">
        <v>3345.36</v>
      </c>
      <c r="O2001" s="248">
        <v>13381.44</v>
      </c>
      <c r="P2001" s="247" t="s">
        <v>1398</v>
      </c>
      <c r="Q2001" s="247" t="s">
        <v>90</v>
      </c>
    </row>
    <row r="2002" spans="1:17" x14ac:dyDescent="0.25">
      <c r="A2002" s="247" t="s">
        <v>646</v>
      </c>
      <c r="B2002" s="247" t="s">
        <v>265</v>
      </c>
      <c r="C2002" s="247" t="s">
        <v>1343</v>
      </c>
      <c r="D2002" s="247" t="s">
        <v>926</v>
      </c>
      <c r="E2002" s="247" t="s">
        <v>1302</v>
      </c>
      <c r="F2002" s="247" t="s">
        <v>2132</v>
      </c>
      <c r="G2002" s="247" t="s">
        <v>1344</v>
      </c>
      <c r="H2002" s="247" t="s">
        <v>1999</v>
      </c>
      <c r="I2002" s="247" t="s">
        <v>2133</v>
      </c>
      <c r="J2002" s="247">
        <v>87</v>
      </c>
      <c r="K2002" s="247">
        <v>87.1</v>
      </c>
      <c r="L2002" s="249" t="s">
        <v>937</v>
      </c>
      <c r="M2002" s="249" t="s">
        <v>929</v>
      </c>
      <c r="N2002" s="248">
        <v>3345.36</v>
      </c>
      <c r="O2002" s="248">
        <v>16726.8</v>
      </c>
      <c r="P2002" s="247" t="s">
        <v>1398</v>
      </c>
      <c r="Q2002" s="247" t="s">
        <v>91</v>
      </c>
    </row>
    <row r="2003" spans="1:17" x14ac:dyDescent="0.25">
      <c r="A2003" s="247" t="s">
        <v>646</v>
      </c>
      <c r="B2003" s="247" t="s">
        <v>265</v>
      </c>
      <c r="C2003" s="247" t="s">
        <v>1343</v>
      </c>
      <c r="D2003" s="247" t="s">
        <v>926</v>
      </c>
      <c r="E2003" s="247" t="s">
        <v>1302</v>
      </c>
      <c r="F2003" s="247" t="s">
        <v>2132</v>
      </c>
      <c r="G2003" s="247" t="s">
        <v>1344</v>
      </c>
      <c r="H2003" s="247" t="s">
        <v>1999</v>
      </c>
      <c r="I2003" s="247" t="s">
        <v>2133</v>
      </c>
      <c r="J2003" s="247">
        <v>87</v>
      </c>
      <c r="K2003" s="247">
        <v>87.1</v>
      </c>
      <c r="L2003" s="249" t="s">
        <v>938</v>
      </c>
      <c r="M2003" s="249" t="s">
        <v>929</v>
      </c>
      <c r="N2003" s="248">
        <v>2787.8</v>
      </c>
      <c r="O2003" s="248">
        <v>19514.599999999999</v>
      </c>
      <c r="P2003" s="247" t="s">
        <v>1398</v>
      </c>
      <c r="Q2003" s="247" t="s">
        <v>92</v>
      </c>
    </row>
    <row r="2004" spans="1:17" x14ac:dyDescent="0.25">
      <c r="A2004" s="247" t="s">
        <v>646</v>
      </c>
      <c r="B2004" s="247" t="s">
        <v>265</v>
      </c>
      <c r="C2004" s="247" t="s">
        <v>1343</v>
      </c>
      <c r="D2004" s="247" t="s">
        <v>926</v>
      </c>
      <c r="E2004" s="247" t="s">
        <v>1302</v>
      </c>
      <c r="F2004" s="247" t="s">
        <v>2132</v>
      </c>
      <c r="G2004" s="247" t="s">
        <v>1344</v>
      </c>
      <c r="H2004" s="247" t="s">
        <v>1999</v>
      </c>
      <c r="I2004" s="247" t="s">
        <v>2133</v>
      </c>
      <c r="J2004" s="247">
        <v>87</v>
      </c>
      <c r="K2004" s="247">
        <v>87.1</v>
      </c>
      <c r="L2004" s="249" t="s">
        <v>939</v>
      </c>
      <c r="M2004" s="249" t="s">
        <v>929</v>
      </c>
      <c r="N2004" s="248">
        <v>2787.8</v>
      </c>
      <c r="O2004" s="248">
        <v>22302.400000000001</v>
      </c>
      <c r="P2004" s="247" t="s">
        <v>1398</v>
      </c>
      <c r="Q2004" s="247" t="s">
        <v>93</v>
      </c>
    </row>
    <row r="2005" spans="1:17" x14ac:dyDescent="0.25">
      <c r="A2005" s="247" t="s">
        <v>646</v>
      </c>
      <c r="B2005" s="247" t="s">
        <v>265</v>
      </c>
      <c r="C2005" s="247" t="s">
        <v>1343</v>
      </c>
      <c r="D2005" s="247" t="s">
        <v>926</v>
      </c>
      <c r="E2005" s="247" t="s">
        <v>1302</v>
      </c>
      <c r="F2005" s="247" t="s">
        <v>2132</v>
      </c>
      <c r="G2005" s="247" t="s">
        <v>1344</v>
      </c>
      <c r="H2005" s="247" t="s">
        <v>1999</v>
      </c>
      <c r="I2005" s="247" t="s">
        <v>2133</v>
      </c>
      <c r="J2005" s="247">
        <v>87</v>
      </c>
      <c r="K2005" s="247">
        <v>87.1</v>
      </c>
      <c r="L2005" s="249" t="s">
        <v>940</v>
      </c>
      <c r="M2005" s="249" t="s">
        <v>929</v>
      </c>
      <c r="N2005" s="248">
        <v>2787.8</v>
      </c>
      <c r="O2005" s="248">
        <v>25090.2</v>
      </c>
      <c r="P2005" s="247" t="s">
        <v>1398</v>
      </c>
      <c r="Q2005" s="247" t="s">
        <v>94</v>
      </c>
    </row>
    <row r="2006" spans="1:17" x14ac:dyDescent="0.25">
      <c r="A2006" s="247" t="s">
        <v>646</v>
      </c>
      <c r="B2006" s="247" t="s">
        <v>265</v>
      </c>
      <c r="C2006" s="247" t="s">
        <v>1343</v>
      </c>
      <c r="D2006" s="247" t="s">
        <v>926</v>
      </c>
      <c r="E2006" s="247" t="s">
        <v>1302</v>
      </c>
      <c r="F2006" s="247" t="s">
        <v>2132</v>
      </c>
      <c r="G2006" s="247" t="s">
        <v>1344</v>
      </c>
      <c r="H2006" s="247" t="s">
        <v>1999</v>
      </c>
      <c r="I2006" s="247" t="s">
        <v>2133</v>
      </c>
      <c r="J2006" s="247">
        <v>87</v>
      </c>
      <c r="K2006" s="247">
        <v>87.1</v>
      </c>
      <c r="L2006" s="249" t="s">
        <v>642</v>
      </c>
      <c r="M2006" s="249" t="s">
        <v>929</v>
      </c>
      <c r="N2006" s="248">
        <v>2787.8</v>
      </c>
      <c r="O2006" s="248">
        <v>27878</v>
      </c>
      <c r="P2006" s="247" t="s">
        <v>1398</v>
      </c>
      <c r="Q2006" s="247" t="s">
        <v>95</v>
      </c>
    </row>
    <row r="2007" spans="1:17" x14ac:dyDescent="0.25">
      <c r="A2007" s="247" t="s">
        <v>646</v>
      </c>
      <c r="B2007" s="247" t="s">
        <v>265</v>
      </c>
      <c r="C2007" s="247" t="s">
        <v>1343</v>
      </c>
      <c r="D2007" s="247" t="s">
        <v>711</v>
      </c>
      <c r="E2007" s="247" t="s">
        <v>1302</v>
      </c>
      <c r="F2007" s="247" t="s">
        <v>2134</v>
      </c>
      <c r="G2007" s="247" t="s">
        <v>1346</v>
      </c>
      <c r="H2007" s="247" t="s">
        <v>1999</v>
      </c>
      <c r="I2007" s="247" t="s">
        <v>2135</v>
      </c>
      <c r="J2007" s="247">
        <v>89</v>
      </c>
      <c r="K2007" s="247">
        <v>89.1</v>
      </c>
      <c r="L2007" s="249" t="s">
        <v>646</v>
      </c>
      <c r="M2007" s="249" t="s">
        <v>933</v>
      </c>
      <c r="N2007" s="248">
        <v>1610.11</v>
      </c>
      <c r="O2007" s="248">
        <v>21069.58</v>
      </c>
      <c r="P2007" s="247" t="s">
        <v>1399</v>
      </c>
      <c r="Q2007" s="247" t="s">
        <v>84</v>
      </c>
    </row>
    <row r="2008" spans="1:17" x14ac:dyDescent="0.25">
      <c r="A2008" s="247" t="s">
        <v>646</v>
      </c>
      <c r="B2008" s="247" t="s">
        <v>265</v>
      </c>
      <c r="C2008" s="247" t="s">
        <v>1343</v>
      </c>
      <c r="D2008" s="247" t="s">
        <v>711</v>
      </c>
      <c r="E2008" s="247" t="s">
        <v>1302</v>
      </c>
      <c r="F2008" s="247" t="s">
        <v>2134</v>
      </c>
      <c r="G2008" s="247" t="s">
        <v>1346</v>
      </c>
      <c r="H2008" s="247" t="s">
        <v>1999</v>
      </c>
      <c r="I2008" s="247" t="s">
        <v>2135</v>
      </c>
      <c r="J2008" s="247">
        <v>89</v>
      </c>
      <c r="K2008" s="247">
        <v>89.1</v>
      </c>
      <c r="L2008" s="249" t="s">
        <v>650</v>
      </c>
      <c r="M2008" s="249" t="s">
        <v>933</v>
      </c>
      <c r="N2008" s="248">
        <v>795.1</v>
      </c>
      <c r="O2008" s="248">
        <v>21864.68</v>
      </c>
      <c r="P2008" s="247" t="s">
        <v>1399</v>
      </c>
      <c r="Q2008" s="247" t="s">
        <v>85</v>
      </c>
    </row>
    <row r="2009" spans="1:17" x14ac:dyDescent="0.25">
      <c r="A2009" s="247" t="s">
        <v>646</v>
      </c>
      <c r="B2009" s="247" t="s">
        <v>265</v>
      </c>
      <c r="C2009" s="247" t="s">
        <v>1343</v>
      </c>
      <c r="D2009" s="247" t="s">
        <v>711</v>
      </c>
      <c r="E2009" s="247" t="s">
        <v>1302</v>
      </c>
      <c r="F2009" s="247" t="s">
        <v>2134</v>
      </c>
      <c r="G2009" s="247" t="s">
        <v>1346</v>
      </c>
      <c r="H2009" s="247" t="s">
        <v>1999</v>
      </c>
      <c r="I2009" s="247" t="s">
        <v>2135</v>
      </c>
      <c r="J2009" s="247">
        <v>89</v>
      </c>
      <c r="K2009" s="247">
        <v>89.1</v>
      </c>
      <c r="L2009" s="249" t="s">
        <v>652</v>
      </c>
      <c r="M2009" s="249" t="s">
        <v>933</v>
      </c>
      <c r="N2009" s="248">
        <v>1083.27</v>
      </c>
      <c r="O2009" s="248">
        <v>22947.95</v>
      </c>
      <c r="P2009" s="247" t="s">
        <v>1399</v>
      </c>
      <c r="Q2009" s="247" t="s">
        <v>86</v>
      </c>
    </row>
    <row r="2010" spans="1:17" x14ac:dyDescent="0.25">
      <c r="A2010" s="247" t="s">
        <v>646</v>
      </c>
      <c r="B2010" s="247" t="s">
        <v>265</v>
      </c>
      <c r="C2010" s="247" t="s">
        <v>1343</v>
      </c>
      <c r="D2010" s="247" t="s">
        <v>711</v>
      </c>
      <c r="E2010" s="247" t="s">
        <v>1302</v>
      </c>
      <c r="F2010" s="247" t="s">
        <v>2134</v>
      </c>
      <c r="G2010" s="247" t="s">
        <v>1346</v>
      </c>
      <c r="H2010" s="247" t="s">
        <v>1999</v>
      </c>
      <c r="I2010" s="247" t="s">
        <v>2135</v>
      </c>
      <c r="J2010" s="247">
        <v>89</v>
      </c>
      <c r="K2010" s="247">
        <v>89.1</v>
      </c>
      <c r="L2010" s="249" t="s">
        <v>789</v>
      </c>
      <c r="M2010" s="249" t="s">
        <v>929</v>
      </c>
      <c r="N2010" s="248">
        <v>1045.96</v>
      </c>
      <c r="O2010" s="248">
        <v>1045.96</v>
      </c>
      <c r="P2010" s="247" t="s">
        <v>1399</v>
      </c>
      <c r="Q2010" s="247" t="s">
        <v>87</v>
      </c>
    </row>
    <row r="2011" spans="1:17" x14ac:dyDescent="0.25">
      <c r="A2011" s="247" t="s">
        <v>646</v>
      </c>
      <c r="B2011" s="247" t="s">
        <v>265</v>
      </c>
      <c r="C2011" s="247" t="s">
        <v>1343</v>
      </c>
      <c r="D2011" s="247" t="s">
        <v>711</v>
      </c>
      <c r="E2011" s="247" t="s">
        <v>1302</v>
      </c>
      <c r="F2011" s="247" t="s">
        <v>2134</v>
      </c>
      <c r="G2011" s="247" t="s">
        <v>1346</v>
      </c>
      <c r="H2011" s="247" t="s">
        <v>1999</v>
      </c>
      <c r="I2011" s="247" t="s">
        <v>2135</v>
      </c>
      <c r="J2011" s="247">
        <v>89</v>
      </c>
      <c r="K2011" s="247">
        <v>89.1</v>
      </c>
      <c r="L2011" s="249" t="s">
        <v>791</v>
      </c>
      <c r="M2011" s="249" t="s">
        <v>929</v>
      </c>
      <c r="N2011" s="248">
        <v>1074.1600000000001</v>
      </c>
      <c r="O2011" s="248">
        <v>2120.12</v>
      </c>
      <c r="P2011" s="247" t="s">
        <v>1399</v>
      </c>
      <c r="Q2011" s="247" t="s">
        <v>88</v>
      </c>
    </row>
    <row r="2012" spans="1:17" x14ac:dyDescent="0.25">
      <c r="A2012" s="247" t="s">
        <v>646</v>
      </c>
      <c r="B2012" s="247" t="s">
        <v>265</v>
      </c>
      <c r="C2012" s="247" t="s">
        <v>1343</v>
      </c>
      <c r="D2012" s="247" t="s">
        <v>711</v>
      </c>
      <c r="E2012" s="247" t="s">
        <v>1302</v>
      </c>
      <c r="F2012" s="247" t="s">
        <v>2134</v>
      </c>
      <c r="G2012" s="247" t="s">
        <v>1346</v>
      </c>
      <c r="H2012" s="247" t="s">
        <v>1999</v>
      </c>
      <c r="I2012" s="247" t="s">
        <v>2135</v>
      </c>
      <c r="J2012" s="247">
        <v>89</v>
      </c>
      <c r="K2012" s="247">
        <v>89.1</v>
      </c>
      <c r="L2012" s="249" t="s">
        <v>935</v>
      </c>
      <c r="M2012" s="249" t="s">
        <v>929</v>
      </c>
      <c r="N2012" s="248">
        <v>1104.8699999999999</v>
      </c>
      <c r="O2012" s="248">
        <v>3224.99</v>
      </c>
      <c r="P2012" s="247" t="s">
        <v>1399</v>
      </c>
      <c r="Q2012" s="247" t="s">
        <v>89</v>
      </c>
    </row>
    <row r="2013" spans="1:17" x14ac:dyDescent="0.25">
      <c r="A2013" s="247" t="s">
        <v>646</v>
      </c>
      <c r="B2013" s="247" t="s">
        <v>265</v>
      </c>
      <c r="C2013" s="247" t="s">
        <v>1343</v>
      </c>
      <c r="D2013" s="247" t="s">
        <v>711</v>
      </c>
      <c r="E2013" s="247" t="s">
        <v>1302</v>
      </c>
      <c r="F2013" s="247" t="s">
        <v>2134</v>
      </c>
      <c r="G2013" s="247" t="s">
        <v>1346</v>
      </c>
      <c r="H2013" s="247" t="s">
        <v>1999</v>
      </c>
      <c r="I2013" s="247" t="s">
        <v>2135</v>
      </c>
      <c r="J2013" s="247">
        <v>89</v>
      </c>
      <c r="K2013" s="247">
        <v>89.1</v>
      </c>
      <c r="L2013" s="249" t="s">
        <v>936</v>
      </c>
      <c r="M2013" s="249" t="s">
        <v>929</v>
      </c>
      <c r="N2013" s="248">
        <v>1789.92</v>
      </c>
      <c r="O2013" s="248">
        <v>5014.91</v>
      </c>
      <c r="P2013" s="247" t="s">
        <v>1399</v>
      </c>
      <c r="Q2013" s="247" t="s">
        <v>90</v>
      </c>
    </row>
    <row r="2014" spans="1:17" x14ac:dyDescent="0.25">
      <c r="A2014" s="247" t="s">
        <v>646</v>
      </c>
      <c r="B2014" s="247" t="s">
        <v>265</v>
      </c>
      <c r="C2014" s="247" t="s">
        <v>1343</v>
      </c>
      <c r="D2014" s="247" t="s">
        <v>711</v>
      </c>
      <c r="E2014" s="247" t="s">
        <v>1302</v>
      </c>
      <c r="F2014" s="247" t="s">
        <v>2134</v>
      </c>
      <c r="G2014" s="247" t="s">
        <v>1346</v>
      </c>
      <c r="H2014" s="247" t="s">
        <v>1999</v>
      </c>
      <c r="I2014" s="247" t="s">
        <v>2135</v>
      </c>
      <c r="J2014" s="247">
        <v>89</v>
      </c>
      <c r="K2014" s="247">
        <v>89.1</v>
      </c>
      <c r="L2014" s="249" t="s">
        <v>937</v>
      </c>
      <c r="M2014" s="249" t="s">
        <v>929</v>
      </c>
      <c r="N2014" s="248">
        <v>887.04</v>
      </c>
      <c r="O2014" s="248">
        <v>5901.95</v>
      </c>
      <c r="P2014" s="247" t="s">
        <v>1399</v>
      </c>
      <c r="Q2014" s="247" t="s">
        <v>91</v>
      </c>
    </row>
    <row r="2015" spans="1:17" x14ac:dyDescent="0.25">
      <c r="A2015" s="247" t="s">
        <v>646</v>
      </c>
      <c r="B2015" s="247" t="s">
        <v>265</v>
      </c>
      <c r="C2015" s="247" t="s">
        <v>1343</v>
      </c>
      <c r="D2015" s="247" t="s">
        <v>711</v>
      </c>
      <c r="E2015" s="247" t="s">
        <v>1302</v>
      </c>
      <c r="F2015" s="247" t="s">
        <v>2134</v>
      </c>
      <c r="G2015" s="247" t="s">
        <v>1346</v>
      </c>
      <c r="H2015" s="247" t="s">
        <v>1999</v>
      </c>
      <c r="I2015" s="247" t="s">
        <v>2135</v>
      </c>
      <c r="J2015" s="247">
        <v>89</v>
      </c>
      <c r="K2015" s="247">
        <v>89.1</v>
      </c>
      <c r="L2015" s="249" t="s">
        <v>938</v>
      </c>
      <c r="M2015" s="249" t="s">
        <v>929</v>
      </c>
      <c r="N2015" s="248">
        <v>901.14</v>
      </c>
      <c r="O2015" s="248">
        <v>6803.09</v>
      </c>
      <c r="P2015" s="247" t="s">
        <v>1399</v>
      </c>
      <c r="Q2015" s="247" t="s">
        <v>92</v>
      </c>
    </row>
    <row r="2016" spans="1:17" x14ac:dyDescent="0.25">
      <c r="A2016" s="247" t="s">
        <v>646</v>
      </c>
      <c r="B2016" s="247" t="s">
        <v>265</v>
      </c>
      <c r="C2016" s="247" t="s">
        <v>1343</v>
      </c>
      <c r="D2016" s="247" t="s">
        <v>711</v>
      </c>
      <c r="E2016" s="247" t="s">
        <v>1302</v>
      </c>
      <c r="F2016" s="247" t="s">
        <v>2134</v>
      </c>
      <c r="G2016" s="247" t="s">
        <v>1346</v>
      </c>
      <c r="H2016" s="247" t="s">
        <v>1999</v>
      </c>
      <c r="I2016" s="247" t="s">
        <v>2135</v>
      </c>
      <c r="J2016" s="247">
        <v>89</v>
      </c>
      <c r="K2016" s="247">
        <v>89.1</v>
      </c>
      <c r="L2016" s="249" t="s">
        <v>939</v>
      </c>
      <c r="M2016" s="249" t="s">
        <v>929</v>
      </c>
      <c r="N2016" s="248">
        <v>1022.93</v>
      </c>
      <c r="O2016" s="248">
        <v>7826.02</v>
      </c>
      <c r="P2016" s="247" t="s">
        <v>1399</v>
      </c>
      <c r="Q2016" s="247" t="s">
        <v>93</v>
      </c>
    </row>
    <row r="2017" spans="1:17" x14ac:dyDescent="0.25">
      <c r="A2017" s="247" t="s">
        <v>646</v>
      </c>
      <c r="B2017" s="247" t="s">
        <v>265</v>
      </c>
      <c r="C2017" s="247" t="s">
        <v>1343</v>
      </c>
      <c r="D2017" s="247" t="s">
        <v>711</v>
      </c>
      <c r="E2017" s="247" t="s">
        <v>1302</v>
      </c>
      <c r="F2017" s="247" t="s">
        <v>2134</v>
      </c>
      <c r="G2017" s="247" t="s">
        <v>1346</v>
      </c>
      <c r="H2017" s="247" t="s">
        <v>1999</v>
      </c>
      <c r="I2017" s="247" t="s">
        <v>2135</v>
      </c>
      <c r="J2017" s="247">
        <v>89</v>
      </c>
      <c r="K2017" s="247">
        <v>89.1</v>
      </c>
      <c r="L2017" s="249" t="s">
        <v>940</v>
      </c>
      <c r="M2017" s="249" t="s">
        <v>929</v>
      </c>
      <c r="N2017" s="248">
        <v>1025.75</v>
      </c>
      <c r="O2017" s="248">
        <v>8851.77</v>
      </c>
      <c r="P2017" s="247" t="s">
        <v>1399</v>
      </c>
      <c r="Q2017" s="247" t="s">
        <v>94</v>
      </c>
    </row>
    <row r="2018" spans="1:17" x14ac:dyDescent="0.25">
      <c r="A2018" s="247" t="s">
        <v>646</v>
      </c>
      <c r="B2018" s="247" t="s">
        <v>265</v>
      </c>
      <c r="C2018" s="247" t="s">
        <v>1343</v>
      </c>
      <c r="D2018" s="247" t="s">
        <v>711</v>
      </c>
      <c r="E2018" s="247" t="s">
        <v>1302</v>
      </c>
      <c r="F2018" s="247" t="s">
        <v>2134</v>
      </c>
      <c r="G2018" s="247" t="s">
        <v>1346</v>
      </c>
      <c r="H2018" s="247" t="s">
        <v>1999</v>
      </c>
      <c r="I2018" s="247" t="s">
        <v>2135</v>
      </c>
      <c r="J2018" s="247">
        <v>89</v>
      </c>
      <c r="K2018" s="247">
        <v>89.1</v>
      </c>
      <c r="L2018" s="249" t="s">
        <v>642</v>
      </c>
      <c r="M2018" s="249" t="s">
        <v>929</v>
      </c>
      <c r="N2018" s="248">
        <v>1550.15</v>
      </c>
      <c r="O2018" s="248">
        <v>10401.92</v>
      </c>
      <c r="P2018" s="247" t="s">
        <v>1399</v>
      </c>
      <c r="Q2018" s="247" t="s">
        <v>95</v>
      </c>
    </row>
    <row r="2019" spans="1:17" x14ac:dyDescent="0.25">
      <c r="A2019" s="247" t="s">
        <v>646</v>
      </c>
      <c r="B2019" s="247" t="s">
        <v>265</v>
      </c>
      <c r="C2019" s="247" t="s">
        <v>1343</v>
      </c>
      <c r="D2019" s="247" t="s">
        <v>755</v>
      </c>
      <c r="E2019" s="247" t="s">
        <v>1302</v>
      </c>
      <c r="F2019" s="247" t="s">
        <v>2136</v>
      </c>
      <c r="G2019" s="247" t="s">
        <v>1348</v>
      </c>
      <c r="H2019" s="247" t="s">
        <v>1999</v>
      </c>
      <c r="I2019" s="247" t="s">
        <v>2137</v>
      </c>
      <c r="J2019" s="247">
        <v>89</v>
      </c>
      <c r="K2019" s="247">
        <v>89.1</v>
      </c>
      <c r="L2019" s="249" t="s">
        <v>646</v>
      </c>
      <c r="M2019" s="249" t="s">
        <v>933</v>
      </c>
      <c r="N2019" s="248">
        <v>142.97999999999999</v>
      </c>
      <c r="O2019" s="248">
        <v>2374.73</v>
      </c>
      <c r="P2019" s="247" t="s">
        <v>1400</v>
      </c>
      <c r="Q2019" s="247" t="s">
        <v>84</v>
      </c>
    </row>
    <row r="2020" spans="1:17" x14ac:dyDescent="0.25">
      <c r="A2020" s="247" t="s">
        <v>646</v>
      </c>
      <c r="B2020" s="247" t="s">
        <v>265</v>
      </c>
      <c r="C2020" s="247" t="s">
        <v>1343</v>
      </c>
      <c r="D2020" s="247" t="s">
        <v>755</v>
      </c>
      <c r="E2020" s="247" t="s">
        <v>1302</v>
      </c>
      <c r="F2020" s="247" t="s">
        <v>2136</v>
      </c>
      <c r="G2020" s="247" t="s">
        <v>1348</v>
      </c>
      <c r="H2020" s="247" t="s">
        <v>1999</v>
      </c>
      <c r="I2020" s="247" t="s">
        <v>2137</v>
      </c>
      <c r="J2020" s="247">
        <v>89</v>
      </c>
      <c r="K2020" s="247">
        <v>89.1</v>
      </c>
      <c r="L2020" s="249" t="s">
        <v>650</v>
      </c>
      <c r="M2020" s="249" t="s">
        <v>933</v>
      </c>
      <c r="N2020" s="248">
        <v>142.97999999999999</v>
      </c>
      <c r="O2020" s="248">
        <v>2517.71</v>
      </c>
      <c r="P2020" s="247" t="s">
        <v>1400</v>
      </c>
      <c r="Q2020" s="247" t="s">
        <v>85</v>
      </c>
    </row>
    <row r="2021" spans="1:17" x14ac:dyDescent="0.25">
      <c r="A2021" s="247" t="s">
        <v>646</v>
      </c>
      <c r="B2021" s="247" t="s">
        <v>265</v>
      </c>
      <c r="C2021" s="247" t="s">
        <v>1343</v>
      </c>
      <c r="D2021" s="247" t="s">
        <v>755</v>
      </c>
      <c r="E2021" s="247" t="s">
        <v>1302</v>
      </c>
      <c r="F2021" s="247" t="s">
        <v>2136</v>
      </c>
      <c r="G2021" s="247" t="s">
        <v>1348</v>
      </c>
      <c r="H2021" s="247" t="s">
        <v>1999</v>
      </c>
      <c r="I2021" s="247" t="s">
        <v>2137</v>
      </c>
      <c r="J2021" s="247">
        <v>89</v>
      </c>
      <c r="K2021" s="247">
        <v>89.1</v>
      </c>
      <c r="L2021" s="249" t="s">
        <v>652</v>
      </c>
      <c r="M2021" s="249" t="s">
        <v>933</v>
      </c>
      <c r="N2021" s="248">
        <v>142.97999999999999</v>
      </c>
      <c r="O2021" s="248">
        <v>2660.69</v>
      </c>
      <c r="P2021" s="247" t="s">
        <v>1400</v>
      </c>
      <c r="Q2021" s="247" t="s">
        <v>86</v>
      </c>
    </row>
    <row r="2022" spans="1:17" x14ac:dyDescent="0.25">
      <c r="A2022" s="247" t="s">
        <v>646</v>
      </c>
      <c r="B2022" s="247" t="s">
        <v>265</v>
      </c>
      <c r="C2022" s="247" t="s">
        <v>1343</v>
      </c>
      <c r="D2022" s="247" t="s">
        <v>755</v>
      </c>
      <c r="E2022" s="247" t="s">
        <v>1302</v>
      </c>
      <c r="F2022" s="247" t="s">
        <v>2136</v>
      </c>
      <c r="G2022" s="247" t="s">
        <v>1348</v>
      </c>
      <c r="H2022" s="247" t="s">
        <v>1999</v>
      </c>
      <c r="I2022" s="247" t="s">
        <v>2137</v>
      </c>
      <c r="J2022" s="247">
        <v>89</v>
      </c>
      <c r="K2022" s="247">
        <v>89.1</v>
      </c>
      <c r="L2022" s="249" t="s">
        <v>789</v>
      </c>
      <c r="M2022" s="249" t="s">
        <v>929</v>
      </c>
      <c r="N2022" s="248">
        <v>142.97999999999999</v>
      </c>
      <c r="O2022" s="248">
        <v>142.97999999999999</v>
      </c>
      <c r="P2022" s="247" t="s">
        <v>1400</v>
      </c>
      <c r="Q2022" s="247" t="s">
        <v>87</v>
      </c>
    </row>
    <row r="2023" spans="1:17" x14ac:dyDescent="0.25">
      <c r="A2023" s="247" t="s">
        <v>646</v>
      </c>
      <c r="B2023" s="247" t="s">
        <v>265</v>
      </c>
      <c r="C2023" s="247" t="s">
        <v>1343</v>
      </c>
      <c r="D2023" s="247" t="s">
        <v>755</v>
      </c>
      <c r="E2023" s="247" t="s">
        <v>1302</v>
      </c>
      <c r="F2023" s="247" t="s">
        <v>2136</v>
      </c>
      <c r="G2023" s="247" t="s">
        <v>1348</v>
      </c>
      <c r="H2023" s="247" t="s">
        <v>1999</v>
      </c>
      <c r="I2023" s="247" t="s">
        <v>2137</v>
      </c>
      <c r="J2023" s="247">
        <v>89</v>
      </c>
      <c r="K2023" s="247">
        <v>89.1</v>
      </c>
      <c r="L2023" s="249" t="s">
        <v>791</v>
      </c>
      <c r="M2023" s="249" t="s">
        <v>929</v>
      </c>
      <c r="N2023" s="248">
        <v>142.97999999999999</v>
      </c>
      <c r="O2023" s="248">
        <v>285.95999999999998</v>
      </c>
      <c r="P2023" s="247" t="s">
        <v>1400</v>
      </c>
      <c r="Q2023" s="247" t="s">
        <v>88</v>
      </c>
    </row>
    <row r="2024" spans="1:17" x14ac:dyDescent="0.25">
      <c r="A2024" s="247" t="s">
        <v>646</v>
      </c>
      <c r="B2024" s="247" t="s">
        <v>265</v>
      </c>
      <c r="C2024" s="247" t="s">
        <v>1343</v>
      </c>
      <c r="D2024" s="247" t="s">
        <v>755</v>
      </c>
      <c r="E2024" s="247" t="s">
        <v>1302</v>
      </c>
      <c r="F2024" s="247" t="s">
        <v>2136</v>
      </c>
      <c r="G2024" s="247" t="s">
        <v>1348</v>
      </c>
      <c r="H2024" s="247" t="s">
        <v>1999</v>
      </c>
      <c r="I2024" s="247" t="s">
        <v>2137</v>
      </c>
      <c r="J2024" s="247">
        <v>89</v>
      </c>
      <c r="K2024" s="247">
        <v>89.1</v>
      </c>
      <c r="L2024" s="249" t="s">
        <v>935</v>
      </c>
      <c r="M2024" s="249" t="s">
        <v>929</v>
      </c>
      <c r="N2024" s="248">
        <v>142.97999999999999</v>
      </c>
      <c r="O2024" s="248">
        <v>428.94</v>
      </c>
      <c r="P2024" s="247" t="s">
        <v>1400</v>
      </c>
      <c r="Q2024" s="247" t="s">
        <v>89</v>
      </c>
    </row>
    <row r="2025" spans="1:17" x14ac:dyDescent="0.25">
      <c r="A2025" s="247" t="s">
        <v>646</v>
      </c>
      <c r="B2025" s="247" t="s">
        <v>265</v>
      </c>
      <c r="C2025" s="247" t="s">
        <v>1343</v>
      </c>
      <c r="D2025" s="247" t="s">
        <v>755</v>
      </c>
      <c r="E2025" s="247" t="s">
        <v>1302</v>
      </c>
      <c r="F2025" s="247" t="s">
        <v>2136</v>
      </c>
      <c r="G2025" s="247" t="s">
        <v>1348</v>
      </c>
      <c r="H2025" s="247" t="s">
        <v>1999</v>
      </c>
      <c r="I2025" s="247" t="s">
        <v>2137</v>
      </c>
      <c r="J2025" s="247">
        <v>89</v>
      </c>
      <c r="K2025" s="247">
        <v>89.1</v>
      </c>
      <c r="L2025" s="249" t="s">
        <v>936</v>
      </c>
      <c r="M2025" s="249" t="s">
        <v>929</v>
      </c>
      <c r="N2025" s="248">
        <v>142.97999999999999</v>
      </c>
      <c r="O2025" s="248">
        <v>571.91999999999996</v>
      </c>
      <c r="P2025" s="247" t="s">
        <v>1400</v>
      </c>
      <c r="Q2025" s="247" t="s">
        <v>90</v>
      </c>
    </row>
    <row r="2026" spans="1:17" x14ac:dyDescent="0.25">
      <c r="A2026" s="247" t="s">
        <v>646</v>
      </c>
      <c r="B2026" s="247" t="s">
        <v>265</v>
      </c>
      <c r="C2026" s="247" t="s">
        <v>1343</v>
      </c>
      <c r="D2026" s="247" t="s">
        <v>755</v>
      </c>
      <c r="E2026" s="247" t="s">
        <v>1302</v>
      </c>
      <c r="F2026" s="247" t="s">
        <v>2136</v>
      </c>
      <c r="G2026" s="247" t="s">
        <v>1348</v>
      </c>
      <c r="H2026" s="247" t="s">
        <v>1999</v>
      </c>
      <c r="I2026" s="247" t="s">
        <v>2137</v>
      </c>
      <c r="J2026" s="247">
        <v>89</v>
      </c>
      <c r="K2026" s="247">
        <v>89.1</v>
      </c>
      <c r="L2026" s="249" t="s">
        <v>937</v>
      </c>
      <c r="M2026" s="249" t="s">
        <v>929</v>
      </c>
      <c r="N2026" s="248">
        <v>142.97999999999999</v>
      </c>
      <c r="O2026" s="248">
        <v>714.9</v>
      </c>
      <c r="P2026" s="247" t="s">
        <v>1400</v>
      </c>
      <c r="Q2026" s="247" t="s">
        <v>91</v>
      </c>
    </row>
    <row r="2027" spans="1:17" x14ac:dyDescent="0.25">
      <c r="A2027" s="247" t="s">
        <v>646</v>
      </c>
      <c r="B2027" s="247" t="s">
        <v>265</v>
      </c>
      <c r="C2027" s="247" t="s">
        <v>1343</v>
      </c>
      <c r="D2027" s="247" t="s">
        <v>755</v>
      </c>
      <c r="E2027" s="247" t="s">
        <v>1302</v>
      </c>
      <c r="F2027" s="247" t="s">
        <v>2136</v>
      </c>
      <c r="G2027" s="247" t="s">
        <v>1348</v>
      </c>
      <c r="H2027" s="247" t="s">
        <v>1999</v>
      </c>
      <c r="I2027" s="247" t="s">
        <v>2137</v>
      </c>
      <c r="J2027" s="247">
        <v>89</v>
      </c>
      <c r="K2027" s="247">
        <v>89.1</v>
      </c>
      <c r="L2027" s="249" t="s">
        <v>938</v>
      </c>
      <c r="M2027" s="249" t="s">
        <v>929</v>
      </c>
      <c r="N2027" s="248">
        <v>121.48</v>
      </c>
      <c r="O2027" s="248">
        <v>836.38</v>
      </c>
      <c r="P2027" s="247" t="s">
        <v>1400</v>
      </c>
      <c r="Q2027" s="247" t="s">
        <v>92</v>
      </c>
    </row>
    <row r="2028" spans="1:17" x14ac:dyDescent="0.25">
      <c r="A2028" s="247" t="s">
        <v>646</v>
      </c>
      <c r="B2028" s="247" t="s">
        <v>265</v>
      </c>
      <c r="C2028" s="247" t="s">
        <v>1343</v>
      </c>
      <c r="D2028" s="247" t="s">
        <v>755</v>
      </c>
      <c r="E2028" s="247" t="s">
        <v>1302</v>
      </c>
      <c r="F2028" s="247" t="s">
        <v>2136</v>
      </c>
      <c r="G2028" s="247" t="s">
        <v>1348</v>
      </c>
      <c r="H2028" s="247" t="s">
        <v>1999</v>
      </c>
      <c r="I2028" s="247" t="s">
        <v>2137</v>
      </c>
      <c r="J2028" s="247">
        <v>89</v>
      </c>
      <c r="K2028" s="247">
        <v>89.1</v>
      </c>
      <c r="L2028" s="249" t="s">
        <v>939</v>
      </c>
      <c r="M2028" s="249" t="s">
        <v>929</v>
      </c>
      <c r="N2028" s="248">
        <v>121.48</v>
      </c>
      <c r="O2028" s="248">
        <v>957.86</v>
      </c>
      <c r="P2028" s="247" t="s">
        <v>1400</v>
      </c>
      <c r="Q2028" s="247" t="s">
        <v>93</v>
      </c>
    </row>
    <row r="2029" spans="1:17" x14ac:dyDescent="0.25">
      <c r="A2029" s="247" t="s">
        <v>646</v>
      </c>
      <c r="B2029" s="247" t="s">
        <v>265</v>
      </c>
      <c r="C2029" s="247" t="s">
        <v>1343</v>
      </c>
      <c r="D2029" s="247" t="s">
        <v>755</v>
      </c>
      <c r="E2029" s="247" t="s">
        <v>1302</v>
      </c>
      <c r="F2029" s="247" t="s">
        <v>2136</v>
      </c>
      <c r="G2029" s="247" t="s">
        <v>1348</v>
      </c>
      <c r="H2029" s="247" t="s">
        <v>1999</v>
      </c>
      <c r="I2029" s="247" t="s">
        <v>2137</v>
      </c>
      <c r="J2029" s="247">
        <v>89</v>
      </c>
      <c r="K2029" s="247">
        <v>89.1</v>
      </c>
      <c r="L2029" s="249" t="s">
        <v>940</v>
      </c>
      <c r="M2029" s="249" t="s">
        <v>929</v>
      </c>
      <c r="N2029" s="248">
        <v>121.48</v>
      </c>
      <c r="O2029" s="248">
        <v>1079.3399999999999</v>
      </c>
      <c r="P2029" s="247" t="s">
        <v>1400</v>
      </c>
      <c r="Q2029" s="247" t="s">
        <v>94</v>
      </c>
    </row>
    <row r="2030" spans="1:17" x14ac:dyDescent="0.25">
      <c r="A2030" s="247" t="s">
        <v>646</v>
      </c>
      <c r="B2030" s="247" t="s">
        <v>265</v>
      </c>
      <c r="C2030" s="247" t="s">
        <v>1343</v>
      </c>
      <c r="D2030" s="247" t="s">
        <v>755</v>
      </c>
      <c r="E2030" s="247" t="s">
        <v>1302</v>
      </c>
      <c r="F2030" s="247" t="s">
        <v>2136</v>
      </c>
      <c r="G2030" s="247" t="s">
        <v>1348</v>
      </c>
      <c r="H2030" s="247" t="s">
        <v>1999</v>
      </c>
      <c r="I2030" s="247" t="s">
        <v>2137</v>
      </c>
      <c r="J2030" s="247">
        <v>89</v>
      </c>
      <c r="K2030" s="247">
        <v>89.1</v>
      </c>
      <c r="L2030" s="249" t="s">
        <v>642</v>
      </c>
      <c r="M2030" s="249" t="s">
        <v>929</v>
      </c>
      <c r="N2030" s="248">
        <v>121.48</v>
      </c>
      <c r="O2030" s="248">
        <v>1200.82</v>
      </c>
      <c r="P2030" s="247" t="s">
        <v>1400</v>
      </c>
      <c r="Q2030" s="247" t="s">
        <v>95</v>
      </c>
    </row>
    <row r="2031" spans="1:17" x14ac:dyDescent="0.25">
      <c r="A2031" s="247" t="s">
        <v>646</v>
      </c>
      <c r="B2031" s="247" t="s">
        <v>265</v>
      </c>
      <c r="C2031" s="247" t="s">
        <v>1343</v>
      </c>
      <c r="D2031" s="247" t="s">
        <v>823</v>
      </c>
      <c r="E2031" s="247" t="s">
        <v>1302</v>
      </c>
      <c r="F2031" s="247" t="s">
        <v>2138</v>
      </c>
      <c r="G2031" s="247" t="s">
        <v>1350</v>
      </c>
      <c r="H2031" s="247" t="s">
        <v>1999</v>
      </c>
      <c r="I2031" s="247" t="s">
        <v>2139</v>
      </c>
      <c r="J2031" s="247">
        <v>86</v>
      </c>
      <c r="K2031" s="247">
        <v>85.1</v>
      </c>
      <c r="L2031" s="249" t="s">
        <v>646</v>
      </c>
      <c r="M2031" s="249" t="s">
        <v>933</v>
      </c>
      <c r="N2031" s="248">
        <v>1964.7</v>
      </c>
      <c r="O2031" s="248">
        <v>21724.25</v>
      </c>
      <c r="P2031" s="247" t="s">
        <v>1401</v>
      </c>
      <c r="Q2031" s="247" t="s">
        <v>84</v>
      </c>
    </row>
    <row r="2032" spans="1:17" x14ac:dyDescent="0.25">
      <c r="A2032" s="247" t="s">
        <v>646</v>
      </c>
      <c r="B2032" s="247" t="s">
        <v>265</v>
      </c>
      <c r="C2032" s="247" t="s">
        <v>1343</v>
      </c>
      <c r="D2032" s="247" t="s">
        <v>823</v>
      </c>
      <c r="E2032" s="247" t="s">
        <v>1302</v>
      </c>
      <c r="F2032" s="247" t="s">
        <v>2138</v>
      </c>
      <c r="G2032" s="247" t="s">
        <v>1350</v>
      </c>
      <c r="H2032" s="247" t="s">
        <v>1999</v>
      </c>
      <c r="I2032" s="247" t="s">
        <v>2139</v>
      </c>
      <c r="J2032" s="247">
        <v>86</v>
      </c>
      <c r="K2032" s="247">
        <v>85.1</v>
      </c>
      <c r="L2032" s="249" t="s">
        <v>650</v>
      </c>
      <c r="M2032" s="249" t="s">
        <v>933</v>
      </c>
      <c r="N2032" s="248">
        <v>999.6</v>
      </c>
      <c r="O2032" s="248">
        <v>22723.85</v>
      </c>
      <c r="P2032" s="247" t="s">
        <v>1401</v>
      </c>
      <c r="Q2032" s="247" t="s">
        <v>85</v>
      </c>
    </row>
    <row r="2033" spans="1:17" x14ac:dyDescent="0.25">
      <c r="A2033" s="247" t="s">
        <v>646</v>
      </c>
      <c r="B2033" s="247" t="s">
        <v>265</v>
      </c>
      <c r="C2033" s="247" t="s">
        <v>1343</v>
      </c>
      <c r="D2033" s="247" t="s">
        <v>823</v>
      </c>
      <c r="E2033" s="247" t="s">
        <v>1302</v>
      </c>
      <c r="F2033" s="247" t="s">
        <v>2138</v>
      </c>
      <c r="G2033" s="247" t="s">
        <v>1350</v>
      </c>
      <c r="H2033" s="247" t="s">
        <v>1999</v>
      </c>
      <c r="I2033" s="247" t="s">
        <v>2139</v>
      </c>
      <c r="J2033" s="247">
        <v>86</v>
      </c>
      <c r="K2033" s="247">
        <v>85.1</v>
      </c>
      <c r="L2033" s="249" t="s">
        <v>652</v>
      </c>
      <c r="M2033" s="249" t="s">
        <v>933</v>
      </c>
      <c r="N2033" s="248">
        <v>2673.84</v>
      </c>
      <c r="O2033" s="248">
        <v>25397.69</v>
      </c>
      <c r="P2033" s="247" t="s">
        <v>1401</v>
      </c>
      <c r="Q2033" s="247" t="s">
        <v>86</v>
      </c>
    </row>
    <row r="2034" spans="1:17" x14ac:dyDescent="0.25">
      <c r="A2034" s="247" t="s">
        <v>646</v>
      </c>
      <c r="B2034" s="247" t="s">
        <v>265</v>
      </c>
      <c r="C2034" s="247" t="s">
        <v>1343</v>
      </c>
      <c r="D2034" s="247" t="s">
        <v>823</v>
      </c>
      <c r="E2034" s="247" t="s">
        <v>1302</v>
      </c>
      <c r="F2034" s="247" t="s">
        <v>2138</v>
      </c>
      <c r="G2034" s="247" t="s">
        <v>1350</v>
      </c>
      <c r="H2034" s="247" t="s">
        <v>1999</v>
      </c>
      <c r="I2034" s="247" t="s">
        <v>2139</v>
      </c>
      <c r="J2034" s="247">
        <v>86</v>
      </c>
      <c r="K2034" s="247">
        <v>85.1</v>
      </c>
      <c r="L2034" s="249" t="s">
        <v>789</v>
      </c>
      <c r="M2034" s="249" t="s">
        <v>929</v>
      </c>
      <c r="N2034" s="248">
        <v>3022.29</v>
      </c>
      <c r="O2034" s="248">
        <v>3022.29</v>
      </c>
      <c r="P2034" s="247" t="s">
        <v>1401</v>
      </c>
      <c r="Q2034" s="247" t="s">
        <v>87</v>
      </c>
    </row>
    <row r="2035" spans="1:17" x14ac:dyDescent="0.25">
      <c r="A2035" s="247" t="s">
        <v>646</v>
      </c>
      <c r="B2035" s="247" t="s">
        <v>265</v>
      </c>
      <c r="C2035" s="247" t="s">
        <v>1343</v>
      </c>
      <c r="D2035" s="247" t="s">
        <v>823</v>
      </c>
      <c r="E2035" s="247" t="s">
        <v>1302</v>
      </c>
      <c r="F2035" s="247" t="s">
        <v>2138</v>
      </c>
      <c r="G2035" s="247" t="s">
        <v>1350</v>
      </c>
      <c r="H2035" s="247" t="s">
        <v>1999</v>
      </c>
      <c r="I2035" s="247" t="s">
        <v>2139</v>
      </c>
      <c r="J2035" s="247">
        <v>86</v>
      </c>
      <c r="K2035" s="247">
        <v>85.1</v>
      </c>
      <c r="L2035" s="249" t="s">
        <v>791</v>
      </c>
      <c r="M2035" s="249" t="s">
        <v>929</v>
      </c>
      <c r="N2035" s="248">
        <v>3022.29</v>
      </c>
      <c r="O2035" s="248">
        <v>6044.58</v>
      </c>
      <c r="P2035" s="247" t="s">
        <v>1401</v>
      </c>
      <c r="Q2035" s="247" t="s">
        <v>88</v>
      </c>
    </row>
    <row r="2036" spans="1:17" x14ac:dyDescent="0.25">
      <c r="A2036" s="247" t="s">
        <v>646</v>
      </c>
      <c r="B2036" s="247" t="s">
        <v>265</v>
      </c>
      <c r="C2036" s="247" t="s">
        <v>1343</v>
      </c>
      <c r="D2036" s="247" t="s">
        <v>823</v>
      </c>
      <c r="E2036" s="247" t="s">
        <v>1302</v>
      </c>
      <c r="F2036" s="247" t="s">
        <v>2138</v>
      </c>
      <c r="G2036" s="247" t="s">
        <v>1350</v>
      </c>
      <c r="H2036" s="247" t="s">
        <v>1999</v>
      </c>
      <c r="I2036" s="247" t="s">
        <v>2139</v>
      </c>
      <c r="J2036" s="247">
        <v>86</v>
      </c>
      <c r="K2036" s="247">
        <v>85.1</v>
      </c>
      <c r="L2036" s="249" t="s">
        <v>935</v>
      </c>
      <c r="M2036" s="249" t="s">
        <v>929</v>
      </c>
      <c r="N2036" s="248">
        <v>3022.29</v>
      </c>
      <c r="O2036" s="248">
        <v>9066.8700000000008</v>
      </c>
      <c r="P2036" s="247" t="s">
        <v>1401</v>
      </c>
      <c r="Q2036" s="247" t="s">
        <v>89</v>
      </c>
    </row>
    <row r="2037" spans="1:17" x14ac:dyDescent="0.25">
      <c r="A2037" s="247" t="s">
        <v>646</v>
      </c>
      <c r="B2037" s="247" t="s">
        <v>265</v>
      </c>
      <c r="C2037" s="247" t="s">
        <v>1343</v>
      </c>
      <c r="D2037" s="247" t="s">
        <v>823</v>
      </c>
      <c r="E2037" s="247" t="s">
        <v>1302</v>
      </c>
      <c r="F2037" s="247" t="s">
        <v>2138</v>
      </c>
      <c r="G2037" s="247" t="s">
        <v>1350</v>
      </c>
      <c r="H2037" s="247" t="s">
        <v>1999</v>
      </c>
      <c r="I2037" s="247" t="s">
        <v>2139</v>
      </c>
      <c r="J2037" s="247">
        <v>86</v>
      </c>
      <c r="K2037" s="247">
        <v>85.1</v>
      </c>
      <c r="L2037" s="249" t="s">
        <v>936</v>
      </c>
      <c r="M2037" s="249" t="s">
        <v>929</v>
      </c>
      <c r="N2037" s="248">
        <v>3022.29</v>
      </c>
      <c r="O2037" s="248">
        <v>12089.16</v>
      </c>
      <c r="P2037" s="247" t="s">
        <v>1401</v>
      </c>
      <c r="Q2037" s="247" t="s">
        <v>90</v>
      </c>
    </row>
    <row r="2038" spans="1:17" x14ac:dyDescent="0.25">
      <c r="A2038" s="247" t="s">
        <v>646</v>
      </c>
      <c r="B2038" s="247" t="s">
        <v>265</v>
      </c>
      <c r="C2038" s="247" t="s">
        <v>1343</v>
      </c>
      <c r="D2038" s="247" t="s">
        <v>823</v>
      </c>
      <c r="E2038" s="247" t="s">
        <v>1302</v>
      </c>
      <c r="F2038" s="247" t="s">
        <v>2138</v>
      </c>
      <c r="G2038" s="247" t="s">
        <v>1350</v>
      </c>
      <c r="H2038" s="247" t="s">
        <v>1999</v>
      </c>
      <c r="I2038" s="247" t="s">
        <v>2139</v>
      </c>
      <c r="J2038" s="247">
        <v>86</v>
      </c>
      <c r="K2038" s="247">
        <v>85.1</v>
      </c>
      <c r="L2038" s="249" t="s">
        <v>937</v>
      </c>
      <c r="M2038" s="249" t="s">
        <v>929</v>
      </c>
      <c r="N2038" s="248">
        <v>3022.29</v>
      </c>
      <c r="O2038" s="248">
        <v>15111.45</v>
      </c>
      <c r="P2038" s="247" t="s">
        <v>1401</v>
      </c>
      <c r="Q2038" s="247" t="s">
        <v>91</v>
      </c>
    </row>
    <row r="2039" spans="1:17" x14ac:dyDescent="0.25">
      <c r="A2039" s="247" t="s">
        <v>646</v>
      </c>
      <c r="B2039" s="247" t="s">
        <v>265</v>
      </c>
      <c r="C2039" s="247" t="s">
        <v>1343</v>
      </c>
      <c r="D2039" s="247" t="s">
        <v>823</v>
      </c>
      <c r="E2039" s="247" t="s">
        <v>1302</v>
      </c>
      <c r="F2039" s="247" t="s">
        <v>2138</v>
      </c>
      <c r="G2039" s="247" t="s">
        <v>1350</v>
      </c>
      <c r="H2039" s="247" t="s">
        <v>1999</v>
      </c>
      <c r="I2039" s="247" t="s">
        <v>2139</v>
      </c>
      <c r="J2039" s="247">
        <v>86</v>
      </c>
      <c r="K2039" s="247">
        <v>85.1</v>
      </c>
      <c r="L2039" s="249" t="s">
        <v>938</v>
      </c>
      <c r="M2039" s="249" t="s">
        <v>929</v>
      </c>
      <c r="N2039" s="248">
        <v>3022.29</v>
      </c>
      <c r="O2039" s="248">
        <v>18133.740000000002</v>
      </c>
      <c r="P2039" s="247" t="s">
        <v>1401</v>
      </c>
      <c r="Q2039" s="247" t="s">
        <v>92</v>
      </c>
    </row>
    <row r="2040" spans="1:17" x14ac:dyDescent="0.25">
      <c r="A2040" s="247" t="s">
        <v>646</v>
      </c>
      <c r="B2040" s="247" t="s">
        <v>265</v>
      </c>
      <c r="C2040" s="247" t="s">
        <v>1343</v>
      </c>
      <c r="D2040" s="247" t="s">
        <v>823</v>
      </c>
      <c r="E2040" s="247" t="s">
        <v>1302</v>
      </c>
      <c r="F2040" s="247" t="s">
        <v>2138</v>
      </c>
      <c r="G2040" s="247" t="s">
        <v>1350</v>
      </c>
      <c r="H2040" s="247" t="s">
        <v>1999</v>
      </c>
      <c r="I2040" s="247" t="s">
        <v>2139</v>
      </c>
      <c r="J2040" s="247">
        <v>86</v>
      </c>
      <c r="K2040" s="247">
        <v>85.1</v>
      </c>
      <c r="L2040" s="249" t="s">
        <v>939</v>
      </c>
      <c r="M2040" s="249" t="s">
        <v>929</v>
      </c>
      <c r="N2040" s="248">
        <v>3022.29</v>
      </c>
      <c r="O2040" s="248">
        <v>21156.03</v>
      </c>
      <c r="P2040" s="247" t="s">
        <v>1401</v>
      </c>
      <c r="Q2040" s="247" t="s">
        <v>93</v>
      </c>
    </row>
    <row r="2041" spans="1:17" x14ac:dyDescent="0.25">
      <c r="A2041" s="247" t="s">
        <v>646</v>
      </c>
      <c r="B2041" s="247" t="s">
        <v>265</v>
      </c>
      <c r="C2041" s="247" t="s">
        <v>1343</v>
      </c>
      <c r="D2041" s="247" t="s">
        <v>823</v>
      </c>
      <c r="E2041" s="247" t="s">
        <v>1302</v>
      </c>
      <c r="F2041" s="247" t="s">
        <v>2138</v>
      </c>
      <c r="G2041" s="247" t="s">
        <v>1350</v>
      </c>
      <c r="H2041" s="247" t="s">
        <v>1999</v>
      </c>
      <c r="I2041" s="247" t="s">
        <v>2139</v>
      </c>
      <c r="J2041" s="247">
        <v>86</v>
      </c>
      <c r="K2041" s="247">
        <v>85.1</v>
      </c>
      <c r="L2041" s="249" t="s">
        <v>940</v>
      </c>
      <c r="M2041" s="249" t="s">
        <v>929</v>
      </c>
      <c r="N2041" s="248">
        <v>3022.29</v>
      </c>
      <c r="O2041" s="248">
        <v>24178.32</v>
      </c>
      <c r="P2041" s="247" t="s">
        <v>1401</v>
      </c>
      <c r="Q2041" s="247" t="s">
        <v>94</v>
      </c>
    </row>
    <row r="2042" spans="1:17" x14ac:dyDescent="0.25">
      <c r="A2042" s="247" t="s">
        <v>646</v>
      </c>
      <c r="B2042" s="247" t="s">
        <v>265</v>
      </c>
      <c r="C2042" s="247" t="s">
        <v>1343</v>
      </c>
      <c r="D2042" s="247" t="s">
        <v>823</v>
      </c>
      <c r="E2042" s="247" t="s">
        <v>1302</v>
      </c>
      <c r="F2042" s="247" t="s">
        <v>2138</v>
      </c>
      <c r="G2042" s="247" t="s">
        <v>1350</v>
      </c>
      <c r="H2042" s="247" t="s">
        <v>1999</v>
      </c>
      <c r="I2042" s="247" t="s">
        <v>2139</v>
      </c>
      <c r="J2042" s="247">
        <v>86</v>
      </c>
      <c r="K2042" s="247">
        <v>85.1</v>
      </c>
      <c r="L2042" s="249" t="s">
        <v>642</v>
      </c>
      <c r="M2042" s="249" t="s">
        <v>929</v>
      </c>
      <c r="N2042" s="248">
        <v>3022.29</v>
      </c>
      <c r="O2042" s="248">
        <v>27200.61</v>
      </c>
      <c r="P2042" s="247" t="s">
        <v>1401</v>
      </c>
      <c r="Q2042" s="247" t="s">
        <v>95</v>
      </c>
    </row>
    <row r="2043" spans="1:17" x14ac:dyDescent="0.25">
      <c r="A2043" s="247" t="s">
        <v>646</v>
      </c>
      <c r="B2043" s="247" t="s">
        <v>265</v>
      </c>
      <c r="C2043" s="247" t="s">
        <v>1343</v>
      </c>
      <c r="D2043" s="247" t="s">
        <v>569</v>
      </c>
      <c r="E2043" s="247" t="s">
        <v>1302</v>
      </c>
      <c r="F2043" s="247" t="s">
        <v>2140</v>
      </c>
      <c r="G2043" s="247" t="s">
        <v>1352</v>
      </c>
      <c r="H2043" s="247" t="s">
        <v>1999</v>
      </c>
      <c r="I2043" s="247" t="s">
        <v>2141</v>
      </c>
      <c r="J2043" s="247">
        <v>90</v>
      </c>
      <c r="K2043" s="247">
        <v>90.1</v>
      </c>
      <c r="L2043" s="249" t="s">
        <v>646</v>
      </c>
      <c r="M2043" s="249" t="s">
        <v>933</v>
      </c>
      <c r="N2043" s="248">
        <v>2265.1999999999998</v>
      </c>
      <c r="O2043" s="248">
        <v>31464.89</v>
      </c>
      <c r="P2043" s="247" t="s">
        <v>1402</v>
      </c>
      <c r="Q2043" s="247" t="s">
        <v>84</v>
      </c>
    </row>
    <row r="2044" spans="1:17" x14ac:dyDescent="0.25">
      <c r="A2044" s="247" t="s">
        <v>646</v>
      </c>
      <c r="B2044" s="247" t="s">
        <v>265</v>
      </c>
      <c r="C2044" s="247" t="s">
        <v>1343</v>
      </c>
      <c r="D2044" s="247" t="s">
        <v>569</v>
      </c>
      <c r="E2044" s="247" t="s">
        <v>1302</v>
      </c>
      <c r="F2044" s="247" t="s">
        <v>2140</v>
      </c>
      <c r="G2044" s="247" t="s">
        <v>1352</v>
      </c>
      <c r="H2044" s="247" t="s">
        <v>1999</v>
      </c>
      <c r="I2044" s="247" t="s">
        <v>2141</v>
      </c>
      <c r="J2044" s="247">
        <v>90</v>
      </c>
      <c r="K2044" s="247">
        <v>90.1</v>
      </c>
      <c r="L2044" s="249" t="s">
        <v>650</v>
      </c>
      <c r="M2044" s="249" t="s">
        <v>933</v>
      </c>
      <c r="N2044" s="248">
        <v>1580.57</v>
      </c>
      <c r="O2044" s="248">
        <v>33045.46</v>
      </c>
      <c r="P2044" s="247" t="s">
        <v>1402</v>
      </c>
      <c r="Q2044" s="247" t="s">
        <v>85</v>
      </c>
    </row>
    <row r="2045" spans="1:17" x14ac:dyDescent="0.25">
      <c r="A2045" s="247" t="s">
        <v>646</v>
      </c>
      <c r="B2045" s="247" t="s">
        <v>265</v>
      </c>
      <c r="C2045" s="247" t="s">
        <v>1343</v>
      </c>
      <c r="D2045" s="247" t="s">
        <v>569</v>
      </c>
      <c r="E2045" s="247" t="s">
        <v>1302</v>
      </c>
      <c r="F2045" s="247" t="s">
        <v>2140</v>
      </c>
      <c r="G2045" s="247" t="s">
        <v>1352</v>
      </c>
      <c r="H2045" s="247" t="s">
        <v>1999</v>
      </c>
      <c r="I2045" s="247" t="s">
        <v>2141</v>
      </c>
      <c r="J2045" s="247">
        <v>90</v>
      </c>
      <c r="K2045" s="247">
        <v>90.1</v>
      </c>
      <c r="L2045" s="249" t="s">
        <v>652</v>
      </c>
      <c r="M2045" s="249" t="s">
        <v>933</v>
      </c>
      <c r="N2045" s="248">
        <v>1563.49</v>
      </c>
      <c r="O2045" s="248">
        <v>34608.949999999997</v>
      </c>
      <c r="P2045" s="247" t="s">
        <v>1402</v>
      </c>
      <c r="Q2045" s="247" t="s">
        <v>86</v>
      </c>
    </row>
    <row r="2046" spans="1:17" x14ac:dyDescent="0.25">
      <c r="A2046" s="247" t="s">
        <v>646</v>
      </c>
      <c r="B2046" s="247" t="s">
        <v>265</v>
      </c>
      <c r="C2046" s="247" t="s">
        <v>1343</v>
      </c>
      <c r="D2046" s="247" t="s">
        <v>569</v>
      </c>
      <c r="E2046" s="247" t="s">
        <v>1302</v>
      </c>
      <c r="F2046" s="247" t="s">
        <v>2140</v>
      </c>
      <c r="G2046" s="247" t="s">
        <v>1352</v>
      </c>
      <c r="H2046" s="247" t="s">
        <v>1999</v>
      </c>
      <c r="I2046" s="247" t="s">
        <v>2141</v>
      </c>
      <c r="J2046" s="247">
        <v>90</v>
      </c>
      <c r="K2046" s="247">
        <v>90.1</v>
      </c>
      <c r="L2046" s="249" t="s">
        <v>789</v>
      </c>
      <c r="M2046" s="249" t="s">
        <v>929</v>
      </c>
      <c r="N2046" s="248">
        <v>1460.94</v>
      </c>
      <c r="O2046" s="248">
        <v>1460.94</v>
      </c>
      <c r="P2046" s="247" t="s">
        <v>1402</v>
      </c>
      <c r="Q2046" s="247" t="s">
        <v>87</v>
      </c>
    </row>
    <row r="2047" spans="1:17" x14ac:dyDescent="0.25">
      <c r="A2047" s="247" t="s">
        <v>646</v>
      </c>
      <c r="B2047" s="247" t="s">
        <v>265</v>
      </c>
      <c r="C2047" s="247" t="s">
        <v>1343</v>
      </c>
      <c r="D2047" s="247" t="s">
        <v>569</v>
      </c>
      <c r="E2047" s="247" t="s">
        <v>1302</v>
      </c>
      <c r="F2047" s="247" t="s">
        <v>2140</v>
      </c>
      <c r="G2047" s="247" t="s">
        <v>1352</v>
      </c>
      <c r="H2047" s="247" t="s">
        <v>1999</v>
      </c>
      <c r="I2047" s="247" t="s">
        <v>2141</v>
      </c>
      <c r="J2047" s="247">
        <v>90</v>
      </c>
      <c r="K2047" s="247">
        <v>90.1</v>
      </c>
      <c r="L2047" s="249" t="s">
        <v>791</v>
      </c>
      <c r="M2047" s="249" t="s">
        <v>929</v>
      </c>
      <c r="N2047" s="248">
        <v>1513.18</v>
      </c>
      <c r="O2047" s="248">
        <v>2974.12</v>
      </c>
      <c r="P2047" s="247" t="s">
        <v>1402</v>
      </c>
      <c r="Q2047" s="247" t="s">
        <v>88</v>
      </c>
    </row>
    <row r="2048" spans="1:17" x14ac:dyDescent="0.25">
      <c r="A2048" s="247" t="s">
        <v>646</v>
      </c>
      <c r="B2048" s="247" t="s">
        <v>265</v>
      </c>
      <c r="C2048" s="247" t="s">
        <v>1343</v>
      </c>
      <c r="D2048" s="247" t="s">
        <v>569</v>
      </c>
      <c r="E2048" s="247" t="s">
        <v>1302</v>
      </c>
      <c r="F2048" s="247" t="s">
        <v>2140</v>
      </c>
      <c r="G2048" s="247" t="s">
        <v>1352</v>
      </c>
      <c r="H2048" s="247" t="s">
        <v>1999</v>
      </c>
      <c r="I2048" s="247" t="s">
        <v>2141</v>
      </c>
      <c r="J2048" s="247">
        <v>90</v>
      </c>
      <c r="K2048" s="247">
        <v>90.1</v>
      </c>
      <c r="L2048" s="249" t="s">
        <v>935</v>
      </c>
      <c r="M2048" s="249" t="s">
        <v>929</v>
      </c>
      <c r="N2048" s="248">
        <v>1662.31</v>
      </c>
      <c r="O2048" s="248">
        <v>4636.43</v>
      </c>
      <c r="P2048" s="247" t="s">
        <v>1402</v>
      </c>
      <c r="Q2048" s="247" t="s">
        <v>89</v>
      </c>
    </row>
    <row r="2049" spans="1:17" x14ac:dyDescent="0.25">
      <c r="A2049" s="247" t="s">
        <v>646</v>
      </c>
      <c r="B2049" s="247" t="s">
        <v>265</v>
      </c>
      <c r="C2049" s="247" t="s">
        <v>1343</v>
      </c>
      <c r="D2049" s="247" t="s">
        <v>569</v>
      </c>
      <c r="E2049" s="247" t="s">
        <v>1302</v>
      </c>
      <c r="F2049" s="247" t="s">
        <v>2140</v>
      </c>
      <c r="G2049" s="247" t="s">
        <v>1352</v>
      </c>
      <c r="H2049" s="247" t="s">
        <v>1999</v>
      </c>
      <c r="I2049" s="247" t="s">
        <v>2141</v>
      </c>
      <c r="J2049" s="247">
        <v>90</v>
      </c>
      <c r="K2049" s="247">
        <v>90.1</v>
      </c>
      <c r="L2049" s="249" t="s">
        <v>936</v>
      </c>
      <c r="M2049" s="249" t="s">
        <v>929</v>
      </c>
      <c r="N2049" s="248">
        <v>2637.63</v>
      </c>
      <c r="O2049" s="248">
        <v>7274.06</v>
      </c>
      <c r="P2049" s="247" t="s">
        <v>1402</v>
      </c>
      <c r="Q2049" s="247" t="s">
        <v>90</v>
      </c>
    </row>
    <row r="2050" spans="1:17" x14ac:dyDescent="0.25">
      <c r="A2050" s="247" t="s">
        <v>646</v>
      </c>
      <c r="B2050" s="247" t="s">
        <v>265</v>
      </c>
      <c r="C2050" s="247" t="s">
        <v>1343</v>
      </c>
      <c r="D2050" s="247" t="s">
        <v>569</v>
      </c>
      <c r="E2050" s="247" t="s">
        <v>1302</v>
      </c>
      <c r="F2050" s="247" t="s">
        <v>2140</v>
      </c>
      <c r="G2050" s="247" t="s">
        <v>1352</v>
      </c>
      <c r="H2050" s="247" t="s">
        <v>1999</v>
      </c>
      <c r="I2050" s="247" t="s">
        <v>2141</v>
      </c>
      <c r="J2050" s="247">
        <v>90</v>
      </c>
      <c r="K2050" s="247">
        <v>90.1</v>
      </c>
      <c r="L2050" s="249" t="s">
        <v>937</v>
      </c>
      <c r="M2050" s="249" t="s">
        <v>929</v>
      </c>
      <c r="N2050" s="248">
        <v>1285.6099999999999</v>
      </c>
      <c r="O2050" s="248">
        <v>8559.67</v>
      </c>
      <c r="P2050" s="247" t="s">
        <v>1402</v>
      </c>
      <c r="Q2050" s="247" t="s">
        <v>91</v>
      </c>
    </row>
    <row r="2051" spans="1:17" x14ac:dyDescent="0.25">
      <c r="A2051" s="247" t="s">
        <v>646</v>
      </c>
      <c r="B2051" s="247" t="s">
        <v>265</v>
      </c>
      <c r="C2051" s="247" t="s">
        <v>1343</v>
      </c>
      <c r="D2051" s="247" t="s">
        <v>569</v>
      </c>
      <c r="E2051" s="247" t="s">
        <v>1302</v>
      </c>
      <c r="F2051" s="247" t="s">
        <v>2140</v>
      </c>
      <c r="G2051" s="247" t="s">
        <v>1352</v>
      </c>
      <c r="H2051" s="247" t="s">
        <v>1999</v>
      </c>
      <c r="I2051" s="247" t="s">
        <v>2141</v>
      </c>
      <c r="J2051" s="247">
        <v>90</v>
      </c>
      <c r="K2051" s="247">
        <v>90.1</v>
      </c>
      <c r="L2051" s="249" t="s">
        <v>938</v>
      </c>
      <c r="M2051" s="249" t="s">
        <v>929</v>
      </c>
      <c r="N2051" s="248">
        <v>1301.33</v>
      </c>
      <c r="O2051" s="248">
        <v>9861</v>
      </c>
      <c r="P2051" s="247" t="s">
        <v>1402</v>
      </c>
      <c r="Q2051" s="247" t="s">
        <v>92</v>
      </c>
    </row>
    <row r="2052" spans="1:17" x14ac:dyDescent="0.25">
      <c r="A2052" s="247" t="s">
        <v>646</v>
      </c>
      <c r="B2052" s="247" t="s">
        <v>265</v>
      </c>
      <c r="C2052" s="247" t="s">
        <v>1343</v>
      </c>
      <c r="D2052" s="247" t="s">
        <v>569</v>
      </c>
      <c r="E2052" s="247" t="s">
        <v>1302</v>
      </c>
      <c r="F2052" s="247" t="s">
        <v>2140</v>
      </c>
      <c r="G2052" s="247" t="s">
        <v>1352</v>
      </c>
      <c r="H2052" s="247" t="s">
        <v>1999</v>
      </c>
      <c r="I2052" s="247" t="s">
        <v>2141</v>
      </c>
      <c r="J2052" s="247">
        <v>90</v>
      </c>
      <c r="K2052" s="247">
        <v>90.1</v>
      </c>
      <c r="L2052" s="249" t="s">
        <v>939</v>
      </c>
      <c r="M2052" s="249" t="s">
        <v>929</v>
      </c>
      <c r="N2052" s="248">
        <v>1429.74</v>
      </c>
      <c r="O2052" s="248">
        <v>11290.74</v>
      </c>
      <c r="P2052" s="247" t="s">
        <v>1402</v>
      </c>
      <c r="Q2052" s="247" t="s">
        <v>93</v>
      </c>
    </row>
    <row r="2053" spans="1:17" x14ac:dyDescent="0.25">
      <c r="A2053" s="247" t="s">
        <v>646</v>
      </c>
      <c r="B2053" s="247" t="s">
        <v>265</v>
      </c>
      <c r="C2053" s="247" t="s">
        <v>1343</v>
      </c>
      <c r="D2053" s="247" t="s">
        <v>569</v>
      </c>
      <c r="E2053" s="247" t="s">
        <v>1302</v>
      </c>
      <c r="F2053" s="247" t="s">
        <v>2140</v>
      </c>
      <c r="G2053" s="247" t="s">
        <v>1352</v>
      </c>
      <c r="H2053" s="247" t="s">
        <v>1999</v>
      </c>
      <c r="I2053" s="247" t="s">
        <v>2141</v>
      </c>
      <c r="J2053" s="247">
        <v>90</v>
      </c>
      <c r="K2053" s="247">
        <v>90.1</v>
      </c>
      <c r="L2053" s="249" t="s">
        <v>940</v>
      </c>
      <c r="M2053" s="249" t="s">
        <v>929</v>
      </c>
      <c r="N2053" s="248">
        <v>1617.32</v>
      </c>
      <c r="O2053" s="248">
        <v>12908.06</v>
      </c>
      <c r="P2053" s="247" t="s">
        <v>1402</v>
      </c>
      <c r="Q2053" s="247" t="s">
        <v>94</v>
      </c>
    </row>
    <row r="2054" spans="1:17" x14ac:dyDescent="0.25">
      <c r="A2054" s="247" t="s">
        <v>646</v>
      </c>
      <c r="B2054" s="247" t="s">
        <v>265</v>
      </c>
      <c r="C2054" s="247" t="s">
        <v>1343</v>
      </c>
      <c r="D2054" s="247" t="s">
        <v>569</v>
      </c>
      <c r="E2054" s="247" t="s">
        <v>1302</v>
      </c>
      <c r="F2054" s="247" t="s">
        <v>2140</v>
      </c>
      <c r="G2054" s="247" t="s">
        <v>1352</v>
      </c>
      <c r="H2054" s="247" t="s">
        <v>1999</v>
      </c>
      <c r="I2054" s="247" t="s">
        <v>2141</v>
      </c>
      <c r="J2054" s="247">
        <v>90</v>
      </c>
      <c r="K2054" s="247">
        <v>90.1</v>
      </c>
      <c r="L2054" s="249" t="s">
        <v>642</v>
      </c>
      <c r="M2054" s="249" t="s">
        <v>929</v>
      </c>
      <c r="N2054" s="248">
        <v>2442.86</v>
      </c>
      <c r="O2054" s="248">
        <v>15350.92</v>
      </c>
      <c r="P2054" s="247" t="s">
        <v>1402</v>
      </c>
      <c r="Q2054" s="247" t="s">
        <v>95</v>
      </c>
    </row>
    <row r="2055" spans="1:17" x14ac:dyDescent="0.25">
      <c r="A2055" s="247" t="s">
        <v>646</v>
      </c>
      <c r="B2055" s="247" t="s">
        <v>265</v>
      </c>
      <c r="C2055" s="247" t="s">
        <v>1343</v>
      </c>
      <c r="D2055" s="247" t="s">
        <v>575</v>
      </c>
      <c r="E2055" s="247" t="s">
        <v>1302</v>
      </c>
      <c r="F2055" s="247" t="s">
        <v>2142</v>
      </c>
      <c r="G2055" s="247" t="s">
        <v>1354</v>
      </c>
      <c r="H2055" s="247" t="s">
        <v>1999</v>
      </c>
      <c r="I2055" s="247" t="s">
        <v>2143</v>
      </c>
      <c r="J2055" s="247">
        <v>90</v>
      </c>
      <c r="K2055" s="247">
        <v>90.1</v>
      </c>
      <c r="L2055" s="249" t="s">
        <v>646</v>
      </c>
      <c r="M2055" s="249" t="s">
        <v>933</v>
      </c>
      <c r="N2055" s="248">
        <v>529.76</v>
      </c>
      <c r="O2055" s="248">
        <v>7605.32</v>
      </c>
      <c r="P2055" s="247" t="s">
        <v>1403</v>
      </c>
      <c r="Q2055" s="247" t="s">
        <v>84</v>
      </c>
    </row>
    <row r="2056" spans="1:17" x14ac:dyDescent="0.25">
      <c r="A2056" s="247" t="s">
        <v>646</v>
      </c>
      <c r="B2056" s="247" t="s">
        <v>265</v>
      </c>
      <c r="C2056" s="247" t="s">
        <v>1343</v>
      </c>
      <c r="D2056" s="247" t="s">
        <v>575</v>
      </c>
      <c r="E2056" s="247" t="s">
        <v>1302</v>
      </c>
      <c r="F2056" s="247" t="s">
        <v>2142</v>
      </c>
      <c r="G2056" s="247" t="s">
        <v>1354</v>
      </c>
      <c r="H2056" s="247" t="s">
        <v>1999</v>
      </c>
      <c r="I2056" s="247" t="s">
        <v>2143</v>
      </c>
      <c r="J2056" s="247">
        <v>90</v>
      </c>
      <c r="K2056" s="247">
        <v>90.1</v>
      </c>
      <c r="L2056" s="249" t="s">
        <v>650</v>
      </c>
      <c r="M2056" s="249" t="s">
        <v>933</v>
      </c>
      <c r="N2056" s="248">
        <v>369.64</v>
      </c>
      <c r="O2056" s="248">
        <v>7974.96</v>
      </c>
      <c r="P2056" s="247" t="s">
        <v>1403</v>
      </c>
      <c r="Q2056" s="247" t="s">
        <v>85</v>
      </c>
    </row>
    <row r="2057" spans="1:17" x14ac:dyDescent="0.25">
      <c r="A2057" s="247" t="s">
        <v>646</v>
      </c>
      <c r="B2057" s="247" t="s">
        <v>265</v>
      </c>
      <c r="C2057" s="247" t="s">
        <v>1343</v>
      </c>
      <c r="D2057" s="247" t="s">
        <v>575</v>
      </c>
      <c r="E2057" s="247" t="s">
        <v>1302</v>
      </c>
      <c r="F2057" s="247" t="s">
        <v>2142</v>
      </c>
      <c r="G2057" s="247" t="s">
        <v>1354</v>
      </c>
      <c r="H2057" s="247" t="s">
        <v>1999</v>
      </c>
      <c r="I2057" s="247" t="s">
        <v>2143</v>
      </c>
      <c r="J2057" s="247">
        <v>90</v>
      </c>
      <c r="K2057" s="247">
        <v>90.1</v>
      </c>
      <c r="L2057" s="249" t="s">
        <v>652</v>
      </c>
      <c r="M2057" s="249" t="s">
        <v>933</v>
      </c>
      <c r="N2057" s="248">
        <v>365.65</v>
      </c>
      <c r="O2057" s="248">
        <v>8340.61</v>
      </c>
      <c r="P2057" s="247" t="s">
        <v>1403</v>
      </c>
      <c r="Q2057" s="247" t="s">
        <v>86</v>
      </c>
    </row>
    <row r="2058" spans="1:17" x14ac:dyDescent="0.25">
      <c r="A2058" s="247" t="s">
        <v>646</v>
      </c>
      <c r="B2058" s="247" t="s">
        <v>265</v>
      </c>
      <c r="C2058" s="247" t="s">
        <v>1343</v>
      </c>
      <c r="D2058" s="247" t="s">
        <v>575</v>
      </c>
      <c r="E2058" s="247" t="s">
        <v>1302</v>
      </c>
      <c r="F2058" s="247" t="s">
        <v>2142</v>
      </c>
      <c r="G2058" s="247" t="s">
        <v>1354</v>
      </c>
      <c r="H2058" s="247" t="s">
        <v>1999</v>
      </c>
      <c r="I2058" s="247" t="s">
        <v>2143</v>
      </c>
      <c r="J2058" s="247">
        <v>90</v>
      </c>
      <c r="K2058" s="247">
        <v>90.1</v>
      </c>
      <c r="L2058" s="249" t="s">
        <v>789</v>
      </c>
      <c r="M2058" s="249" t="s">
        <v>929</v>
      </c>
      <c r="N2058" s="248">
        <v>341.67</v>
      </c>
      <c r="O2058" s="248">
        <v>341.67</v>
      </c>
      <c r="P2058" s="247" t="s">
        <v>1403</v>
      </c>
      <c r="Q2058" s="247" t="s">
        <v>87</v>
      </c>
    </row>
    <row r="2059" spans="1:17" x14ac:dyDescent="0.25">
      <c r="A2059" s="247" t="s">
        <v>646</v>
      </c>
      <c r="B2059" s="247" t="s">
        <v>265</v>
      </c>
      <c r="C2059" s="247" t="s">
        <v>1343</v>
      </c>
      <c r="D2059" s="247" t="s">
        <v>575</v>
      </c>
      <c r="E2059" s="247" t="s">
        <v>1302</v>
      </c>
      <c r="F2059" s="247" t="s">
        <v>2142</v>
      </c>
      <c r="G2059" s="247" t="s">
        <v>1354</v>
      </c>
      <c r="H2059" s="247" t="s">
        <v>1999</v>
      </c>
      <c r="I2059" s="247" t="s">
        <v>2143</v>
      </c>
      <c r="J2059" s="247">
        <v>90</v>
      </c>
      <c r="K2059" s="247">
        <v>90.1</v>
      </c>
      <c r="L2059" s="249" t="s">
        <v>791</v>
      </c>
      <c r="M2059" s="249" t="s">
        <v>929</v>
      </c>
      <c r="N2059" s="248">
        <v>353.9</v>
      </c>
      <c r="O2059" s="248">
        <v>695.57</v>
      </c>
      <c r="P2059" s="247" t="s">
        <v>1403</v>
      </c>
      <c r="Q2059" s="247" t="s">
        <v>88</v>
      </c>
    </row>
    <row r="2060" spans="1:17" x14ac:dyDescent="0.25">
      <c r="A2060" s="247" t="s">
        <v>646</v>
      </c>
      <c r="B2060" s="247" t="s">
        <v>265</v>
      </c>
      <c r="C2060" s="247" t="s">
        <v>1343</v>
      </c>
      <c r="D2060" s="247" t="s">
        <v>575</v>
      </c>
      <c r="E2060" s="247" t="s">
        <v>1302</v>
      </c>
      <c r="F2060" s="247" t="s">
        <v>2142</v>
      </c>
      <c r="G2060" s="247" t="s">
        <v>1354</v>
      </c>
      <c r="H2060" s="247" t="s">
        <v>1999</v>
      </c>
      <c r="I2060" s="247" t="s">
        <v>2143</v>
      </c>
      <c r="J2060" s="247">
        <v>90</v>
      </c>
      <c r="K2060" s="247">
        <v>90.1</v>
      </c>
      <c r="L2060" s="249" t="s">
        <v>935</v>
      </c>
      <c r="M2060" s="249" t="s">
        <v>929</v>
      </c>
      <c r="N2060" s="248">
        <v>388.76</v>
      </c>
      <c r="O2060" s="248">
        <v>1084.33</v>
      </c>
      <c r="P2060" s="247" t="s">
        <v>1403</v>
      </c>
      <c r="Q2060" s="247" t="s">
        <v>89</v>
      </c>
    </row>
    <row r="2061" spans="1:17" x14ac:dyDescent="0.25">
      <c r="A2061" s="247" t="s">
        <v>646</v>
      </c>
      <c r="B2061" s="247" t="s">
        <v>265</v>
      </c>
      <c r="C2061" s="247" t="s">
        <v>1343</v>
      </c>
      <c r="D2061" s="247" t="s">
        <v>575</v>
      </c>
      <c r="E2061" s="247" t="s">
        <v>1302</v>
      </c>
      <c r="F2061" s="247" t="s">
        <v>2142</v>
      </c>
      <c r="G2061" s="247" t="s">
        <v>1354</v>
      </c>
      <c r="H2061" s="247" t="s">
        <v>1999</v>
      </c>
      <c r="I2061" s="247" t="s">
        <v>2143</v>
      </c>
      <c r="J2061" s="247">
        <v>90</v>
      </c>
      <c r="K2061" s="247">
        <v>90.1</v>
      </c>
      <c r="L2061" s="249" t="s">
        <v>936</v>
      </c>
      <c r="M2061" s="249" t="s">
        <v>929</v>
      </c>
      <c r="N2061" s="248">
        <v>616.86</v>
      </c>
      <c r="O2061" s="248">
        <v>1701.19</v>
      </c>
      <c r="P2061" s="247" t="s">
        <v>1403</v>
      </c>
      <c r="Q2061" s="247" t="s">
        <v>90</v>
      </c>
    </row>
    <row r="2062" spans="1:17" x14ac:dyDescent="0.25">
      <c r="A2062" s="247" t="s">
        <v>646</v>
      </c>
      <c r="B2062" s="247" t="s">
        <v>265</v>
      </c>
      <c r="C2062" s="247" t="s">
        <v>1343</v>
      </c>
      <c r="D2062" s="247" t="s">
        <v>575</v>
      </c>
      <c r="E2062" s="247" t="s">
        <v>1302</v>
      </c>
      <c r="F2062" s="247" t="s">
        <v>2142</v>
      </c>
      <c r="G2062" s="247" t="s">
        <v>1354</v>
      </c>
      <c r="H2062" s="247" t="s">
        <v>1999</v>
      </c>
      <c r="I2062" s="247" t="s">
        <v>2143</v>
      </c>
      <c r="J2062" s="247">
        <v>90</v>
      </c>
      <c r="K2062" s="247">
        <v>90.1</v>
      </c>
      <c r="L2062" s="249" t="s">
        <v>937</v>
      </c>
      <c r="M2062" s="249" t="s">
        <v>929</v>
      </c>
      <c r="N2062" s="248">
        <v>300.67</v>
      </c>
      <c r="O2062" s="248">
        <v>2001.86</v>
      </c>
      <c r="P2062" s="247" t="s">
        <v>1403</v>
      </c>
      <c r="Q2062" s="247" t="s">
        <v>91</v>
      </c>
    </row>
    <row r="2063" spans="1:17" x14ac:dyDescent="0.25">
      <c r="A2063" s="247" t="s">
        <v>646</v>
      </c>
      <c r="B2063" s="247" t="s">
        <v>265</v>
      </c>
      <c r="C2063" s="247" t="s">
        <v>1343</v>
      </c>
      <c r="D2063" s="247" t="s">
        <v>575</v>
      </c>
      <c r="E2063" s="247" t="s">
        <v>1302</v>
      </c>
      <c r="F2063" s="247" t="s">
        <v>2142</v>
      </c>
      <c r="G2063" s="247" t="s">
        <v>1354</v>
      </c>
      <c r="H2063" s="247" t="s">
        <v>1999</v>
      </c>
      <c r="I2063" s="247" t="s">
        <v>2143</v>
      </c>
      <c r="J2063" s="247">
        <v>90</v>
      </c>
      <c r="K2063" s="247">
        <v>90.1</v>
      </c>
      <c r="L2063" s="249" t="s">
        <v>938</v>
      </c>
      <c r="M2063" s="249" t="s">
        <v>929</v>
      </c>
      <c r="N2063" s="248">
        <v>304.33999999999997</v>
      </c>
      <c r="O2063" s="248">
        <v>2306.1999999999998</v>
      </c>
      <c r="P2063" s="247" t="s">
        <v>1403</v>
      </c>
      <c r="Q2063" s="247" t="s">
        <v>92</v>
      </c>
    </row>
    <row r="2064" spans="1:17" x14ac:dyDescent="0.25">
      <c r="A2064" s="247" t="s">
        <v>646</v>
      </c>
      <c r="B2064" s="247" t="s">
        <v>265</v>
      </c>
      <c r="C2064" s="247" t="s">
        <v>1343</v>
      </c>
      <c r="D2064" s="247" t="s">
        <v>575</v>
      </c>
      <c r="E2064" s="247" t="s">
        <v>1302</v>
      </c>
      <c r="F2064" s="247" t="s">
        <v>2142</v>
      </c>
      <c r="G2064" s="247" t="s">
        <v>1354</v>
      </c>
      <c r="H2064" s="247" t="s">
        <v>1999</v>
      </c>
      <c r="I2064" s="247" t="s">
        <v>2143</v>
      </c>
      <c r="J2064" s="247">
        <v>90</v>
      </c>
      <c r="K2064" s="247">
        <v>90.1</v>
      </c>
      <c r="L2064" s="249" t="s">
        <v>939</v>
      </c>
      <c r="M2064" s="249" t="s">
        <v>929</v>
      </c>
      <c r="N2064" s="248">
        <v>334.37</v>
      </c>
      <c r="O2064" s="248">
        <v>2640.57</v>
      </c>
      <c r="P2064" s="247" t="s">
        <v>1403</v>
      </c>
      <c r="Q2064" s="247" t="s">
        <v>93</v>
      </c>
    </row>
    <row r="2065" spans="1:17" x14ac:dyDescent="0.25">
      <c r="A2065" s="247" t="s">
        <v>646</v>
      </c>
      <c r="B2065" s="247" t="s">
        <v>265</v>
      </c>
      <c r="C2065" s="247" t="s">
        <v>1343</v>
      </c>
      <c r="D2065" s="247" t="s">
        <v>575</v>
      </c>
      <c r="E2065" s="247" t="s">
        <v>1302</v>
      </c>
      <c r="F2065" s="247" t="s">
        <v>2142</v>
      </c>
      <c r="G2065" s="247" t="s">
        <v>1354</v>
      </c>
      <c r="H2065" s="247" t="s">
        <v>1999</v>
      </c>
      <c r="I2065" s="247" t="s">
        <v>2143</v>
      </c>
      <c r="J2065" s="247">
        <v>90</v>
      </c>
      <c r="K2065" s="247">
        <v>90.1</v>
      </c>
      <c r="L2065" s="249" t="s">
        <v>940</v>
      </c>
      <c r="M2065" s="249" t="s">
        <v>929</v>
      </c>
      <c r="N2065" s="248">
        <v>378.25</v>
      </c>
      <c r="O2065" s="248">
        <v>3018.82</v>
      </c>
      <c r="P2065" s="247" t="s">
        <v>1403</v>
      </c>
      <c r="Q2065" s="247" t="s">
        <v>94</v>
      </c>
    </row>
    <row r="2066" spans="1:17" x14ac:dyDescent="0.25">
      <c r="A2066" s="247" t="s">
        <v>646</v>
      </c>
      <c r="B2066" s="247" t="s">
        <v>265</v>
      </c>
      <c r="C2066" s="247" t="s">
        <v>1343</v>
      </c>
      <c r="D2066" s="247" t="s">
        <v>575</v>
      </c>
      <c r="E2066" s="247" t="s">
        <v>1302</v>
      </c>
      <c r="F2066" s="247" t="s">
        <v>2142</v>
      </c>
      <c r="G2066" s="247" t="s">
        <v>1354</v>
      </c>
      <c r="H2066" s="247" t="s">
        <v>1999</v>
      </c>
      <c r="I2066" s="247" t="s">
        <v>2143</v>
      </c>
      <c r="J2066" s="247">
        <v>90</v>
      </c>
      <c r="K2066" s="247">
        <v>90.1</v>
      </c>
      <c r="L2066" s="249" t="s">
        <v>642</v>
      </c>
      <c r="M2066" s="249" t="s">
        <v>929</v>
      </c>
      <c r="N2066" s="248">
        <v>571.29999999999995</v>
      </c>
      <c r="O2066" s="248">
        <v>3590.12</v>
      </c>
      <c r="P2066" s="247" t="s">
        <v>1403</v>
      </c>
      <c r="Q2066" s="247" t="s">
        <v>95</v>
      </c>
    </row>
    <row r="2067" spans="1:17" x14ac:dyDescent="0.25">
      <c r="A2067" s="247" t="s">
        <v>646</v>
      </c>
      <c r="B2067" s="247" t="s">
        <v>265</v>
      </c>
      <c r="C2067" s="247" t="s">
        <v>1343</v>
      </c>
      <c r="D2067" s="247" t="s">
        <v>1356</v>
      </c>
      <c r="E2067" s="247" t="s">
        <v>1302</v>
      </c>
      <c r="F2067" s="247" t="s">
        <v>2144</v>
      </c>
      <c r="G2067" s="247" t="s">
        <v>1357</v>
      </c>
      <c r="H2067" s="247" t="s">
        <v>1999</v>
      </c>
      <c r="I2067" s="247" t="s">
        <v>2145</v>
      </c>
      <c r="J2067" s="247">
        <v>90</v>
      </c>
      <c r="K2067" s="247">
        <v>90.1</v>
      </c>
      <c r="L2067" s="249" t="s">
        <v>646</v>
      </c>
      <c r="M2067" s="249" t="s">
        <v>933</v>
      </c>
      <c r="N2067" s="248">
        <v>0</v>
      </c>
      <c r="O2067" s="248">
        <v>630.05999999999995</v>
      </c>
      <c r="P2067" s="247" t="s">
        <v>1404</v>
      </c>
      <c r="Q2067" s="247" t="s">
        <v>84</v>
      </c>
    </row>
    <row r="2068" spans="1:17" x14ac:dyDescent="0.25">
      <c r="A2068" s="247" t="s">
        <v>646</v>
      </c>
      <c r="B2068" s="247" t="s">
        <v>265</v>
      </c>
      <c r="C2068" s="247" t="s">
        <v>1343</v>
      </c>
      <c r="D2068" s="247" t="s">
        <v>1356</v>
      </c>
      <c r="E2068" s="247" t="s">
        <v>1302</v>
      </c>
      <c r="F2068" s="247" t="s">
        <v>2144</v>
      </c>
      <c r="G2068" s="247" t="s">
        <v>1357</v>
      </c>
      <c r="H2068" s="247" t="s">
        <v>1999</v>
      </c>
      <c r="I2068" s="247" t="s">
        <v>2145</v>
      </c>
      <c r="J2068" s="247">
        <v>90</v>
      </c>
      <c r="K2068" s="247">
        <v>90.1</v>
      </c>
      <c r="L2068" s="249" t="s">
        <v>650</v>
      </c>
      <c r="M2068" s="249" t="s">
        <v>933</v>
      </c>
      <c r="N2068" s="248">
        <v>0</v>
      </c>
      <c r="O2068" s="248">
        <v>630.05999999999995</v>
      </c>
      <c r="P2068" s="247" t="s">
        <v>1404</v>
      </c>
      <c r="Q2068" s="247" t="s">
        <v>85</v>
      </c>
    </row>
    <row r="2069" spans="1:17" x14ac:dyDescent="0.25">
      <c r="A2069" s="247" t="s">
        <v>646</v>
      </c>
      <c r="B2069" s="247" t="s">
        <v>265</v>
      </c>
      <c r="C2069" s="247" t="s">
        <v>1343</v>
      </c>
      <c r="D2069" s="247" t="s">
        <v>1356</v>
      </c>
      <c r="E2069" s="247" t="s">
        <v>1302</v>
      </c>
      <c r="F2069" s="247" t="s">
        <v>2144</v>
      </c>
      <c r="G2069" s="247" t="s">
        <v>1357</v>
      </c>
      <c r="H2069" s="247" t="s">
        <v>1999</v>
      </c>
      <c r="I2069" s="247" t="s">
        <v>2145</v>
      </c>
      <c r="J2069" s="247">
        <v>90</v>
      </c>
      <c r="K2069" s="247">
        <v>90.1</v>
      </c>
      <c r="L2069" s="249" t="s">
        <v>652</v>
      </c>
      <c r="M2069" s="249" t="s">
        <v>933</v>
      </c>
      <c r="N2069" s="248">
        <v>0</v>
      </c>
      <c r="O2069" s="248">
        <v>630.05999999999995</v>
      </c>
      <c r="P2069" s="247" t="s">
        <v>1404</v>
      </c>
      <c r="Q2069" s="247" t="s">
        <v>86</v>
      </c>
    </row>
    <row r="2070" spans="1:17" x14ac:dyDescent="0.25">
      <c r="A2070" s="247" t="s">
        <v>646</v>
      </c>
      <c r="B2070" s="247" t="s">
        <v>265</v>
      </c>
      <c r="C2070" s="247" t="s">
        <v>1343</v>
      </c>
      <c r="D2070" s="247" t="s">
        <v>1356</v>
      </c>
      <c r="E2070" s="247" t="s">
        <v>1302</v>
      </c>
      <c r="F2070" s="247" t="s">
        <v>2144</v>
      </c>
      <c r="G2070" s="247" t="s">
        <v>1357</v>
      </c>
      <c r="H2070" s="247" t="s">
        <v>1999</v>
      </c>
      <c r="I2070" s="247" t="s">
        <v>2145</v>
      </c>
      <c r="J2070" s="247">
        <v>90</v>
      </c>
      <c r="K2070" s="247">
        <v>90.1</v>
      </c>
      <c r="L2070" s="249" t="s">
        <v>789</v>
      </c>
      <c r="M2070" s="249" t="s">
        <v>929</v>
      </c>
      <c r="N2070" s="248">
        <v>141.38</v>
      </c>
      <c r="O2070" s="248">
        <v>141.38</v>
      </c>
      <c r="P2070" s="247" t="s">
        <v>1404</v>
      </c>
      <c r="Q2070" s="247" t="s">
        <v>87</v>
      </c>
    </row>
    <row r="2071" spans="1:17" x14ac:dyDescent="0.25">
      <c r="A2071" s="247" t="s">
        <v>646</v>
      </c>
      <c r="B2071" s="247" t="s">
        <v>265</v>
      </c>
      <c r="C2071" s="247" t="s">
        <v>1343</v>
      </c>
      <c r="D2071" s="247" t="s">
        <v>1356</v>
      </c>
      <c r="E2071" s="247" t="s">
        <v>1302</v>
      </c>
      <c r="F2071" s="247" t="s">
        <v>2144</v>
      </c>
      <c r="G2071" s="247" t="s">
        <v>1357</v>
      </c>
      <c r="H2071" s="247" t="s">
        <v>1999</v>
      </c>
      <c r="I2071" s="247" t="s">
        <v>2145</v>
      </c>
      <c r="J2071" s="247">
        <v>90</v>
      </c>
      <c r="K2071" s="247">
        <v>90.1</v>
      </c>
      <c r="L2071" s="249" t="s">
        <v>791</v>
      </c>
      <c r="M2071" s="249" t="s">
        <v>929</v>
      </c>
      <c r="N2071" s="248">
        <v>134.05000000000001</v>
      </c>
      <c r="O2071" s="248">
        <v>275.43</v>
      </c>
      <c r="P2071" s="247" t="s">
        <v>1404</v>
      </c>
      <c r="Q2071" s="247" t="s">
        <v>88</v>
      </c>
    </row>
    <row r="2072" spans="1:17" x14ac:dyDescent="0.25">
      <c r="A2072" s="247" t="s">
        <v>646</v>
      </c>
      <c r="B2072" s="247" t="s">
        <v>265</v>
      </c>
      <c r="C2072" s="247" t="s">
        <v>1343</v>
      </c>
      <c r="D2072" s="247" t="s">
        <v>1356</v>
      </c>
      <c r="E2072" s="247" t="s">
        <v>1302</v>
      </c>
      <c r="F2072" s="247" t="s">
        <v>2144</v>
      </c>
      <c r="G2072" s="247" t="s">
        <v>1357</v>
      </c>
      <c r="H2072" s="247" t="s">
        <v>1999</v>
      </c>
      <c r="I2072" s="247" t="s">
        <v>2145</v>
      </c>
      <c r="J2072" s="247">
        <v>90</v>
      </c>
      <c r="K2072" s="247">
        <v>90.1</v>
      </c>
      <c r="L2072" s="249" t="s">
        <v>935</v>
      </c>
      <c r="M2072" s="249" t="s">
        <v>929</v>
      </c>
      <c r="N2072" s="248">
        <v>18.57</v>
      </c>
      <c r="O2072" s="248">
        <v>294</v>
      </c>
      <c r="P2072" s="247" t="s">
        <v>1404</v>
      </c>
      <c r="Q2072" s="247" t="s">
        <v>89</v>
      </c>
    </row>
    <row r="2073" spans="1:17" x14ac:dyDescent="0.25">
      <c r="A2073" s="247" t="s">
        <v>646</v>
      </c>
      <c r="B2073" s="247" t="s">
        <v>265</v>
      </c>
      <c r="C2073" s="247" t="s">
        <v>1343</v>
      </c>
      <c r="D2073" s="247" t="s">
        <v>1356</v>
      </c>
      <c r="E2073" s="247" t="s">
        <v>1302</v>
      </c>
      <c r="F2073" s="247" t="s">
        <v>2144</v>
      </c>
      <c r="G2073" s="247" t="s">
        <v>1357</v>
      </c>
      <c r="H2073" s="247" t="s">
        <v>1999</v>
      </c>
      <c r="I2073" s="247" t="s">
        <v>2145</v>
      </c>
      <c r="J2073" s="247">
        <v>90</v>
      </c>
      <c r="K2073" s="247">
        <v>90.1</v>
      </c>
      <c r="L2073" s="249" t="s">
        <v>936</v>
      </c>
      <c r="M2073" s="249" t="s">
        <v>929</v>
      </c>
      <c r="N2073" s="248">
        <v>0</v>
      </c>
      <c r="O2073" s="248">
        <v>294</v>
      </c>
      <c r="P2073" s="247" t="s">
        <v>1404</v>
      </c>
      <c r="Q2073" s="247" t="s">
        <v>90</v>
      </c>
    </row>
    <row r="2074" spans="1:17" x14ac:dyDescent="0.25">
      <c r="A2074" s="247" t="s">
        <v>646</v>
      </c>
      <c r="B2074" s="247" t="s">
        <v>265</v>
      </c>
      <c r="C2074" s="247" t="s">
        <v>1343</v>
      </c>
      <c r="D2074" s="247" t="s">
        <v>1356</v>
      </c>
      <c r="E2074" s="247" t="s">
        <v>1302</v>
      </c>
      <c r="F2074" s="247" t="s">
        <v>2144</v>
      </c>
      <c r="G2074" s="247" t="s">
        <v>1357</v>
      </c>
      <c r="H2074" s="247" t="s">
        <v>1999</v>
      </c>
      <c r="I2074" s="247" t="s">
        <v>2145</v>
      </c>
      <c r="J2074" s="247">
        <v>90</v>
      </c>
      <c r="K2074" s="247">
        <v>90.1</v>
      </c>
      <c r="L2074" s="249" t="s">
        <v>937</v>
      </c>
      <c r="M2074" s="249" t="s">
        <v>929</v>
      </c>
      <c r="N2074" s="248">
        <v>0</v>
      </c>
      <c r="O2074" s="248">
        <v>294</v>
      </c>
      <c r="P2074" s="247" t="s">
        <v>1404</v>
      </c>
      <c r="Q2074" s="247" t="s">
        <v>91</v>
      </c>
    </row>
    <row r="2075" spans="1:17" x14ac:dyDescent="0.25">
      <c r="A2075" s="247" t="s">
        <v>646</v>
      </c>
      <c r="B2075" s="247" t="s">
        <v>265</v>
      </c>
      <c r="C2075" s="247" t="s">
        <v>1343</v>
      </c>
      <c r="D2075" s="247" t="s">
        <v>1356</v>
      </c>
      <c r="E2075" s="247" t="s">
        <v>1302</v>
      </c>
      <c r="F2075" s="247" t="s">
        <v>2144</v>
      </c>
      <c r="G2075" s="247" t="s">
        <v>1357</v>
      </c>
      <c r="H2075" s="247" t="s">
        <v>1999</v>
      </c>
      <c r="I2075" s="247" t="s">
        <v>2145</v>
      </c>
      <c r="J2075" s="247">
        <v>90</v>
      </c>
      <c r="K2075" s="247">
        <v>90.1</v>
      </c>
      <c r="L2075" s="249" t="s">
        <v>938</v>
      </c>
      <c r="M2075" s="249" t="s">
        <v>929</v>
      </c>
      <c r="N2075" s="248">
        <v>0</v>
      </c>
      <c r="O2075" s="248">
        <v>294</v>
      </c>
      <c r="P2075" s="247" t="s">
        <v>1404</v>
      </c>
      <c r="Q2075" s="247" t="s">
        <v>92</v>
      </c>
    </row>
    <row r="2076" spans="1:17" x14ac:dyDescent="0.25">
      <c r="A2076" s="247" t="s">
        <v>646</v>
      </c>
      <c r="B2076" s="247" t="s">
        <v>265</v>
      </c>
      <c r="C2076" s="247" t="s">
        <v>1343</v>
      </c>
      <c r="D2076" s="247" t="s">
        <v>1356</v>
      </c>
      <c r="E2076" s="247" t="s">
        <v>1302</v>
      </c>
      <c r="F2076" s="247" t="s">
        <v>2144</v>
      </c>
      <c r="G2076" s="247" t="s">
        <v>1357</v>
      </c>
      <c r="H2076" s="247" t="s">
        <v>1999</v>
      </c>
      <c r="I2076" s="247" t="s">
        <v>2145</v>
      </c>
      <c r="J2076" s="247">
        <v>90</v>
      </c>
      <c r="K2076" s="247">
        <v>90.1</v>
      </c>
      <c r="L2076" s="249" t="s">
        <v>939</v>
      </c>
      <c r="M2076" s="249" t="s">
        <v>929</v>
      </c>
      <c r="N2076" s="248">
        <v>13.74</v>
      </c>
      <c r="O2076" s="248">
        <v>307.74</v>
      </c>
      <c r="P2076" s="247" t="s">
        <v>1404</v>
      </c>
      <c r="Q2076" s="247" t="s">
        <v>93</v>
      </c>
    </row>
    <row r="2077" spans="1:17" x14ac:dyDescent="0.25">
      <c r="A2077" s="247" t="s">
        <v>646</v>
      </c>
      <c r="B2077" s="247" t="s">
        <v>265</v>
      </c>
      <c r="C2077" s="247" t="s">
        <v>1343</v>
      </c>
      <c r="D2077" s="247" t="s">
        <v>1356</v>
      </c>
      <c r="E2077" s="247" t="s">
        <v>1302</v>
      </c>
      <c r="F2077" s="247" t="s">
        <v>2144</v>
      </c>
      <c r="G2077" s="247" t="s">
        <v>1357</v>
      </c>
      <c r="H2077" s="247" t="s">
        <v>1999</v>
      </c>
      <c r="I2077" s="247" t="s">
        <v>2145</v>
      </c>
      <c r="J2077" s="247">
        <v>90</v>
      </c>
      <c r="K2077" s="247">
        <v>90.1</v>
      </c>
      <c r="L2077" s="249" t="s">
        <v>940</v>
      </c>
      <c r="M2077" s="249" t="s">
        <v>929</v>
      </c>
      <c r="N2077" s="248">
        <v>33.42</v>
      </c>
      <c r="O2077" s="248">
        <v>341.16</v>
      </c>
      <c r="P2077" s="247" t="s">
        <v>1404</v>
      </c>
      <c r="Q2077" s="247" t="s">
        <v>94</v>
      </c>
    </row>
    <row r="2078" spans="1:17" x14ac:dyDescent="0.25">
      <c r="A2078" s="247" t="s">
        <v>646</v>
      </c>
      <c r="B2078" s="247" t="s">
        <v>265</v>
      </c>
      <c r="C2078" s="247" t="s">
        <v>1343</v>
      </c>
      <c r="D2078" s="247" t="s">
        <v>1356</v>
      </c>
      <c r="E2078" s="247" t="s">
        <v>1302</v>
      </c>
      <c r="F2078" s="247" t="s">
        <v>2144</v>
      </c>
      <c r="G2078" s="247" t="s">
        <v>1357</v>
      </c>
      <c r="H2078" s="247" t="s">
        <v>1999</v>
      </c>
      <c r="I2078" s="247" t="s">
        <v>2145</v>
      </c>
      <c r="J2078" s="247">
        <v>90</v>
      </c>
      <c r="K2078" s="247">
        <v>90.1</v>
      </c>
      <c r="L2078" s="249" t="s">
        <v>642</v>
      </c>
      <c r="M2078" s="249" t="s">
        <v>929</v>
      </c>
      <c r="N2078" s="248">
        <v>36.83</v>
      </c>
      <c r="O2078" s="248">
        <v>377.99</v>
      </c>
      <c r="P2078" s="247" t="s">
        <v>1404</v>
      </c>
      <c r="Q2078" s="247" t="s">
        <v>95</v>
      </c>
    </row>
    <row r="2079" spans="1:17" x14ac:dyDescent="0.25">
      <c r="A2079" s="247" t="s">
        <v>646</v>
      </c>
      <c r="B2079" s="247" t="s">
        <v>265</v>
      </c>
      <c r="C2079" s="247" t="s">
        <v>1343</v>
      </c>
      <c r="D2079" s="247" t="s">
        <v>946</v>
      </c>
      <c r="E2079" s="247" t="s">
        <v>1302</v>
      </c>
      <c r="F2079" s="247" t="s">
        <v>2146</v>
      </c>
      <c r="G2079" s="247" t="s">
        <v>1359</v>
      </c>
      <c r="H2079" s="247" t="s">
        <v>1999</v>
      </c>
      <c r="I2079" s="247" t="s">
        <v>2147</v>
      </c>
      <c r="J2079" s="247">
        <v>90</v>
      </c>
      <c r="K2079" s="247">
        <v>90.1</v>
      </c>
      <c r="L2079" s="249" t="s">
        <v>646</v>
      </c>
      <c r="M2079" s="249" t="s">
        <v>933</v>
      </c>
      <c r="N2079" s="248">
        <v>145.34</v>
      </c>
      <c r="O2079" s="248">
        <v>1945.41</v>
      </c>
      <c r="P2079" s="247" t="s">
        <v>1405</v>
      </c>
      <c r="Q2079" s="247" t="s">
        <v>84</v>
      </c>
    </row>
    <row r="2080" spans="1:17" x14ac:dyDescent="0.25">
      <c r="A2080" s="247" t="s">
        <v>646</v>
      </c>
      <c r="B2080" s="247" t="s">
        <v>265</v>
      </c>
      <c r="C2080" s="247" t="s">
        <v>1343</v>
      </c>
      <c r="D2080" s="247" t="s">
        <v>946</v>
      </c>
      <c r="E2080" s="247" t="s">
        <v>1302</v>
      </c>
      <c r="F2080" s="247" t="s">
        <v>2146</v>
      </c>
      <c r="G2080" s="247" t="s">
        <v>1359</v>
      </c>
      <c r="H2080" s="247" t="s">
        <v>1999</v>
      </c>
      <c r="I2080" s="247" t="s">
        <v>2147</v>
      </c>
      <c r="J2080" s="247">
        <v>90</v>
      </c>
      <c r="K2080" s="247">
        <v>90.1</v>
      </c>
      <c r="L2080" s="249" t="s">
        <v>650</v>
      </c>
      <c r="M2080" s="249" t="s">
        <v>933</v>
      </c>
      <c r="N2080" s="248">
        <v>67.290000000000006</v>
      </c>
      <c r="O2080" s="248">
        <v>2012.7</v>
      </c>
      <c r="P2080" s="247" t="s">
        <v>1405</v>
      </c>
      <c r="Q2080" s="247" t="s">
        <v>85</v>
      </c>
    </row>
    <row r="2081" spans="1:17" x14ac:dyDescent="0.25">
      <c r="A2081" s="247" t="s">
        <v>646</v>
      </c>
      <c r="B2081" s="247" t="s">
        <v>265</v>
      </c>
      <c r="C2081" s="247" t="s">
        <v>1343</v>
      </c>
      <c r="D2081" s="247" t="s">
        <v>946</v>
      </c>
      <c r="E2081" s="247" t="s">
        <v>1302</v>
      </c>
      <c r="F2081" s="247" t="s">
        <v>2146</v>
      </c>
      <c r="G2081" s="247" t="s">
        <v>1359</v>
      </c>
      <c r="H2081" s="247" t="s">
        <v>1999</v>
      </c>
      <c r="I2081" s="247" t="s">
        <v>2147</v>
      </c>
      <c r="J2081" s="247">
        <v>90</v>
      </c>
      <c r="K2081" s="247">
        <v>90.1</v>
      </c>
      <c r="L2081" s="249" t="s">
        <v>652</v>
      </c>
      <c r="M2081" s="249" t="s">
        <v>933</v>
      </c>
      <c r="N2081" s="248">
        <v>44.43</v>
      </c>
      <c r="O2081" s="248">
        <v>2057.13</v>
      </c>
      <c r="P2081" s="247" t="s">
        <v>1405</v>
      </c>
      <c r="Q2081" s="247" t="s">
        <v>86</v>
      </c>
    </row>
    <row r="2082" spans="1:17" x14ac:dyDescent="0.25">
      <c r="A2082" s="247" t="s">
        <v>646</v>
      </c>
      <c r="B2082" s="247" t="s">
        <v>265</v>
      </c>
      <c r="C2082" s="247" t="s">
        <v>1343</v>
      </c>
      <c r="D2082" s="247" t="s">
        <v>946</v>
      </c>
      <c r="E2082" s="247" t="s">
        <v>1302</v>
      </c>
      <c r="F2082" s="247" t="s">
        <v>2146</v>
      </c>
      <c r="G2082" s="247" t="s">
        <v>1359</v>
      </c>
      <c r="H2082" s="247" t="s">
        <v>1999</v>
      </c>
      <c r="I2082" s="247" t="s">
        <v>2147</v>
      </c>
      <c r="J2082" s="247">
        <v>90</v>
      </c>
      <c r="K2082" s="247">
        <v>90.1</v>
      </c>
      <c r="L2082" s="249" t="s">
        <v>789</v>
      </c>
      <c r="M2082" s="249" t="s">
        <v>929</v>
      </c>
      <c r="N2082" s="248">
        <v>90.61</v>
      </c>
      <c r="O2082" s="248">
        <v>90.61</v>
      </c>
      <c r="P2082" s="247" t="s">
        <v>1405</v>
      </c>
      <c r="Q2082" s="247" t="s">
        <v>87</v>
      </c>
    </row>
    <row r="2083" spans="1:17" x14ac:dyDescent="0.25">
      <c r="A2083" s="247" t="s">
        <v>646</v>
      </c>
      <c r="B2083" s="247" t="s">
        <v>265</v>
      </c>
      <c r="C2083" s="247" t="s">
        <v>1343</v>
      </c>
      <c r="D2083" s="247" t="s">
        <v>946</v>
      </c>
      <c r="E2083" s="247" t="s">
        <v>1302</v>
      </c>
      <c r="F2083" s="247" t="s">
        <v>2146</v>
      </c>
      <c r="G2083" s="247" t="s">
        <v>1359</v>
      </c>
      <c r="H2083" s="247" t="s">
        <v>1999</v>
      </c>
      <c r="I2083" s="247" t="s">
        <v>2147</v>
      </c>
      <c r="J2083" s="247">
        <v>90</v>
      </c>
      <c r="K2083" s="247">
        <v>90.1</v>
      </c>
      <c r="L2083" s="249" t="s">
        <v>791</v>
      </c>
      <c r="M2083" s="249" t="s">
        <v>929</v>
      </c>
      <c r="N2083" s="248">
        <v>86.91</v>
      </c>
      <c r="O2083" s="248">
        <v>177.52</v>
      </c>
      <c r="P2083" s="247" t="s">
        <v>1405</v>
      </c>
      <c r="Q2083" s="247" t="s">
        <v>88</v>
      </c>
    </row>
    <row r="2084" spans="1:17" x14ac:dyDescent="0.25">
      <c r="A2084" s="247" t="s">
        <v>646</v>
      </c>
      <c r="B2084" s="247" t="s">
        <v>265</v>
      </c>
      <c r="C2084" s="247" t="s">
        <v>1343</v>
      </c>
      <c r="D2084" s="247" t="s">
        <v>946</v>
      </c>
      <c r="E2084" s="247" t="s">
        <v>1302</v>
      </c>
      <c r="F2084" s="247" t="s">
        <v>2146</v>
      </c>
      <c r="G2084" s="247" t="s">
        <v>1359</v>
      </c>
      <c r="H2084" s="247" t="s">
        <v>1999</v>
      </c>
      <c r="I2084" s="247" t="s">
        <v>2147</v>
      </c>
      <c r="J2084" s="247">
        <v>90</v>
      </c>
      <c r="K2084" s="247">
        <v>90.1</v>
      </c>
      <c r="L2084" s="249" t="s">
        <v>935</v>
      </c>
      <c r="M2084" s="249" t="s">
        <v>929</v>
      </c>
      <c r="N2084" s="248">
        <v>97.53</v>
      </c>
      <c r="O2084" s="248">
        <v>275.05</v>
      </c>
      <c r="P2084" s="247" t="s">
        <v>1405</v>
      </c>
      <c r="Q2084" s="247" t="s">
        <v>89</v>
      </c>
    </row>
    <row r="2085" spans="1:17" x14ac:dyDescent="0.25">
      <c r="A2085" s="247" t="s">
        <v>646</v>
      </c>
      <c r="B2085" s="247" t="s">
        <v>265</v>
      </c>
      <c r="C2085" s="247" t="s">
        <v>1343</v>
      </c>
      <c r="D2085" s="247" t="s">
        <v>946</v>
      </c>
      <c r="E2085" s="247" t="s">
        <v>1302</v>
      </c>
      <c r="F2085" s="247" t="s">
        <v>2146</v>
      </c>
      <c r="G2085" s="247" t="s">
        <v>1359</v>
      </c>
      <c r="H2085" s="247" t="s">
        <v>1999</v>
      </c>
      <c r="I2085" s="247" t="s">
        <v>2147</v>
      </c>
      <c r="J2085" s="247">
        <v>90</v>
      </c>
      <c r="K2085" s="247">
        <v>90.1</v>
      </c>
      <c r="L2085" s="249" t="s">
        <v>936</v>
      </c>
      <c r="M2085" s="249" t="s">
        <v>929</v>
      </c>
      <c r="N2085" s="248">
        <v>154.78</v>
      </c>
      <c r="O2085" s="248">
        <v>429.83</v>
      </c>
      <c r="P2085" s="247" t="s">
        <v>1405</v>
      </c>
      <c r="Q2085" s="247" t="s">
        <v>90</v>
      </c>
    </row>
    <row r="2086" spans="1:17" x14ac:dyDescent="0.25">
      <c r="A2086" s="247" t="s">
        <v>646</v>
      </c>
      <c r="B2086" s="247" t="s">
        <v>265</v>
      </c>
      <c r="C2086" s="247" t="s">
        <v>1343</v>
      </c>
      <c r="D2086" s="247" t="s">
        <v>946</v>
      </c>
      <c r="E2086" s="247" t="s">
        <v>1302</v>
      </c>
      <c r="F2086" s="247" t="s">
        <v>2146</v>
      </c>
      <c r="G2086" s="247" t="s">
        <v>1359</v>
      </c>
      <c r="H2086" s="247" t="s">
        <v>1999</v>
      </c>
      <c r="I2086" s="247" t="s">
        <v>2147</v>
      </c>
      <c r="J2086" s="247">
        <v>90</v>
      </c>
      <c r="K2086" s="247">
        <v>90.1</v>
      </c>
      <c r="L2086" s="249" t="s">
        <v>937</v>
      </c>
      <c r="M2086" s="249" t="s">
        <v>929</v>
      </c>
      <c r="N2086" s="248">
        <v>75.239999999999995</v>
      </c>
      <c r="O2086" s="248">
        <v>505.07</v>
      </c>
      <c r="P2086" s="247" t="s">
        <v>1405</v>
      </c>
      <c r="Q2086" s="247" t="s">
        <v>91</v>
      </c>
    </row>
    <row r="2087" spans="1:17" x14ac:dyDescent="0.25">
      <c r="A2087" s="247" t="s">
        <v>646</v>
      </c>
      <c r="B2087" s="247" t="s">
        <v>265</v>
      </c>
      <c r="C2087" s="247" t="s">
        <v>1343</v>
      </c>
      <c r="D2087" s="247" t="s">
        <v>946</v>
      </c>
      <c r="E2087" s="247" t="s">
        <v>1302</v>
      </c>
      <c r="F2087" s="247" t="s">
        <v>2146</v>
      </c>
      <c r="G2087" s="247" t="s">
        <v>1359</v>
      </c>
      <c r="H2087" s="247" t="s">
        <v>1999</v>
      </c>
      <c r="I2087" s="247" t="s">
        <v>2147</v>
      </c>
      <c r="J2087" s="247">
        <v>90</v>
      </c>
      <c r="K2087" s="247">
        <v>90.1</v>
      </c>
      <c r="L2087" s="249" t="s">
        <v>938</v>
      </c>
      <c r="M2087" s="249" t="s">
        <v>929</v>
      </c>
      <c r="N2087" s="248">
        <v>77.290000000000006</v>
      </c>
      <c r="O2087" s="248">
        <v>582.36</v>
      </c>
      <c r="P2087" s="247" t="s">
        <v>1405</v>
      </c>
      <c r="Q2087" s="247" t="s">
        <v>92</v>
      </c>
    </row>
    <row r="2088" spans="1:17" x14ac:dyDescent="0.25">
      <c r="A2088" s="247" t="s">
        <v>646</v>
      </c>
      <c r="B2088" s="247" t="s">
        <v>265</v>
      </c>
      <c r="C2088" s="247" t="s">
        <v>1343</v>
      </c>
      <c r="D2088" s="247" t="s">
        <v>946</v>
      </c>
      <c r="E2088" s="247" t="s">
        <v>1302</v>
      </c>
      <c r="F2088" s="247" t="s">
        <v>2146</v>
      </c>
      <c r="G2088" s="247" t="s">
        <v>1359</v>
      </c>
      <c r="H2088" s="247" t="s">
        <v>1999</v>
      </c>
      <c r="I2088" s="247" t="s">
        <v>2147</v>
      </c>
      <c r="J2088" s="247">
        <v>90</v>
      </c>
      <c r="K2088" s="247">
        <v>90.1</v>
      </c>
      <c r="L2088" s="249" t="s">
        <v>939</v>
      </c>
      <c r="M2088" s="249" t="s">
        <v>929</v>
      </c>
      <c r="N2088" s="248">
        <v>83.17</v>
      </c>
      <c r="O2088" s="248">
        <v>665.53</v>
      </c>
      <c r="P2088" s="247" t="s">
        <v>1405</v>
      </c>
      <c r="Q2088" s="247" t="s">
        <v>93</v>
      </c>
    </row>
    <row r="2089" spans="1:17" x14ac:dyDescent="0.25">
      <c r="A2089" s="247" t="s">
        <v>646</v>
      </c>
      <c r="B2089" s="247" t="s">
        <v>265</v>
      </c>
      <c r="C2089" s="247" t="s">
        <v>1343</v>
      </c>
      <c r="D2089" s="247" t="s">
        <v>946</v>
      </c>
      <c r="E2089" s="247" t="s">
        <v>1302</v>
      </c>
      <c r="F2089" s="247" t="s">
        <v>2146</v>
      </c>
      <c r="G2089" s="247" t="s">
        <v>1359</v>
      </c>
      <c r="H2089" s="247" t="s">
        <v>1999</v>
      </c>
      <c r="I2089" s="247" t="s">
        <v>2147</v>
      </c>
      <c r="J2089" s="247">
        <v>90</v>
      </c>
      <c r="K2089" s="247">
        <v>90.1</v>
      </c>
      <c r="L2089" s="249" t="s">
        <v>940</v>
      </c>
      <c r="M2089" s="249" t="s">
        <v>929</v>
      </c>
      <c r="N2089" s="248">
        <v>92.78</v>
      </c>
      <c r="O2089" s="248">
        <v>758.31</v>
      </c>
      <c r="P2089" s="247" t="s">
        <v>1405</v>
      </c>
      <c r="Q2089" s="247" t="s">
        <v>94</v>
      </c>
    </row>
    <row r="2090" spans="1:17" x14ac:dyDescent="0.25">
      <c r="A2090" s="247" t="s">
        <v>646</v>
      </c>
      <c r="B2090" s="247" t="s">
        <v>265</v>
      </c>
      <c r="C2090" s="247" t="s">
        <v>1343</v>
      </c>
      <c r="D2090" s="247" t="s">
        <v>946</v>
      </c>
      <c r="E2090" s="247" t="s">
        <v>1302</v>
      </c>
      <c r="F2090" s="247" t="s">
        <v>2146</v>
      </c>
      <c r="G2090" s="247" t="s">
        <v>1359</v>
      </c>
      <c r="H2090" s="247" t="s">
        <v>1999</v>
      </c>
      <c r="I2090" s="247" t="s">
        <v>2147</v>
      </c>
      <c r="J2090" s="247">
        <v>90</v>
      </c>
      <c r="K2090" s="247">
        <v>90.1</v>
      </c>
      <c r="L2090" s="249" t="s">
        <v>642</v>
      </c>
      <c r="M2090" s="249" t="s">
        <v>929</v>
      </c>
      <c r="N2090" s="248">
        <v>143.99</v>
      </c>
      <c r="O2090" s="248">
        <v>902.3</v>
      </c>
      <c r="P2090" s="247" t="s">
        <v>1405</v>
      </c>
      <c r="Q2090" s="247" t="s">
        <v>95</v>
      </c>
    </row>
    <row r="2091" spans="1:17" x14ac:dyDescent="0.25">
      <c r="A2091" s="247" t="s">
        <v>646</v>
      </c>
      <c r="B2091" s="247" t="s">
        <v>265</v>
      </c>
      <c r="C2091" s="247" t="s">
        <v>1343</v>
      </c>
      <c r="D2091" s="247" t="s">
        <v>1361</v>
      </c>
      <c r="E2091" s="247" t="s">
        <v>1302</v>
      </c>
      <c r="F2091" s="247" t="s">
        <v>2148</v>
      </c>
      <c r="G2091" s="247" t="s">
        <v>1362</v>
      </c>
      <c r="H2091" s="247" t="s">
        <v>1999</v>
      </c>
      <c r="I2091" s="247" t="s">
        <v>2149</v>
      </c>
      <c r="J2091" s="247">
        <v>88</v>
      </c>
      <c r="K2091" s="247">
        <v>90.1</v>
      </c>
      <c r="L2091" s="249" t="s">
        <v>646</v>
      </c>
      <c r="M2091" s="249" t="s">
        <v>933</v>
      </c>
      <c r="N2091" s="248">
        <v>119.19</v>
      </c>
      <c r="O2091" s="248">
        <v>1187.97</v>
      </c>
      <c r="P2091" s="247" t="s">
        <v>1406</v>
      </c>
      <c r="Q2091" s="247" t="s">
        <v>84</v>
      </c>
    </row>
    <row r="2092" spans="1:17" x14ac:dyDescent="0.25">
      <c r="A2092" s="247" t="s">
        <v>646</v>
      </c>
      <c r="B2092" s="247" t="s">
        <v>265</v>
      </c>
      <c r="C2092" s="247" t="s">
        <v>1343</v>
      </c>
      <c r="D2092" s="247" t="s">
        <v>1361</v>
      </c>
      <c r="E2092" s="247" t="s">
        <v>1302</v>
      </c>
      <c r="F2092" s="247" t="s">
        <v>2148</v>
      </c>
      <c r="G2092" s="247" t="s">
        <v>1362</v>
      </c>
      <c r="H2092" s="247" t="s">
        <v>1999</v>
      </c>
      <c r="I2092" s="247" t="s">
        <v>2149</v>
      </c>
      <c r="J2092" s="247">
        <v>88</v>
      </c>
      <c r="K2092" s="247">
        <v>90.1</v>
      </c>
      <c r="L2092" s="249" t="s">
        <v>650</v>
      </c>
      <c r="M2092" s="249" t="s">
        <v>933</v>
      </c>
      <c r="N2092" s="248">
        <v>75.290000000000006</v>
      </c>
      <c r="O2092" s="248">
        <v>1263.26</v>
      </c>
      <c r="P2092" s="247" t="s">
        <v>1406</v>
      </c>
      <c r="Q2092" s="247" t="s">
        <v>85</v>
      </c>
    </row>
    <row r="2093" spans="1:17" x14ac:dyDescent="0.25">
      <c r="A2093" s="247" t="s">
        <v>646</v>
      </c>
      <c r="B2093" s="247" t="s">
        <v>265</v>
      </c>
      <c r="C2093" s="247" t="s">
        <v>1343</v>
      </c>
      <c r="D2093" s="247" t="s">
        <v>1361</v>
      </c>
      <c r="E2093" s="247" t="s">
        <v>1302</v>
      </c>
      <c r="F2093" s="247" t="s">
        <v>2148</v>
      </c>
      <c r="G2093" s="247" t="s">
        <v>1362</v>
      </c>
      <c r="H2093" s="247" t="s">
        <v>1999</v>
      </c>
      <c r="I2093" s="247" t="s">
        <v>2149</v>
      </c>
      <c r="J2093" s="247">
        <v>88</v>
      </c>
      <c r="K2093" s="247">
        <v>90.1</v>
      </c>
      <c r="L2093" s="249" t="s">
        <v>652</v>
      </c>
      <c r="M2093" s="249" t="s">
        <v>933</v>
      </c>
      <c r="N2093" s="248">
        <v>77.62</v>
      </c>
      <c r="O2093" s="248">
        <v>1340.88</v>
      </c>
      <c r="P2093" s="247" t="s">
        <v>1406</v>
      </c>
      <c r="Q2093" s="247" t="s">
        <v>86</v>
      </c>
    </row>
    <row r="2094" spans="1:17" x14ac:dyDescent="0.25">
      <c r="A2094" s="247" t="s">
        <v>646</v>
      </c>
      <c r="B2094" s="247" t="s">
        <v>265</v>
      </c>
      <c r="C2094" s="247" t="s">
        <v>1343</v>
      </c>
      <c r="D2094" s="247" t="s">
        <v>1361</v>
      </c>
      <c r="E2094" s="247" t="s">
        <v>1302</v>
      </c>
      <c r="F2094" s="247" t="s">
        <v>2148</v>
      </c>
      <c r="G2094" s="247" t="s">
        <v>1362</v>
      </c>
      <c r="H2094" s="247" t="s">
        <v>1999</v>
      </c>
      <c r="I2094" s="247" t="s">
        <v>2149</v>
      </c>
      <c r="J2094" s="247">
        <v>88</v>
      </c>
      <c r="K2094" s="247">
        <v>90.1</v>
      </c>
      <c r="L2094" s="249" t="s">
        <v>789</v>
      </c>
      <c r="M2094" s="249" t="s">
        <v>929</v>
      </c>
      <c r="N2094" s="248">
        <v>74.67</v>
      </c>
      <c r="O2094" s="248">
        <v>74.67</v>
      </c>
      <c r="P2094" s="247" t="s">
        <v>1406</v>
      </c>
      <c r="Q2094" s="247" t="s">
        <v>87</v>
      </c>
    </row>
    <row r="2095" spans="1:17" x14ac:dyDescent="0.25">
      <c r="A2095" s="247" t="s">
        <v>646</v>
      </c>
      <c r="B2095" s="247" t="s">
        <v>265</v>
      </c>
      <c r="C2095" s="247" t="s">
        <v>1343</v>
      </c>
      <c r="D2095" s="247" t="s">
        <v>1361</v>
      </c>
      <c r="E2095" s="247" t="s">
        <v>1302</v>
      </c>
      <c r="F2095" s="247" t="s">
        <v>2148</v>
      </c>
      <c r="G2095" s="247" t="s">
        <v>1362</v>
      </c>
      <c r="H2095" s="247" t="s">
        <v>1999</v>
      </c>
      <c r="I2095" s="247" t="s">
        <v>2149</v>
      </c>
      <c r="J2095" s="247">
        <v>88</v>
      </c>
      <c r="K2095" s="247">
        <v>90.1</v>
      </c>
      <c r="L2095" s="249" t="s">
        <v>791</v>
      </c>
      <c r="M2095" s="249" t="s">
        <v>929</v>
      </c>
      <c r="N2095" s="248">
        <v>87.38</v>
      </c>
      <c r="O2095" s="248">
        <v>162.05000000000001</v>
      </c>
      <c r="P2095" s="247" t="s">
        <v>1406</v>
      </c>
      <c r="Q2095" s="247" t="s">
        <v>88</v>
      </c>
    </row>
    <row r="2096" spans="1:17" x14ac:dyDescent="0.25">
      <c r="A2096" s="247" t="s">
        <v>646</v>
      </c>
      <c r="B2096" s="247" t="s">
        <v>265</v>
      </c>
      <c r="C2096" s="247" t="s">
        <v>1343</v>
      </c>
      <c r="D2096" s="247" t="s">
        <v>1361</v>
      </c>
      <c r="E2096" s="247" t="s">
        <v>1302</v>
      </c>
      <c r="F2096" s="247" t="s">
        <v>2148</v>
      </c>
      <c r="G2096" s="247" t="s">
        <v>1362</v>
      </c>
      <c r="H2096" s="247" t="s">
        <v>1999</v>
      </c>
      <c r="I2096" s="247" t="s">
        <v>2149</v>
      </c>
      <c r="J2096" s="247">
        <v>88</v>
      </c>
      <c r="K2096" s="247">
        <v>90.1</v>
      </c>
      <c r="L2096" s="249" t="s">
        <v>935</v>
      </c>
      <c r="M2096" s="249" t="s">
        <v>929</v>
      </c>
      <c r="N2096" s="248">
        <v>89.34</v>
      </c>
      <c r="O2096" s="248">
        <v>251.39</v>
      </c>
      <c r="P2096" s="247" t="s">
        <v>1406</v>
      </c>
      <c r="Q2096" s="247" t="s">
        <v>89</v>
      </c>
    </row>
    <row r="2097" spans="1:17" x14ac:dyDescent="0.25">
      <c r="A2097" s="247" t="s">
        <v>646</v>
      </c>
      <c r="B2097" s="247" t="s">
        <v>265</v>
      </c>
      <c r="C2097" s="247" t="s">
        <v>1343</v>
      </c>
      <c r="D2097" s="247" t="s">
        <v>1361</v>
      </c>
      <c r="E2097" s="247" t="s">
        <v>1302</v>
      </c>
      <c r="F2097" s="247" t="s">
        <v>2148</v>
      </c>
      <c r="G2097" s="247" t="s">
        <v>1362</v>
      </c>
      <c r="H2097" s="247" t="s">
        <v>1999</v>
      </c>
      <c r="I2097" s="247" t="s">
        <v>2149</v>
      </c>
      <c r="J2097" s="247">
        <v>88</v>
      </c>
      <c r="K2097" s="247">
        <v>90.1</v>
      </c>
      <c r="L2097" s="249" t="s">
        <v>936</v>
      </c>
      <c r="M2097" s="249" t="s">
        <v>929</v>
      </c>
      <c r="N2097" s="248">
        <v>130.72</v>
      </c>
      <c r="O2097" s="248">
        <v>382.11</v>
      </c>
      <c r="P2097" s="247" t="s">
        <v>1406</v>
      </c>
      <c r="Q2097" s="247" t="s">
        <v>90</v>
      </c>
    </row>
    <row r="2098" spans="1:17" x14ac:dyDescent="0.25">
      <c r="A2098" s="247" t="s">
        <v>646</v>
      </c>
      <c r="B2098" s="247" t="s">
        <v>265</v>
      </c>
      <c r="C2098" s="247" t="s">
        <v>1343</v>
      </c>
      <c r="D2098" s="247" t="s">
        <v>1361</v>
      </c>
      <c r="E2098" s="247" t="s">
        <v>1302</v>
      </c>
      <c r="F2098" s="247" t="s">
        <v>2148</v>
      </c>
      <c r="G2098" s="247" t="s">
        <v>1362</v>
      </c>
      <c r="H2098" s="247" t="s">
        <v>1999</v>
      </c>
      <c r="I2098" s="247" t="s">
        <v>2149</v>
      </c>
      <c r="J2098" s="247">
        <v>88</v>
      </c>
      <c r="K2098" s="247">
        <v>90.1</v>
      </c>
      <c r="L2098" s="249" t="s">
        <v>937</v>
      </c>
      <c r="M2098" s="249" t="s">
        <v>929</v>
      </c>
      <c r="N2098" s="248">
        <v>78.58</v>
      </c>
      <c r="O2098" s="248">
        <v>460.69</v>
      </c>
      <c r="P2098" s="247" t="s">
        <v>1406</v>
      </c>
      <c r="Q2098" s="247" t="s">
        <v>91</v>
      </c>
    </row>
    <row r="2099" spans="1:17" x14ac:dyDescent="0.25">
      <c r="A2099" s="247" t="s">
        <v>646</v>
      </c>
      <c r="B2099" s="247" t="s">
        <v>265</v>
      </c>
      <c r="C2099" s="247" t="s">
        <v>1343</v>
      </c>
      <c r="D2099" s="247" t="s">
        <v>1361</v>
      </c>
      <c r="E2099" s="247" t="s">
        <v>1302</v>
      </c>
      <c r="F2099" s="247" t="s">
        <v>2148</v>
      </c>
      <c r="G2099" s="247" t="s">
        <v>1362</v>
      </c>
      <c r="H2099" s="247" t="s">
        <v>1999</v>
      </c>
      <c r="I2099" s="247" t="s">
        <v>2149</v>
      </c>
      <c r="J2099" s="247">
        <v>88</v>
      </c>
      <c r="K2099" s="247">
        <v>90.1</v>
      </c>
      <c r="L2099" s="249" t="s">
        <v>938</v>
      </c>
      <c r="M2099" s="249" t="s">
        <v>929</v>
      </c>
      <c r="N2099" s="248">
        <v>-552.64</v>
      </c>
      <c r="O2099" s="248">
        <v>-91.95</v>
      </c>
      <c r="P2099" s="247" t="s">
        <v>1406</v>
      </c>
      <c r="Q2099" s="247" t="s">
        <v>92</v>
      </c>
    </row>
    <row r="2100" spans="1:17" x14ac:dyDescent="0.25">
      <c r="A2100" s="247" t="s">
        <v>646</v>
      </c>
      <c r="B2100" s="247" t="s">
        <v>265</v>
      </c>
      <c r="C2100" s="247" t="s">
        <v>1343</v>
      </c>
      <c r="D2100" s="247" t="s">
        <v>1361</v>
      </c>
      <c r="E2100" s="247" t="s">
        <v>1302</v>
      </c>
      <c r="F2100" s="247" t="s">
        <v>2148</v>
      </c>
      <c r="G2100" s="247" t="s">
        <v>1362</v>
      </c>
      <c r="H2100" s="247" t="s">
        <v>1999</v>
      </c>
      <c r="I2100" s="247" t="s">
        <v>2149</v>
      </c>
      <c r="J2100" s="247">
        <v>88</v>
      </c>
      <c r="K2100" s="247">
        <v>90.1</v>
      </c>
      <c r="L2100" s="249" t="s">
        <v>939</v>
      </c>
      <c r="M2100" s="249" t="s">
        <v>929</v>
      </c>
      <c r="N2100" s="248">
        <v>78.7</v>
      </c>
      <c r="O2100" s="248">
        <v>-13.25</v>
      </c>
      <c r="P2100" s="247" t="s">
        <v>1406</v>
      </c>
      <c r="Q2100" s="247" t="s">
        <v>93</v>
      </c>
    </row>
    <row r="2101" spans="1:17" x14ac:dyDescent="0.25">
      <c r="A2101" s="247" t="s">
        <v>646</v>
      </c>
      <c r="B2101" s="247" t="s">
        <v>265</v>
      </c>
      <c r="C2101" s="247" t="s">
        <v>1343</v>
      </c>
      <c r="D2101" s="247" t="s">
        <v>1361</v>
      </c>
      <c r="E2101" s="247" t="s">
        <v>1302</v>
      </c>
      <c r="F2101" s="247" t="s">
        <v>2148</v>
      </c>
      <c r="G2101" s="247" t="s">
        <v>1362</v>
      </c>
      <c r="H2101" s="247" t="s">
        <v>1999</v>
      </c>
      <c r="I2101" s="247" t="s">
        <v>2149</v>
      </c>
      <c r="J2101" s="247">
        <v>88</v>
      </c>
      <c r="K2101" s="247">
        <v>90.1</v>
      </c>
      <c r="L2101" s="249" t="s">
        <v>940</v>
      </c>
      <c r="M2101" s="249" t="s">
        <v>929</v>
      </c>
      <c r="N2101" s="248">
        <v>97.99</v>
      </c>
      <c r="O2101" s="248">
        <v>84.74</v>
      </c>
      <c r="P2101" s="247" t="s">
        <v>1406</v>
      </c>
      <c r="Q2101" s="247" t="s">
        <v>94</v>
      </c>
    </row>
    <row r="2102" spans="1:17" x14ac:dyDescent="0.25">
      <c r="A2102" s="247" t="s">
        <v>646</v>
      </c>
      <c r="B2102" s="247" t="s">
        <v>265</v>
      </c>
      <c r="C2102" s="247" t="s">
        <v>1343</v>
      </c>
      <c r="D2102" s="247" t="s">
        <v>1361</v>
      </c>
      <c r="E2102" s="247" t="s">
        <v>1302</v>
      </c>
      <c r="F2102" s="247" t="s">
        <v>2148</v>
      </c>
      <c r="G2102" s="247" t="s">
        <v>1362</v>
      </c>
      <c r="H2102" s="247" t="s">
        <v>1999</v>
      </c>
      <c r="I2102" s="247" t="s">
        <v>2149</v>
      </c>
      <c r="J2102" s="247">
        <v>88</v>
      </c>
      <c r="K2102" s="247">
        <v>90.1</v>
      </c>
      <c r="L2102" s="249" t="s">
        <v>642</v>
      </c>
      <c r="M2102" s="249" t="s">
        <v>929</v>
      </c>
      <c r="N2102" s="248">
        <v>148.49</v>
      </c>
      <c r="O2102" s="248">
        <v>233.23</v>
      </c>
      <c r="P2102" s="247" t="s">
        <v>1406</v>
      </c>
      <c r="Q2102" s="247" t="s">
        <v>95</v>
      </c>
    </row>
    <row r="2103" spans="1:17" x14ac:dyDescent="0.25">
      <c r="A2103" s="247" t="s">
        <v>646</v>
      </c>
      <c r="B2103" s="247" t="s">
        <v>265</v>
      </c>
      <c r="C2103" s="247" t="s">
        <v>1343</v>
      </c>
      <c r="D2103" s="247" t="s">
        <v>1049</v>
      </c>
      <c r="E2103" s="247" t="s">
        <v>1302</v>
      </c>
      <c r="F2103" s="247" t="s">
        <v>2150</v>
      </c>
      <c r="G2103" s="247" t="s">
        <v>1407</v>
      </c>
      <c r="H2103" s="247" t="s">
        <v>1999</v>
      </c>
      <c r="I2103" s="247" t="s">
        <v>2151</v>
      </c>
      <c r="J2103" s="247">
        <v>89</v>
      </c>
      <c r="K2103" s="247">
        <v>89.1</v>
      </c>
      <c r="L2103" s="249" t="s">
        <v>935</v>
      </c>
      <c r="M2103" s="249" t="s">
        <v>929</v>
      </c>
      <c r="N2103" s="248">
        <v>207.06</v>
      </c>
      <c r="O2103" s="248">
        <v>207.06</v>
      </c>
      <c r="P2103" s="247" t="s">
        <v>1408</v>
      </c>
      <c r="Q2103" s="247" t="s">
        <v>89</v>
      </c>
    </row>
    <row r="2104" spans="1:17" x14ac:dyDescent="0.25">
      <c r="A2104" s="247" t="s">
        <v>646</v>
      </c>
      <c r="B2104" s="247" t="s">
        <v>265</v>
      </c>
      <c r="C2104" s="247" t="s">
        <v>1343</v>
      </c>
      <c r="D2104" s="247" t="s">
        <v>1049</v>
      </c>
      <c r="E2104" s="247" t="s">
        <v>1302</v>
      </c>
      <c r="F2104" s="247" t="s">
        <v>2150</v>
      </c>
      <c r="G2104" s="247" t="s">
        <v>1407</v>
      </c>
      <c r="H2104" s="247" t="s">
        <v>1999</v>
      </c>
      <c r="I2104" s="247" t="s">
        <v>2151</v>
      </c>
      <c r="J2104" s="247">
        <v>89</v>
      </c>
      <c r="K2104" s="247">
        <v>89.1</v>
      </c>
      <c r="L2104" s="249" t="s">
        <v>936</v>
      </c>
      <c r="M2104" s="249" t="s">
        <v>929</v>
      </c>
      <c r="N2104" s="248">
        <v>0</v>
      </c>
      <c r="O2104" s="248">
        <v>207.06</v>
      </c>
      <c r="P2104" s="247" t="s">
        <v>1408</v>
      </c>
      <c r="Q2104" s="247" t="s">
        <v>90</v>
      </c>
    </row>
    <row r="2105" spans="1:17" x14ac:dyDescent="0.25">
      <c r="A2105" s="247" t="s">
        <v>646</v>
      </c>
      <c r="B2105" s="247" t="s">
        <v>265</v>
      </c>
      <c r="C2105" s="247" t="s">
        <v>1343</v>
      </c>
      <c r="D2105" s="247" t="s">
        <v>1049</v>
      </c>
      <c r="E2105" s="247" t="s">
        <v>1302</v>
      </c>
      <c r="F2105" s="247" t="s">
        <v>2150</v>
      </c>
      <c r="G2105" s="247" t="s">
        <v>1407</v>
      </c>
      <c r="H2105" s="247" t="s">
        <v>1999</v>
      </c>
      <c r="I2105" s="247" t="s">
        <v>2151</v>
      </c>
      <c r="J2105" s="247">
        <v>89</v>
      </c>
      <c r="K2105" s="247">
        <v>89.1</v>
      </c>
      <c r="L2105" s="249" t="s">
        <v>937</v>
      </c>
      <c r="M2105" s="249" t="s">
        <v>929</v>
      </c>
      <c r="N2105" s="248">
        <v>0</v>
      </c>
      <c r="O2105" s="248">
        <v>207.06</v>
      </c>
      <c r="P2105" s="247" t="s">
        <v>1408</v>
      </c>
      <c r="Q2105" s="247" t="s">
        <v>91</v>
      </c>
    </row>
    <row r="2106" spans="1:17" x14ac:dyDescent="0.25">
      <c r="A2106" s="247" t="s">
        <v>646</v>
      </c>
      <c r="B2106" s="247" t="s">
        <v>265</v>
      </c>
      <c r="C2106" s="247" t="s">
        <v>1343</v>
      </c>
      <c r="D2106" s="247" t="s">
        <v>1049</v>
      </c>
      <c r="E2106" s="247" t="s">
        <v>1302</v>
      </c>
      <c r="F2106" s="247" t="s">
        <v>2150</v>
      </c>
      <c r="G2106" s="247" t="s">
        <v>1407</v>
      </c>
      <c r="H2106" s="247" t="s">
        <v>1999</v>
      </c>
      <c r="I2106" s="247" t="s">
        <v>2151</v>
      </c>
      <c r="J2106" s="247">
        <v>89</v>
      </c>
      <c r="K2106" s="247">
        <v>89.1</v>
      </c>
      <c r="L2106" s="249" t="s">
        <v>938</v>
      </c>
      <c r="M2106" s="249" t="s">
        <v>929</v>
      </c>
      <c r="N2106" s="248">
        <v>0</v>
      </c>
      <c r="O2106" s="248">
        <v>207.06</v>
      </c>
      <c r="P2106" s="247" t="s">
        <v>1408</v>
      </c>
      <c r="Q2106" s="247" t="s">
        <v>92</v>
      </c>
    </row>
    <row r="2107" spans="1:17" x14ac:dyDescent="0.25">
      <c r="A2107" s="247" t="s">
        <v>646</v>
      </c>
      <c r="B2107" s="247" t="s">
        <v>265</v>
      </c>
      <c r="C2107" s="247" t="s">
        <v>1343</v>
      </c>
      <c r="D2107" s="247" t="s">
        <v>1049</v>
      </c>
      <c r="E2107" s="247" t="s">
        <v>1302</v>
      </c>
      <c r="F2107" s="247" t="s">
        <v>2150</v>
      </c>
      <c r="G2107" s="247" t="s">
        <v>1407</v>
      </c>
      <c r="H2107" s="247" t="s">
        <v>1999</v>
      </c>
      <c r="I2107" s="247" t="s">
        <v>2151</v>
      </c>
      <c r="J2107" s="247">
        <v>89</v>
      </c>
      <c r="K2107" s="247">
        <v>89.1</v>
      </c>
      <c r="L2107" s="249" t="s">
        <v>939</v>
      </c>
      <c r="M2107" s="249" t="s">
        <v>929</v>
      </c>
      <c r="N2107" s="248">
        <v>0</v>
      </c>
      <c r="O2107" s="248">
        <v>207.06</v>
      </c>
      <c r="P2107" s="247" t="s">
        <v>1408</v>
      </c>
      <c r="Q2107" s="247" t="s">
        <v>93</v>
      </c>
    </row>
    <row r="2108" spans="1:17" x14ac:dyDescent="0.25">
      <c r="A2108" s="247" t="s">
        <v>646</v>
      </c>
      <c r="B2108" s="247" t="s">
        <v>265</v>
      </c>
      <c r="C2108" s="247" t="s">
        <v>1343</v>
      </c>
      <c r="D2108" s="247" t="s">
        <v>1049</v>
      </c>
      <c r="E2108" s="247" t="s">
        <v>1302</v>
      </c>
      <c r="F2108" s="247" t="s">
        <v>2150</v>
      </c>
      <c r="G2108" s="247" t="s">
        <v>1407</v>
      </c>
      <c r="H2108" s="247" t="s">
        <v>1999</v>
      </c>
      <c r="I2108" s="247" t="s">
        <v>2151</v>
      </c>
      <c r="J2108" s="247">
        <v>89</v>
      </c>
      <c r="K2108" s="247">
        <v>89.1</v>
      </c>
      <c r="L2108" s="249" t="s">
        <v>940</v>
      </c>
      <c r="M2108" s="249" t="s">
        <v>929</v>
      </c>
      <c r="N2108" s="248">
        <v>0</v>
      </c>
      <c r="O2108" s="248">
        <v>207.06</v>
      </c>
      <c r="P2108" s="247" t="s">
        <v>1408</v>
      </c>
      <c r="Q2108" s="247" t="s">
        <v>94</v>
      </c>
    </row>
    <row r="2109" spans="1:17" x14ac:dyDescent="0.25">
      <c r="A2109" s="247" t="s">
        <v>646</v>
      </c>
      <c r="B2109" s="247" t="s">
        <v>265</v>
      </c>
      <c r="C2109" s="247" t="s">
        <v>1343</v>
      </c>
      <c r="D2109" s="247" t="s">
        <v>1049</v>
      </c>
      <c r="E2109" s="247" t="s">
        <v>1302</v>
      </c>
      <c r="F2109" s="247" t="s">
        <v>2150</v>
      </c>
      <c r="G2109" s="247" t="s">
        <v>1407</v>
      </c>
      <c r="H2109" s="247" t="s">
        <v>1999</v>
      </c>
      <c r="I2109" s="247" t="s">
        <v>2151</v>
      </c>
      <c r="J2109" s="247">
        <v>89</v>
      </c>
      <c r="K2109" s="247">
        <v>89.1</v>
      </c>
      <c r="L2109" s="249" t="s">
        <v>642</v>
      </c>
      <c r="M2109" s="249" t="s">
        <v>929</v>
      </c>
      <c r="N2109" s="248">
        <v>0</v>
      </c>
      <c r="O2109" s="248">
        <v>207.06</v>
      </c>
      <c r="P2109" s="247" t="s">
        <v>1408</v>
      </c>
      <c r="Q2109" s="247" t="s">
        <v>95</v>
      </c>
    </row>
    <row r="2110" spans="1:17" x14ac:dyDescent="0.25">
      <c r="A2110" s="247" t="s">
        <v>646</v>
      </c>
      <c r="B2110" s="247" t="s">
        <v>265</v>
      </c>
      <c r="C2110" s="247" t="s">
        <v>1343</v>
      </c>
      <c r="D2110" s="247" t="s">
        <v>1172</v>
      </c>
      <c r="E2110" s="247" t="s">
        <v>1302</v>
      </c>
      <c r="F2110" s="247" t="s">
        <v>2152</v>
      </c>
      <c r="G2110" s="247" t="s">
        <v>1364</v>
      </c>
      <c r="H2110" s="247" t="s">
        <v>1999</v>
      </c>
      <c r="I2110" s="247" t="s">
        <v>2153</v>
      </c>
      <c r="J2110" s="247">
        <v>91</v>
      </c>
      <c r="K2110" s="247">
        <v>90.1</v>
      </c>
      <c r="L2110" s="249" t="s">
        <v>646</v>
      </c>
      <c r="M2110" s="249" t="s">
        <v>933</v>
      </c>
      <c r="N2110" s="248">
        <v>278.43</v>
      </c>
      <c r="O2110" s="248">
        <v>3774.34</v>
      </c>
      <c r="P2110" s="247" t="s">
        <v>1409</v>
      </c>
      <c r="Q2110" s="247" t="s">
        <v>84</v>
      </c>
    </row>
    <row r="2111" spans="1:17" x14ac:dyDescent="0.25">
      <c r="A2111" s="247" t="s">
        <v>646</v>
      </c>
      <c r="B2111" s="247" t="s">
        <v>265</v>
      </c>
      <c r="C2111" s="247" t="s">
        <v>1343</v>
      </c>
      <c r="D2111" s="247" t="s">
        <v>1172</v>
      </c>
      <c r="E2111" s="247" t="s">
        <v>1302</v>
      </c>
      <c r="F2111" s="247" t="s">
        <v>2152</v>
      </c>
      <c r="G2111" s="247" t="s">
        <v>1364</v>
      </c>
      <c r="H2111" s="247" t="s">
        <v>1999</v>
      </c>
      <c r="I2111" s="247" t="s">
        <v>2153</v>
      </c>
      <c r="J2111" s="247">
        <v>91</v>
      </c>
      <c r="K2111" s="247">
        <v>90.1</v>
      </c>
      <c r="L2111" s="249" t="s">
        <v>650</v>
      </c>
      <c r="M2111" s="249" t="s">
        <v>933</v>
      </c>
      <c r="N2111" s="248">
        <v>0</v>
      </c>
      <c r="O2111" s="248">
        <v>3774.34</v>
      </c>
      <c r="P2111" s="247" t="s">
        <v>1409</v>
      </c>
      <c r="Q2111" s="247" t="s">
        <v>85</v>
      </c>
    </row>
    <row r="2112" spans="1:17" x14ac:dyDescent="0.25">
      <c r="A2112" s="247" t="s">
        <v>646</v>
      </c>
      <c r="B2112" s="247" t="s">
        <v>265</v>
      </c>
      <c r="C2112" s="247" t="s">
        <v>1343</v>
      </c>
      <c r="D2112" s="247" t="s">
        <v>1172</v>
      </c>
      <c r="E2112" s="247" t="s">
        <v>1302</v>
      </c>
      <c r="F2112" s="247" t="s">
        <v>2152</v>
      </c>
      <c r="G2112" s="247" t="s">
        <v>1364</v>
      </c>
      <c r="H2112" s="247" t="s">
        <v>1999</v>
      </c>
      <c r="I2112" s="247" t="s">
        <v>2153</v>
      </c>
      <c r="J2112" s="247">
        <v>91</v>
      </c>
      <c r="K2112" s="247">
        <v>90.1</v>
      </c>
      <c r="L2112" s="249" t="s">
        <v>652</v>
      </c>
      <c r="M2112" s="249" t="s">
        <v>933</v>
      </c>
      <c r="N2112" s="248">
        <v>320.47000000000003</v>
      </c>
      <c r="O2112" s="248">
        <v>4094.81</v>
      </c>
      <c r="P2112" s="247" t="s">
        <v>1409</v>
      </c>
      <c r="Q2112" s="247" t="s">
        <v>86</v>
      </c>
    </row>
    <row r="2113" spans="1:17" x14ac:dyDescent="0.25">
      <c r="A2113" s="247" t="s">
        <v>646</v>
      </c>
      <c r="B2113" s="247" t="s">
        <v>265</v>
      </c>
      <c r="C2113" s="247" t="s">
        <v>1343</v>
      </c>
      <c r="D2113" s="247" t="s">
        <v>1172</v>
      </c>
      <c r="E2113" s="247" t="s">
        <v>1302</v>
      </c>
      <c r="F2113" s="247" t="s">
        <v>2152</v>
      </c>
      <c r="G2113" s="247" t="s">
        <v>1364</v>
      </c>
      <c r="H2113" s="247" t="s">
        <v>1999</v>
      </c>
      <c r="I2113" s="247" t="s">
        <v>2153</v>
      </c>
      <c r="J2113" s="247">
        <v>91</v>
      </c>
      <c r="K2113" s="247">
        <v>90.1</v>
      </c>
      <c r="L2113" s="249" t="s">
        <v>789</v>
      </c>
      <c r="M2113" s="249" t="s">
        <v>929</v>
      </c>
      <c r="N2113" s="248">
        <v>199.76</v>
      </c>
      <c r="O2113" s="248">
        <v>199.76</v>
      </c>
      <c r="P2113" s="247" t="s">
        <v>1409</v>
      </c>
      <c r="Q2113" s="247" t="s">
        <v>87</v>
      </c>
    </row>
    <row r="2114" spans="1:17" x14ac:dyDescent="0.25">
      <c r="A2114" s="247" t="s">
        <v>646</v>
      </c>
      <c r="B2114" s="247" t="s">
        <v>265</v>
      </c>
      <c r="C2114" s="247" t="s">
        <v>1343</v>
      </c>
      <c r="D2114" s="247" t="s">
        <v>1172</v>
      </c>
      <c r="E2114" s="247" t="s">
        <v>1302</v>
      </c>
      <c r="F2114" s="247" t="s">
        <v>2152</v>
      </c>
      <c r="G2114" s="247" t="s">
        <v>1364</v>
      </c>
      <c r="H2114" s="247" t="s">
        <v>1999</v>
      </c>
      <c r="I2114" s="247" t="s">
        <v>2153</v>
      </c>
      <c r="J2114" s="247">
        <v>91</v>
      </c>
      <c r="K2114" s="247">
        <v>90.1</v>
      </c>
      <c r="L2114" s="249" t="s">
        <v>791</v>
      </c>
      <c r="M2114" s="249" t="s">
        <v>929</v>
      </c>
      <c r="N2114" s="248">
        <v>73.81</v>
      </c>
      <c r="O2114" s="248">
        <v>273.57</v>
      </c>
      <c r="P2114" s="247" t="s">
        <v>1409</v>
      </c>
      <c r="Q2114" s="247" t="s">
        <v>88</v>
      </c>
    </row>
    <row r="2115" spans="1:17" x14ac:dyDescent="0.25">
      <c r="A2115" s="247" t="s">
        <v>646</v>
      </c>
      <c r="B2115" s="247" t="s">
        <v>265</v>
      </c>
      <c r="C2115" s="247" t="s">
        <v>1343</v>
      </c>
      <c r="D2115" s="247" t="s">
        <v>1172</v>
      </c>
      <c r="E2115" s="247" t="s">
        <v>1302</v>
      </c>
      <c r="F2115" s="247" t="s">
        <v>2152</v>
      </c>
      <c r="G2115" s="247" t="s">
        <v>1364</v>
      </c>
      <c r="H2115" s="247" t="s">
        <v>1999</v>
      </c>
      <c r="I2115" s="247" t="s">
        <v>2153</v>
      </c>
      <c r="J2115" s="247">
        <v>91</v>
      </c>
      <c r="K2115" s="247">
        <v>90.1</v>
      </c>
      <c r="L2115" s="249" t="s">
        <v>935</v>
      </c>
      <c r="M2115" s="249" t="s">
        <v>929</v>
      </c>
      <c r="N2115" s="248">
        <v>253.43</v>
      </c>
      <c r="O2115" s="248">
        <v>527</v>
      </c>
      <c r="P2115" s="247" t="s">
        <v>1409</v>
      </c>
      <c r="Q2115" s="247" t="s">
        <v>89</v>
      </c>
    </row>
    <row r="2116" spans="1:17" x14ac:dyDescent="0.25">
      <c r="A2116" s="247" t="s">
        <v>646</v>
      </c>
      <c r="B2116" s="247" t="s">
        <v>265</v>
      </c>
      <c r="C2116" s="247" t="s">
        <v>1343</v>
      </c>
      <c r="D2116" s="247" t="s">
        <v>1172</v>
      </c>
      <c r="E2116" s="247" t="s">
        <v>1302</v>
      </c>
      <c r="F2116" s="247" t="s">
        <v>2152</v>
      </c>
      <c r="G2116" s="247" t="s">
        <v>1364</v>
      </c>
      <c r="H2116" s="247" t="s">
        <v>1999</v>
      </c>
      <c r="I2116" s="247" t="s">
        <v>2153</v>
      </c>
      <c r="J2116" s="247">
        <v>91</v>
      </c>
      <c r="K2116" s="247">
        <v>90.1</v>
      </c>
      <c r="L2116" s="249" t="s">
        <v>936</v>
      </c>
      <c r="M2116" s="249" t="s">
        <v>929</v>
      </c>
      <c r="N2116" s="248">
        <v>0</v>
      </c>
      <c r="O2116" s="248">
        <v>527</v>
      </c>
      <c r="P2116" s="247" t="s">
        <v>1409</v>
      </c>
      <c r="Q2116" s="247" t="s">
        <v>90</v>
      </c>
    </row>
    <row r="2117" spans="1:17" x14ac:dyDescent="0.25">
      <c r="A2117" s="247" t="s">
        <v>646</v>
      </c>
      <c r="B2117" s="247" t="s">
        <v>265</v>
      </c>
      <c r="C2117" s="247" t="s">
        <v>1343</v>
      </c>
      <c r="D2117" s="247" t="s">
        <v>1172</v>
      </c>
      <c r="E2117" s="247" t="s">
        <v>1302</v>
      </c>
      <c r="F2117" s="247" t="s">
        <v>2152</v>
      </c>
      <c r="G2117" s="247" t="s">
        <v>1364</v>
      </c>
      <c r="H2117" s="247" t="s">
        <v>1999</v>
      </c>
      <c r="I2117" s="247" t="s">
        <v>2153</v>
      </c>
      <c r="J2117" s="247">
        <v>91</v>
      </c>
      <c r="K2117" s="247">
        <v>90.1</v>
      </c>
      <c r="L2117" s="249" t="s">
        <v>937</v>
      </c>
      <c r="M2117" s="249" t="s">
        <v>929</v>
      </c>
      <c r="N2117" s="248">
        <v>243.47</v>
      </c>
      <c r="O2117" s="248">
        <v>770.47</v>
      </c>
      <c r="P2117" s="247" t="s">
        <v>1409</v>
      </c>
      <c r="Q2117" s="247" t="s">
        <v>91</v>
      </c>
    </row>
    <row r="2118" spans="1:17" x14ac:dyDescent="0.25">
      <c r="A2118" s="247" t="s">
        <v>646</v>
      </c>
      <c r="B2118" s="247" t="s">
        <v>265</v>
      </c>
      <c r="C2118" s="247" t="s">
        <v>1343</v>
      </c>
      <c r="D2118" s="247" t="s">
        <v>1172</v>
      </c>
      <c r="E2118" s="247" t="s">
        <v>1302</v>
      </c>
      <c r="F2118" s="247" t="s">
        <v>2152</v>
      </c>
      <c r="G2118" s="247" t="s">
        <v>1364</v>
      </c>
      <c r="H2118" s="247" t="s">
        <v>1999</v>
      </c>
      <c r="I2118" s="247" t="s">
        <v>2153</v>
      </c>
      <c r="J2118" s="247">
        <v>91</v>
      </c>
      <c r="K2118" s="247">
        <v>90.1</v>
      </c>
      <c r="L2118" s="249" t="s">
        <v>938</v>
      </c>
      <c r="M2118" s="249" t="s">
        <v>929</v>
      </c>
      <c r="N2118" s="248">
        <v>153.97999999999999</v>
      </c>
      <c r="O2118" s="248">
        <v>924.45</v>
      </c>
      <c r="P2118" s="247" t="s">
        <v>1409</v>
      </c>
      <c r="Q2118" s="247" t="s">
        <v>92</v>
      </c>
    </row>
    <row r="2119" spans="1:17" x14ac:dyDescent="0.25">
      <c r="A2119" s="247" t="s">
        <v>646</v>
      </c>
      <c r="B2119" s="247" t="s">
        <v>265</v>
      </c>
      <c r="C2119" s="247" t="s">
        <v>1343</v>
      </c>
      <c r="D2119" s="247" t="s">
        <v>1172</v>
      </c>
      <c r="E2119" s="247" t="s">
        <v>1302</v>
      </c>
      <c r="F2119" s="247" t="s">
        <v>2152</v>
      </c>
      <c r="G2119" s="247" t="s">
        <v>1364</v>
      </c>
      <c r="H2119" s="247" t="s">
        <v>1999</v>
      </c>
      <c r="I2119" s="247" t="s">
        <v>2153</v>
      </c>
      <c r="J2119" s="247">
        <v>91</v>
      </c>
      <c r="K2119" s="247">
        <v>90.1</v>
      </c>
      <c r="L2119" s="249" t="s">
        <v>939</v>
      </c>
      <c r="M2119" s="249" t="s">
        <v>929</v>
      </c>
      <c r="N2119" s="248">
        <v>448.8</v>
      </c>
      <c r="O2119" s="248">
        <v>1373.25</v>
      </c>
      <c r="P2119" s="247" t="s">
        <v>1409</v>
      </c>
      <c r="Q2119" s="247" t="s">
        <v>93</v>
      </c>
    </row>
    <row r="2120" spans="1:17" x14ac:dyDescent="0.25">
      <c r="A2120" s="247" t="s">
        <v>646</v>
      </c>
      <c r="B2120" s="247" t="s">
        <v>265</v>
      </c>
      <c r="C2120" s="247" t="s">
        <v>1343</v>
      </c>
      <c r="D2120" s="247" t="s">
        <v>1172</v>
      </c>
      <c r="E2120" s="247" t="s">
        <v>1302</v>
      </c>
      <c r="F2120" s="247" t="s">
        <v>2152</v>
      </c>
      <c r="G2120" s="247" t="s">
        <v>1364</v>
      </c>
      <c r="H2120" s="247" t="s">
        <v>1999</v>
      </c>
      <c r="I2120" s="247" t="s">
        <v>2153</v>
      </c>
      <c r="J2120" s="247">
        <v>91</v>
      </c>
      <c r="K2120" s="247">
        <v>90.1</v>
      </c>
      <c r="L2120" s="249" t="s">
        <v>940</v>
      </c>
      <c r="M2120" s="249" t="s">
        <v>929</v>
      </c>
      <c r="N2120" s="248">
        <v>309.91000000000003</v>
      </c>
      <c r="O2120" s="248">
        <v>1683.16</v>
      </c>
      <c r="P2120" s="247" t="s">
        <v>1409</v>
      </c>
      <c r="Q2120" s="247" t="s">
        <v>94</v>
      </c>
    </row>
    <row r="2121" spans="1:17" x14ac:dyDescent="0.25">
      <c r="A2121" s="247" t="s">
        <v>646</v>
      </c>
      <c r="B2121" s="247" t="s">
        <v>265</v>
      </c>
      <c r="C2121" s="247" t="s">
        <v>1343</v>
      </c>
      <c r="D2121" s="247" t="s">
        <v>1172</v>
      </c>
      <c r="E2121" s="247" t="s">
        <v>1302</v>
      </c>
      <c r="F2121" s="247" t="s">
        <v>2152</v>
      </c>
      <c r="G2121" s="247" t="s">
        <v>1364</v>
      </c>
      <c r="H2121" s="247" t="s">
        <v>1999</v>
      </c>
      <c r="I2121" s="247" t="s">
        <v>2153</v>
      </c>
      <c r="J2121" s="247">
        <v>91</v>
      </c>
      <c r="K2121" s="247">
        <v>90.1</v>
      </c>
      <c r="L2121" s="249" t="s">
        <v>642</v>
      </c>
      <c r="M2121" s="249" t="s">
        <v>929</v>
      </c>
      <c r="N2121" s="248">
        <v>329.46</v>
      </c>
      <c r="O2121" s="248">
        <v>2012.62</v>
      </c>
      <c r="P2121" s="247" t="s">
        <v>1409</v>
      </c>
      <c r="Q2121" s="247" t="s">
        <v>95</v>
      </c>
    </row>
    <row r="2122" spans="1:17" x14ac:dyDescent="0.25">
      <c r="A2122" s="247" t="s">
        <v>646</v>
      </c>
      <c r="B2122" s="247" t="s">
        <v>265</v>
      </c>
      <c r="C2122" s="247" t="s">
        <v>1343</v>
      </c>
      <c r="D2122" s="247" t="s">
        <v>926</v>
      </c>
      <c r="E2122" s="247" t="s">
        <v>1311</v>
      </c>
      <c r="F2122" s="247" t="s">
        <v>2154</v>
      </c>
      <c r="G2122" s="247" t="s">
        <v>1344</v>
      </c>
      <c r="H2122" s="247" t="s">
        <v>2010</v>
      </c>
      <c r="I2122" s="247" t="s">
        <v>2155</v>
      </c>
      <c r="J2122" s="247">
        <v>87</v>
      </c>
      <c r="K2122" s="247">
        <v>87.2</v>
      </c>
      <c r="L2122" s="249" t="s">
        <v>646</v>
      </c>
      <c r="M2122" s="249" t="s">
        <v>933</v>
      </c>
      <c r="N2122" s="248">
        <v>508.48</v>
      </c>
      <c r="O2122" s="248">
        <v>508.48</v>
      </c>
      <c r="P2122" s="247" t="s">
        <v>1410</v>
      </c>
      <c r="Q2122" s="247" t="s">
        <v>84</v>
      </c>
    </row>
    <row r="2123" spans="1:17" x14ac:dyDescent="0.25">
      <c r="A2123" s="247" t="s">
        <v>646</v>
      </c>
      <c r="B2123" s="247" t="s">
        <v>265</v>
      </c>
      <c r="C2123" s="247" t="s">
        <v>1343</v>
      </c>
      <c r="D2123" s="247" t="s">
        <v>926</v>
      </c>
      <c r="E2123" s="247" t="s">
        <v>1311</v>
      </c>
      <c r="F2123" s="247" t="s">
        <v>2154</v>
      </c>
      <c r="G2123" s="247" t="s">
        <v>1344</v>
      </c>
      <c r="H2123" s="247" t="s">
        <v>2010</v>
      </c>
      <c r="I2123" s="247" t="s">
        <v>2155</v>
      </c>
      <c r="J2123" s="247">
        <v>87</v>
      </c>
      <c r="K2123" s="247">
        <v>87.2</v>
      </c>
      <c r="L2123" s="249" t="s">
        <v>650</v>
      </c>
      <c r="M2123" s="249" t="s">
        <v>933</v>
      </c>
      <c r="N2123" s="248">
        <v>367.24</v>
      </c>
      <c r="O2123" s="248">
        <v>875.72</v>
      </c>
      <c r="P2123" s="247" t="s">
        <v>1410</v>
      </c>
      <c r="Q2123" s="247" t="s">
        <v>85</v>
      </c>
    </row>
    <row r="2124" spans="1:17" x14ac:dyDescent="0.25">
      <c r="A2124" s="247" t="s">
        <v>646</v>
      </c>
      <c r="B2124" s="247" t="s">
        <v>265</v>
      </c>
      <c r="C2124" s="247" t="s">
        <v>1343</v>
      </c>
      <c r="D2124" s="247" t="s">
        <v>926</v>
      </c>
      <c r="E2124" s="247" t="s">
        <v>1311</v>
      </c>
      <c r="F2124" s="247" t="s">
        <v>2154</v>
      </c>
      <c r="G2124" s="247" t="s">
        <v>1344</v>
      </c>
      <c r="H2124" s="247" t="s">
        <v>2010</v>
      </c>
      <c r="I2124" s="247" t="s">
        <v>2155</v>
      </c>
      <c r="J2124" s="247">
        <v>87</v>
      </c>
      <c r="K2124" s="247">
        <v>87.2</v>
      </c>
      <c r="L2124" s="249" t="s">
        <v>652</v>
      </c>
      <c r="M2124" s="249" t="s">
        <v>933</v>
      </c>
      <c r="N2124" s="248">
        <v>1092.71</v>
      </c>
      <c r="O2124" s="248">
        <v>1968.43</v>
      </c>
      <c r="P2124" s="247" t="s">
        <v>1410</v>
      </c>
      <c r="Q2124" s="247" t="s">
        <v>86</v>
      </c>
    </row>
    <row r="2125" spans="1:17" x14ac:dyDescent="0.25">
      <c r="A2125" s="247" t="s">
        <v>646</v>
      </c>
      <c r="B2125" s="247" t="s">
        <v>265</v>
      </c>
      <c r="C2125" s="247" t="s">
        <v>1343</v>
      </c>
      <c r="D2125" s="247" t="s">
        <v>926</v>
      </c>
      <c r="E2125" s="247" t="s">
        <v>1311</v>
      </c>
      <c r="F2125" s="247" t="s">
        <v>2154</v>
      </c>
      <c r="G2125" s="247" t="s">
        <v>1344</v>
      </c>
      <c r="H2125" s="247" t="s">
        <v>2010</v>
      </c>
      <c r="I2125" s="247" t="s">
        <v>2155</v>
      </c>
      <c r="J2125" s="247">
        <v>87</v>
      </c>
      <c r="K2125" s="247">
        <v>87.2</v>
      </c>
      <c r="L2125" s="249" t="s">
        <v>789</v>
      </c>
      <c r="M2125" s="249" t="s">
        <v>929</v>
      </c>
      <c r="N2125" s="248">
        <v>557.55999999999995</v>
      </c>
      <c r="O2125" s="248">
        <v>557.55999999999995</v>
      </c>
      <c r="P2125" s="247" t="s">
        <v>1410</v>
      </c>
      <c r="Q2125" s="247" t="s">
        <v>87</v>
      </c>
    </row>
    <row r="2126" spans="1:17" x14ac:dyDescent="0.25">
      <c r="A2126" s="247" t="s">
        <v>646</v>
      </c>
      <c r="B2126" s="247" t="s">
        <v>265</v>
      </c>
      <c r="C2126" s="247" t="s">
        <v>1343</v>
      </c>
      <c r="D2126" s="247" t="s">
        <v>926</v>
      </c>
      <c r="E2126" s="247" t="s">
        <v>1311</v>
      </c>
      <c r="F2126" s="247" t="s">
        <v>2154</v>
      </c>
      <c r="G2126" s="247" t="s">
        <v>1344</v>
      </c>
      <c r="H2126" s="247" t="s">
        <v>2010</v>
      </c>
      <c r="I2126" s="247" t="s">
        <v>2155</v>
      </c>
      <c r="J2126" s="247">
        <v>87</v>
      </c>
      <c r="K2126" s="247">
        <v>87.2</v>
      </c>
      <c r="L2126" s="249" t="s">
        <v>791</v>
      </c>
      <c r="M2126" s="249" t="s">
        <v>929</v>
      </c>
      <c r="N2126" s="248">
        <v>557.55999999999995</v>
      </c>
      <c r="O2126" s="248">
        <v>1115.1199999999999</v>
      </c>
      <c r="P2126" s="247" t="s">
        <v>1410</v>
      </c>
      <c r="Q2126" s="247" t="s">
        <v>88</v>
      </c>
    </row>
    <row r="2127" spans="1:17" x14ac:dyDescent="0.25">
      <c r="A2127" s="247" t="s">
        <v>646</v>
      </c>
      <c r="B2127" s="247" t="s">
        <v>265</v>
      </c>
      <c r="C2127" s="247" t="s">
        <v>1343</v>
      </c>
      <c r="D2127" s="247" t="s">
        <v>926</v>
      </c>
      <c r="E2127" s="247" t="s">
        <v>1311</v>
      </c>
      <c r="F2127" s="247" t="s">
        <v>2154</v>
      </c>
      <c r="G2127" s="247" t="s">
        <v>1344</v>
      </c>
      <c r="H2127" s="247" t="s">
        <v>2010</v>
      </c>
      <c r="I2127" s="247" t="s">
        <v>2155</v>
      </c>
      <c r="J2127" s="247">
        <v>87</v>
      </c>
      <c r="K2127" s="247">
        <v>87.2</v>
      </c>
      <c r="L2127" s="249" t="s">
        <v>935</v>
      </c>
      <c r="M2127" s="249" t="s">
        <v>929</v>
      </c>
      <c r="N2127" s="248">
        <v>557.55999999999995</v>
      </c>
      <c r="O2127" s="248">
        <v>1672.68</v>
      </c>
      <c r="P2127" s="247" t="s">
        <v>1410</v>
      </c>
      <c r="Q2127" s="247" t="s">
        <v>89</v>
      </c>
    </row>
    <row r="2128" spans="1:17" x14ac:dyDescent="0.25">
      <c r="A2128" s="247" t="s">
        <v>646</v>
      </c>
      <c r="B2128" s="247" t="s">
        <v>265</v>
      </c>
      <c r="C2128" s="247" t="s">
        <v>1343</v>
      </c>
      <c r="D2128" s="247" t="s">
        <v>926</v>
      </c>
      <c r="E2128" s="247" t="s">
        <v>1311</v>
      </c>
      <c r="F2128" s="247" t="s">
        <v>2154</v>
      </c>
      <c r="G2128" s="247" t="s">
        <v>1344</v>
      </c>
      <c r="H2128" s="247" t="s">
        <v>2010</v>
      </c>
      <c r="I2128" s="247" t="s">
        <v>2155</v>
      </c>
      <c r="J2128" s="247">
        <v>87</v>
      </c>
      <c r="K2128" s="247">
        <v>87.2</v>
      </c>
      <c r="L2128" s="249" t="s">
        <v>936</v>
      </c>
      <c r="M2128" s="249" t="s">
        <v>929</v>
      </c>
      <c r="N2128" s="248">
        <v>557.55999999999995</v>
      </c>
      <c r="O2128" s="248">
        <v>2230.2399999999998</v>
      </c>
      <c r="P2128" s="247" t="s">
        <v>1410</v>
      </c>
      <c r="Q2128" s="247" t="s">
        <v>90</v>
      </c>
    </row>
    <row r="2129" spans="1:17" x14ac:dyDescent="0.25">
      <c r="A2129" s="247" t="s">
        <v>646</v>
      </c>
      <c r="B2129" s="247" t="s">
        <v>265</v>
      </c>
      <c r="C2129" s="247" t="s">
        <v>1343</v>
      </c>
      <c r="D2129" s="247" t="s">
        <v>926</v>
      </c>
      <c r="E2129" s="247" t="s">
        <v>1311</v>
      </c>
      <c r="F2129" s="247" t="s">
        <v>2154</v>
      </c>
      <c r="G2129" s="247" t="s">
        <v>1344</v>
      </c>
      <c r="H2129" s="247" t="s">
        <v>2010</v>
      </c>
      <c r="I2129" s="247" t="s">
        <v>2155</v>
      </c>
      <c r="J2129" s="247">
        <v>87</v>
      </c>
      <c r="K2129" s="247">
        <v>87.2</v>
      </c>
      <c r="L2129" s="249" t="s">
        <v>937</v>
      </c>
      <c r="M2129" s="249" t="s">
        <v>929</v>
      </c>
      <c r="N2129" s="248">
        <v>557.55999999999995</v>
      </c>
      <c r="O2129" s="248">
        <v>2787.8</v>
      </c>
      <c r="P2129" s="247" t="s">
        <v>1410</v>
      </c>
      <c r="Q2129" s="247" t="s">
        <v>91</v>
      </c>
    </row>
    <row r="2130" spans="1:17" x14ac:dyDescent="0.25">
      <c r="A2130" s="247" t="s">
        <v>646</v>
      </c>
      <c r="B2130" s="247" t="s">
        <v>265</v>
      </c>
      <c r="C2130" s="247" t="s">
        <v>1343</v>
      </c>
      <c r="D2130" s="247" t="s">
        <v>926</v>
      </c>
      <c r="E2130" s="247" t="s">
        <v>1311</v>
      </c>
      <c r="F2130" s="247" t="s">
        <v>2154</v>
      </c>
      <c r="G2130" s="247" t="s">
        <v>1344</v>
      </c>
      <c r="H2130" s="247" t="s">
        <v>2010</v>
      </c>
      <c r="I2130" s="247" t="s">
        <v>2155</v>
      </c>
      <c r="J2130" s="247">
        <v>87</v>
      </c>
      <c r="K2130" s="247">
        <v>87.2</v>
      </c>
      <c r="L2130" s="249" t="s">
        <v>938</v>
      </c>
      <c r="M2130" s="249" t="s">
        <v>929</v>
      </c>
      <c r="N2130" s="248">
        <v>557.55999999999995</v>
      </c>
      <c r="O2130" s="248">
        <v>3345.36</v>
      </c>
      <c r="P2130" s="247" t="s">
        <v>1410</v>
      </c>
      <c r="Q2130" s="247" t="s">
        <v>92</v>
      </c>
    </row>
    <row r="2131" spans="1:17" x14ac:dyDescent="0.25">
      <c r="A2131" s="247" t="s">
        <v>646</v>
      </c>
      <c r="B2131" s="247" t="s">
        <v>265</v>
      </c>
      <c r="C2131" s="247" t="s">
        <v>1343</v>
      </c>
      <c r="D2131" s="247" t="s">
        <v>926</v>
      </c>
      <c r="E2131" s="247" t="s">
        <v>1311</v>
      </c>
      <c r="F2131" s="247" t="s">
        <v>2154</v>
      </c>
      <c r="G2131" s="247" t="s">
        <v>1344</v>
      </c>
      <c r="H2131" s="247" t="s">
        <v>2010</v>
      </c>
      <c r="I2131" s="247" t="s">
        <v>2155</v>
      </c>
      <c r="J2131" s="247">
        <v>87</v>
      </c>
      <c r="K2131" s="247">
        <v>87.2</v>
      </c>
      <c r="L2131" s="249" t="s">
        <v>939</v>
      </c>
      <c r="M2131" s="249" t="s">
        <v>929</v>
      </c>
      <c r="N2131" s="248">
        <v>557.55999999999995</v>
      </c>
      <c r="O2131" s="248">
        <v>3902.92</v>
      </c>
      <c r="P2131" s="247" t="s">
        <v>1410</v>
      </c>
      <c r="Q2131" s="247" t="s">
        <v>93</v>
      </c>
    </row>
    <row r="2132" spans="1:17" x14ac:dyDescent="0.25">
      <c r="A2132" s="247" t="s">
        <v>646</v>
      </c>
      <c r="B2132" s="247" t="s">
        <v>265</v>
      </c>
      <c r="C2132" s="247" t="s">
        <v>1343</v>
      </c>
      <c r="D2132" s="247" t="s">
        <v>926</v>
      </c>
      <c r="E2132" s="247" t="s">
        <v>1311</v>
      </c>
      <c r="F2132" s="247" t="s">
        <v>2154</v>
      </c>
      <c r="G2132" s="247" t="s">
        <v>1344</v>
      </c>
      <c r="H2132" s="247" t="s">
        <v>2010</v>
      </c>
      <c r="I2132" s="247" t="s">
        <v>2155</v>
      </c>
      <c r="J2132" s="247">
        <v>87</v>
      </c>
      <c r="K2132" s="247">
        <v>87.2</v>
      </c>
      <c r="L2132" s="249" t="s">
        <v>940</v>
      </c>
      <c r="M2132" s="249" t="s">
        <v>929</v>
      </c>
      <c r="N2132" s="248">
        <v>557.55999999999995</v>
      </c>
      <c r="O2132" s="248">
        <v>4460.4799999999996</v>
      </c>
      <c r="P2132" s="247" t="s">
        <v>1410</v>
      </c>
      <c r="Q2132" s="247" t="s">
        <v>94</v>
      </c>
    </row>
    <row r="2133" spans="1:17" x14ac:dyDescent="0.25">
      <c r="A2133" s="247" t="s">
        <v>646</v>
      </c>
      <c r="B2133" s="247" t="s">
        <v>265</v>
      </c>
      <c r="C2133" s="247" t="s">
        <v>1343</v>
      </c>
      <c r="D2133" s="247" t="s">
        <v>926</v>
      </c>
      <c r="E2133" s="247" t="s">
        <v>1311</v>
      </c>
      <c r="F2133" s="247" t="s">
        <v>2154</v>
      </c>
      <c r="G2133" s="247" t="s">
        <v>1344</v>
      </c>
      <c r="H2133" s="247" t="s">
        <v>2010</v>
      </c>
      <c r="I2133" s="247" t="s">
        <v>2155</v>
      </c>
      <c r="J2133" s="247">
        <v>87</v>
      </c>
      <c r="K2133" s="247">
        <v>87.2</v>
      </c>
      <c r="L2133" s="249" t="s">
        <v>642</v>
      </c>
      <c r="M2133" s="249" t="s">
        <v>929</v>
      </c>
      <c r="N2133" s="248">
        <v>557.55999999999995</v>
      </c>
      <c r="O2133" s="248">
        <v>5018.04</v>
      </c>
      <c r="P2133" s="247" t="s">
        <v>1410</v>
      </c>
      <c r="Q2133" s="247" t="s">
        <v>95</v>
      </c>
    </row>
    <row r="2134" spans="1:17" x14ac:dyDescent="0.25">
      <c r="A2134" s="247" t="s">
        <v>646</v>
      </c>
      <c r="B2134" s="247" t="s">
        <v>265</v>
      </c>
      <c r="C2134" s="247" t="s">
        <v>1343</v>
      </c>
      <c r="D2134" s="247" t="s">
        <v>711</v>
      </c>
      <c r="E2134" s="247" t="s">
        <v>1311</v>
      </c>
      <c r="F2134" s="247" t="s">
        <v>2156</v>
      </c>
      <c r="G2134" s="247" t="s">
        <v>1346</v>
      </c>
      <c r="H2134" s="247" t="s">
        <v>2010</v>
      </c>
      <c r="I2134" s="247" t="s">
        <v>2157</v>
      </c>
      <c r="J2134" s="247">
        <v>89</v>
      </c>
      <c r="K2134" s="247">
        <v>89.2</v>
      </c>
      <c r="L2134" s="249" t="s">
        <v>646</v>
      </c>
      <c r="M2134" s="249" t="s">
        <v>933</v>
      </c>
      <c r="N2134" s="248">
        <v>276.86</v>
      </c>
      <c r="O2134" s="248">
        <v>276.86</v>
      </c>
      <c r="P2134" s="247" t="s">
        <v>1411</v>
      </c>
      <c r="Q2134" s="247" t="s">
        <v>84</v>
      </c>
    </row>
    <row r="2135" spans="1:17" x14ac:dyDescent="0.25">
      <c r="A2135" s="247" t="s">
        <v>646</v>
      </c>
      <c r="B2135" s="247" t="s">
        <v>265</v>
      </c>
      <c r="C2135" s="247" t="s">
        <v>1343</v>
      </c>
      <c r="D2135" s="247" t="s">
        <v>711</v>
      </c>
      <c r="E2135" s="247" t="s">
        <v>1311</v>
      </c>
      <c r="F2135" s="247" t="s">
        <v>2156</v>
      </c>
      <c r="G2135" s="247" t="s">
        <v>1346</v>
      </c>
      <c r="H2135" s="247" t="s">
        <v>2010</v>
      </c>
      <c r="I2135" s="247" t="s">
        <v>2157</v>
      </c>
      <c r="J2135" s="247">
        <v>89</v>
      </c>
      <c r="K2135" s="247">
        <v>89.2</v>
      </c>
      <c r="L2135" s="249" t="s">
        <v>650</v>
      </c>
      <c r="M2135" s="249" t="s">
        <v>933</v>
      </c>
      <c r="N2135" s="248">
        <v>144.4</v>
      </c>
      <c r="O2135" s="248">
        <v>421.26</v>
      </c>
      <c r="P2135" s="247" t="s">
        <v>1411</v>
      </c>
      <c r="Q2135" s="247" t="s">
        <v>85</v>
      </c>
    </row>
    <row r="2136" spans="1:17" x14ac:dyDescent="0.25">
      <c r="A2136" s="247" t="s">
        <v>646</v>
      </c>
      <c r="B2136" s="247" t="s">
        <v>265</v>
      </c>
      <c r="C2136" s="247" t="s">
        <v>1343</v>
      </c>
      <c r="D2136" s="247" t="s">
        <v>711</v>
      </c>
      <c r="E2136" s="247" t="s">
        <v>1311</v>
      </c>
      <c r="F2136" s="247" t="s">
        <v>2156</v>
      </c>
      <c r="G2136" s="247" t="s">
        <v>1346</v>
      </c>
      <c r="H2136" s="247" t="s">
        <v>2010</v>
      </c>
      <c r="I2136" s="247" t="s">
        <v>2157</v>
      </c>
      <c r="J2136" s="247">
        <v>89</v>
      </c>
      <c r="K2136" s="247">
        <v>89.2</v>
      </c>
      <c r="L2136" s="249" t="s">
        <v>652</v>
      </c>
      <c r="M2136" s="249" t="s">
        <v>933</v>
      </c>
      <c r="N2136" s="248">
        <v>174.5</v>
      </c>
      <c r="O2136" s="248">
        <v>595.76</v>
      </c>
      <c r="P2136" s="247" t="s">
        <v>1411</v>
      </c>
      <c r="Q2136" s="247" t="s">
        <v>86</v>
      </c>
    </row>
    <row r="2137" spans="1:17" x14ac:dyDescent="0.25">
      <c r="A2137" s="247" t="s">
        <v>646</v>
      </c>
      <c r="B2137" s="247" t="s">
        <v>265</v>
      </c>
      <c r="C2137" s="247" t="s">
        <v>1343</v>
      </c>
      <c r="D2137" s="247" t="s">
        <v>711</v>
      </c>
      <c r="E2137" s="247" t="s">
        <v>1311</v>
      </c>
      <c r="F2137" s="247" t="s">
        <v>2156</v>
      </c>
      <c r="G2137" s="247" t="s">
        <v>1346</v>
      </c>
      <c r="H2137" s="247" t="s">
        <v>2010</v>
      </c>
      <c r="I2137" s="247" t="s">
        <v>2157</v>
      </c>
      <c r="J2137" s="247">
        <v>89</v>
      </c>
      <c r="K2137" s="247">
        <v>89.2</v>
      </c>
      <c r="L2137" s="249" t="s">
        <v>789</v>
      </c>
      <c r="M2137" s="249" t="s">
        <v>929</v>
      </c>
      <c r="N2137" s="248">
        <v>180.45</v>
      </c>
      <c r="O2137" s="248">
        <v>180.45</v>
      </c>
      <c r="P2137" s="247" t="s">
        <v>1411</v>
      </c>
      <c r="Q2137" s="247" t="s">
        <v>87</v>
      </c>
    </row>
    <row r="2138" spans="1:17" x14ac:dyDescent="0.25">
      <c r="A2138" s="247" t="s">
        <v>646</v>
      </c>
      <c r="B2138" s="247" t="s">
        <v>265</v>
      </c>
      <c r="C2138" s="247" t="s">
        <v>1343</v>
      </c>
      <c r="D2138" s="247" t="s">
        <v>711</v>
      </c>
      <c r="E2138" s="247" t="s">
        <v>1311</v>
      </c>
      <c r="F2138" s="247" t="s">
        <v>2156</v>
      </c>
      <c r="G2138" s="247" t="s">
        <v>1346</v>
      </c>
      <c r="H2138" s="247" t="s">
        <v>2010</v>
      </c>
      <c r="I2138" s="247" t="s">
        <v>2157</v>
      </c>
      <c r="J2138" s="247">
        <v>89</v>
      </c>
      <c r="K2138" s="247">
        <v>89.2</v>
      </c>
      <c r="L2138" s="249" t="s">
        <v>791</v>
      </c>
      <c r="M2138" s="249" t="s">
        <v>929</v>
      </c>
      <c r="N2138" s="248">
        <v>187.54</v>
      </c>
      <c r="O2138" s="248">
        <v>367.99</v>
      </c>
      <c r="P2138" s="247" t="s">
        <v>1411</v>
      </c>
      <c r="Q2138" s="247" t="s">
        <v>88</v>
      </c>
    </row>
    <row r="2139" spans="1:17" x14ac:dyDescent="0.25">
      <c r="A2139" s="247" t="s">
        <v>646</v>
      </c>
      <c r="B2139" s="247" t="s">
        <v>265</v>
      </c>
      <c r="C2139" s="247" t="s">
        <v>1343</v>
      </c>
      <c r="D2139" s="247" t="s">
        <v>711</v>
      </c>
      <c r="E2139" s="247" t="s">
        <v>1311</v>
      </c>
      <c r="F2139" s="247" t="s">
        <v>2156</v>
      </c>
      <c r="G2139" s="247" t="s">
        <v>1346</v>
      </c>
      <c r="H2139" s="247" t="s">
        <v>2010</v>
      </c>
      <c r="I2139" s="247" t="s">
        <v>2157</v>
      </c>
      <c r="J2139" s="247">
        <v>89</v>
      </c>
      <c r="K2139" s="247">
        <v>89.2</v>
      </c>
      <c r="L2139" s="249" t="s">
        <v>935</v>
      </c>
      <c r="M2139" s="249" t="s">
        <v>929</v>
      </c>
      <c r="N2139" s="248">
        <v>178.88</v>
      </c>
      <c r="O2139" s="248">
        <v>546.87</v>
      </c>
      <c r="P2139" s="247" t="s">
        <v>1411</v>
      </c>
      <c r="Q2139" s="247" t="s">
        <v>89</v>
      </c>
    </row>
    <row r="2140" spans="1:17" x14ac:dyDescent="0.25">
      <c r="A2140" s="247" t="s">
        <v>646</v>
      </c>
      <c r="B2140" s="247" t="s">
        <v>265</v>
      </c>
      <c r="C2140" s="247" t="s">
        <v>1343</v>
      </c>
      <c r="D2140" s="247" t="s">
        <v>711</v>
      </c>
      <c r="E2140" s="247" t="s">
        <v>1311</v>
      </c>
      <c r="F2140" s="247" t="s">
        <v>2156</v>
      </c>
      <c r="G2140" s="247" t="s">
        <v>1346</v>
      </c>
      <c r="H2140" s="247" t="s">
        <v>2010</v>
      </c>
      <c r="I2140" s="247" t="s">
        <v>2157</v>
      </c>
      <c r="J2140" s="247">
        <v>89</v>
      </c>
      <c r="K2140" s="247">
        <v>89.2</v>
      </c>
      <c r="L2140" s="249" t="s">
        <v>936</v>
      </c>
      <c r="M2140" s="249" t="s">
        <v>929</v>
      </c>
      <c r="N2140" s="248">
        <v>263.27</v>
      </c>
      <c r="O2140" s="248">
        <v>810.14</v>
      </c>
      <c r="P2140" s="247" t="s">
        <v>1411</v>
      </c>
      <c r="Q2140" s="247" t="s">
        <v>90</v>
      </c>
    </row>
    <row r="2141" spans="1:17" x14ac:dyDescent="0.25">
      <c r="A2141" s="247" t="s">
        <v>646</v>
      </c>
      <c r="B2141" s="247" t="s">
        <v>265</v>
      </c>
      <c r="C2141" s="247" t="s">
        <v>1343</v>
      </c>
      <c r="D2141" s="247" t="s">
        <v>711</v>
      </c>
      <c r="E2141" s="247" t="s">
        <v>1311</v>
      </c>
      <c r="F2141" s="247" t="s">
        <v>2156</v>
      </c>
      <c r="G2141" s="247" t="s">
        <v>1346</v>
      </c>
      <c r="H2141" s="247" t="s">
        <v>2010</v>
      </c>
      <c r="I2141" s="247" t="s">
        <v>2157</v>
      </c>
      <c r="J2141" s="247">
        <v>89</v>
      </c>
      <c r="K2141" s="247">
        <v>89.2</v>
      </c>
      <c r="L2141" s="249" t="s">
        <v>937</v>
      </c>
      <c r="M2141" s="249" t="s">
        <v>929</v>
      </c>
      <c r="N2141" s="248">
        <v>172.76</v>
      </c>
      <c r="O2141" s="248">
        <v>982.9</v>
      </c>
      <c r="P2141" s="247" t="s">
        <v>1411</v>
      </c>
      <c r="Q2141" s="247" t="s">
        <v>91</v>
      </c>
    </row>
    <row r="2142" spans="1:17" x14ac:dyDescent="0.25">
      <c r="A2142" s="247" t="s">
        <v>646</v>
      </c>
      <c r="B2142" s="247" t="s">
        <v>265</v>
      </c>
      <c r="C2142" s="247" t="s">
        <v>1343</v>
      </c>
      <c r="D2142" s="247" t="s">
        <v>711</v>
      </c>
      <c r="E2142" s="247" t="s">
        <v>1311</v>
      </c>
      <c r="F2142" s="247" t="s">
        <v>2156</v>
      </c>
      <c r="G2142" s="247" t="s">
        <v>1346</v>
      </c>
      <c r="H2142" s="247" t="s">
        <v>2010</v>
      </c>
      <c r="I2142" s="247" t="s">
        <v>2157</v>
      </c>
      <c r="J2142" s="247">
        <v>89</v>
      </c>
      <c r="K2142" s="247">
        <v>89.2</v>
      </c>
      <c r="L2142" s="249" t="s">
        <v>938</v>
      </c>
      <c r="M2142" s="249" t="s">
        <v>929</v>
      </c>
      <c r="N2142" s="248">
        <v>187.23</v>
      </c>
      <c r="O2142" s="248">
        <v>1170.1300000000001</v>
      </c>
      <c r="P2142" s="247" t="s">
        <v>1411</v>
      </c>
      <c r="Q2142" s="247" t="s">
        <v>92</v>
      </c>
    </row>
    <row r="2143" spans="1:17" x14ac:dyDescent="0.25">
      <c r="A2143" s="247" t="s">
        <v>646</v>
      </c>
      <c r="B2143" s="247" t="s">
        <v>265</v>
      </c>
      <c r="C2143" s="247" t="s">
        <v>1343</v>
      </c>
      <c r="D2143" s="247" t="s">
        <v>711</v>
      </c>
      <c r="E2143" s="247" t="s">
        <v>1311</v>
      </c>
      <c r="F2143" s="247" t="s">
        <v>2156</v>
      </c>
      <c r="G2143" s="247" t="s">
        <v>1346</v>
      </c>
      <c r="H2143" s="247" t="s">
        <v>2010</v>
      </c>
      <c r="I2143" s="247" t="s">
        <v>2157</v>
      </c>
      <c r="J2143" s="247">
        <v>89</v>
      </c>
      <c r="K2143" s="247">
        <v>89.2</v>
      </c>
      <c r="L2143" s="249" t="s">
        <v>939</v>
      </c>
      <c r="M2143" s="249" t="s">
        <v>929</v>
      </c>
      <c r="N2143" s="248">
        <v>166.06</v>
      </c>
      <c r="O2143" s="248">
        <v>1336.19</v>
      </c>
      <c r="P2143" s="247" t="s">
        <v>1411</v>
      </c>
      <c r="Q2143" s="247" t="s">
        <v>93</v>
      </c>
    </row>
    <row r="2144" spans="1:17" x14ac:dyDescent="0.25">
      <c r="A2144" s="247" t="s">
        <v>646</v>
      </c>
      <c r="B2144" s="247" t="s">
        <v>265</v>
      </c>
      <c r="C2144" s="247" t="s">
        <v>1343</v>
      </c>
      <c r="D2144" s="247" t="s">
        <v>711</v>
      </c>
      <c r="E2144" s="247" t="s">
        <v>1311</v>
      </c>
      <c r="F2144" s="247" t="s">
        <v>2156</v>
      </c>
      <c r="G2144" s="247" t="s">
        <v>1346</v>
      </c>
      <c r="H2144" s="247" t="s">
        <v>2010</v>
      </c>
      <c r="I2144" s="247" t="s">
        <v>2157</v>
      </c>
      <c r="J2144" s="247">
        <v>89</v>
      </c>
      <c r="K2144" s="247">
        <v>89.2</v>
      </c>
      <c r="L2144" s="249" t="s">
        <v>940</v>
      </c>
      <c r="M2144" s="249" t="s">
        <v>929</v>
      </c>
      <c r="N2144" s="248">
        <v>187</v>
      </c>
      <c r="O2144" s="248">
        <v>1523.19</v>
      </c>
      <c r="P2144" s="247" t="s">
        <v>1411</v>
      </c>
      <c r="Q2144" s="247" t="s">
        <v>94</v>
      </c>
    </row>
    <row r="2145" spans="1:17" x14ac:dyDescent="0.25">
      <c r="A2145" s="247" t="s">
        <v>646</v>
      </c>
      <c r="B2145" s="247" t="s">
        <v>265</v>
      </c>
      <c r="C2145" s="247" t="s">
        <v>1343</v>
      </c>
      <c r="D2145" s="247" t="s">
        <v>711</v>
      </c>
      <c r="E2145" s="247" t="s">
        <v>1311</v>
      </c>
      <c r="F2145" s="247" t="s">
        <v>2156</v>
      </c>
      <c r="G2145" s="247" t="s">
        <v>1346</v>
      </c>
      <c r="H2145" s="247" t="s">
        <v>2010</v>
      </c>
      <c r="I2145" s="247" t="s">
        <v>2157</v>
      </c>
      <c r="J2145" s="247">
        <v>89</v>
      </c>
      <c r="K2145" s="247">
        <v>89.2</v>
      </c>
      <c r="L2145" s="249" t="s">
        <v>642</v>
      </c>
      <c r="M2145" s="249" t="s">
        <v>929</v>
      </c>
      <c r="N2145" s="248">
        <v>279.44</v>
      </c>
      <c r="O2145" s="248">
        <v>1802.63</v>
      </c>
      <c r="P2145" s="247" t="s">
        <v>1411</v>
      </c>
      <c r="Q2145" s="247" t="s">
        <v>95</v>
      </c>
    </row>
    <row r="2146" spans="1:17" x14ac:dyDescent="0.25">
      <c r="A2146" s="247" t="s">
        <v>646</v>
      </c>
      <c r="B2146" s="247" t="s">
        <v>265</v>
      </c>
      <c r="C2146" s="247" t="s">
        <v>1343</v>
      </c>
      <c r="D2146" s="247" t="s">
        <v>755</v>
      </c>
      <c r="E2146" s="247" t="s">
        <v>1311</v>
      </c>
      <c r="F2146" s="247" t="s">
        <v>2158</v>
      </c>
      <c r="G2146" s="247" t="s">
        <v>1388</v>
      </c>
      <c r="H2146" s="247" t="s">
        <v>2010</v>
      </c>
      <c r="I2146" s="247" t="s">
        <v>2159</v>
      </c>
      <c r="J2146" s="247">
        <v>89</v>
      </c>
      <c r="K2146" s="247">
        <v>89.2</v>
      </c>
      <c r="L2146" s="249" t="s">
        <v>646</v>
      </c>
      <c r="M2146" s="249" t="s">
        <v>933</v>
      </c>
      <c r="N2146" s="248">
        <v>21.5</v>
      </c>
      <c r="O2146" s="248">
        <v>21.5</v>
      </c>
      <c r="P2146" s="247" t="s">
        <v>1412</v>
      </c>
      <c r="Q2146" s="247" t="s">
        <v>84</v>
      </c>
    </row>
    <row r="2147" spans="1:17" x14ac:dyDescent="0.25">
      <c r="A2147" s="247" t="s">
        <v>646</v>
      </c>
      <c r="B2147" s="247" t="s">
        <v>265</v>
      </c>
      <c r="C2147" s="247" t="s">
        <v>1343</v>
      </c>
      <c r="D2147" s="247" t="s">
        <v>755</v>
      </c>
      <c r="E2147" s="247" t="s">
        <v>1311</v>
      </c>
      <c r="F2147" s="247" t="s">
        <v>2158</v>
      </c>
      <c r="G2147" s="247" t="s">
        <v>1388</v>
      </c>
      <c r="H2147" s="247" t="s">
        <v>2010</v>
      </c>
      <c r="I2147" s="247" t="s">
        <v>2159</v>
      </c>
      <c r="J2147" s="247">
        <v>89</v>
      </c>
      <c r="K2147" s="247">
        <v>89.2</v>
      </c>
      <c r="L2147" s="249" t="s">
        <v>650</v>
      </c>
      <c r="M2147" s="249" t="s">
        <v>933</v>
      </c>
      <c r="N2147" s="248">
        <v>21.5</v>
      </c>
      <c r="O2147" s="248">
        <v>43</v>
      </c>
      <c r="P2147" s="247" t="s">
        <v>1412</v>
      </c>
      <c r="Q2147" s="247" t="s">
        <v>85</v>
      </c>
    </row>
    <row r="2148" spans="1:17" x14ac:dyDescent="0.25">
      <c r="A2148" s="247" t="s">
        <v>646</v>
      </c>
      <c r="B2148" s="247" t="s">
        <v>265</v>
      </c>
      <c r="C2148" s="247" t="s">
        <v>1343</v>
      </c>
      <c r="D2148" s="247" t="s">
        <v>755</v>
      </c>
      <c r="E2148" s="247" t="s">
        <v>1311</v>
      </c>
      <c r="F2148" s="247" t="s">
        <v>2158</v>
      </c>
      <c r="G2148" s="247" t="s">
        <v>1388</v>
      </c>
      <c r="H2148" s="247" t="s">
        <v>2010</v>
      </c>
      <c r="I2148" s="247" t="s">
        <v>2159</v>
      </c>
      <c r="J2148" s="247">
        <v>89</v>
      </c>
      <c r="K2148" s="247">
        <v>89.2</v>
      </c>
      <c r="L2148" s="249" t="s">
        <v>652</v>
      </c>
      <c r="M2148" s="249" t="s">
        <v>933</v>
      </c>
      <c r="N2148" s="248">
        <v>21.5</v>
      </c>
      <c r="O2148" s="248">
        <v>64.5</v>
      </c>
      <c r="P2148" s="247" t="s">
        <v>1412</v>
      </c>
      <c r="Q2148" s="247" t="s">
        <v>86</v>
      </c>
    </row>
    <row r="2149" spans="1:17" x14ac:dyDescent="0.25">
      <c r="A2149" s="247" t="s">
        <v>646</v>
      </c>
      <c r="B2149" s="247" t="s">
        <v>265</v>
      </c>
      <c r="C2149" s="247" t="s">
        <v>1343</v>
      </c>
      <c r="D2149" s="247" t="s">
        <v>755</v>
      </c>
      <c r="E2149" s="247" t="s">
        <v>1311</v>
      </c>
      <c r="F2149" s="247" t="s">
        <v>2158</v>
      </c>
      <c r="G2149" s="247" t="s">
        <v>1388</v>
      </c>
      <c r="H2149" s="247" t="s">
        <v>2010</v>
      </c>
      <c r="I2149" s="247" t="s">
        <v>2159</v>
      </c>
      <c r="J2149" s="247">
        <v>89</v>
      </c>
      <c r="K2149" s="247">
        <v>89.2</v>
      </c>
      <c r="L2149" s="249" t="s">
        <v>789</v>
      </c>
      <c r="M2149" s="249" t="s">
        <v>929</v>
      </c>
      <c r="N2149" s="248">
        <v>21.5</v>
      </c>
      <c r="O2149" s="248">
        <v>21.5</v>
      </c>
      <c r="P2149" s="247" t="s">
        <v>1412</v>
      </c>
      <c r="Q2149" s="247" t="s">
        <v>87</v>
      </c>
    </row>
    <row r="2150" spans="1:17" x14ac:dyDescent="0.25">
      <c r="A2150" s="247" t="s">
        <v>646</v>
      </c>
      <c r="B2150" s="247" t="s">
        <v>265</v>
      </c>
      <c r="C2150" s="247" t="s">
        <v>1343</v>
      </c>
      <c r="D2150" s="247" t="s">
        <v>755</v>
      </c>
      <c r="E2150" s="247" t="s">
        <v>1311</v>
      </c>
      <c r="F2150" s="247" t="s">
        <v>2158</v>
      </c>
      <c r="G2150" s="247" t="s">
        <v>1388</v>
      </c>
      <c r="H2150" s="247" t="s">
        <v>2010</v>
      </c>
      <c r="I2150" s="247" t="s">
        <v>2159</v>
      </c>
      <c r="J2150" s="247">
        <v>89</v>
      </c>
      <c r="K2150" s="247">
        <v>89.2</v>
      </c>
      <c r="L2150" s="249" t="s">
        <v>791</v>
      </c>
      <c r="M2150" s="249" t="s">
        <v>929</v>
      </c>
      <c r="N2150" s="248">
        <v>21.5</v>
      </c>
      <c r="O2150" s="248">
        <v>43</v>
      </c>
      <c r="P2150" s="247" t="s">
        <v>1412</v>
      </c>
      <c r="Q2150" s="247" t="s">
        <v>88</v>
      </c>
    </row>
    <row r="2151" spans="1:17" x14ac:dyDescent="0.25">
      <c r="A2151" s="247" t="s">
        <v>646</v>
      </c>
      <c r="B2151" s="247" t="s">
        <v>265</v>
      </c>
      <c r="C2151" s="247" t="s">
        <v>1343</v>
      </c>
      <c r="D2151" s="247" t="s">
        <v>755</v>
      </c>
      <c r="E2151" s="247" t="s">
        <v>1311</v>
      </c>
      <c r="F2151" s="247" t="s">
        <v>2158</v>
      </c>
      <c r="G2151" s="247" t="s">
        <v>1388</v>
      </c>
      <c r="H2151" s="247" t="s">
        <v>2010</v>
      </c>
      <c r="I2151" s="247" t="s">
        <v>2159</v>
      </c>
      <c r="J2151" s="247">
        <v>89</v>
      </c>
      <c r="K2151" s="247">
        <v>89.2</v>
      </c>
      <c r="L2151" s="249" t="s">
        <v>935</v>
      </c>
      <c r="M2151" s="249" t="s">
        <v>929</v>
      </c>
      <c r="N2151" s="248">
        <v>21.5</v>
      </c>
      <c r="O2151" s="248">
        <v>64.5</v>
      </c>
      <c r="P2151" s="247" t="s">
        <v>1412</v>
      </c>
      <c r="Q2151" s="247" t="s">
        <v>89</v>
      </c>
    </row>
    <row r="2152" spans="1:17" x14ac:dyDescent="0.25">
      <c r="A2152" s="247" t="s">
        <v>646</v>
      </c>
      <c r="B2152" s="247" t="s">
        <v>265</v>
      </c>
      <c r="C2152" s="247" t="s">
        <v>1343</v>
      </c>
      <c r="D2152" s="247" t="s">
        <v>755</v>
      </c>
      <c r="E2152" s="247" t="s">
        <v>1311</v>
      </c>
      <c r="F2152" s="247" t="s">
        <v>2158</v>
      </c>
      <c r="G2152" s="247" t="s">
        <v>1388</v>
      </c>
      <c r="H2152" s="247" t="s">
        <v>2010</v>
      </c>
      <c r="I2152" s="247" t="s">
        <v>2159</v>
      </c>
      <c r="J2152" s="247">
        <v>89</v>
      </c>
      <c r="K2152" s="247">
        <v>89.2</v>
      </c>
      <c r="L2152" s="249" t="s">
        <v>936</v>
      </c>
      <c r="M2152" s="249" t="s">
        <v>929</v>
      </c>
      <c r="N2152" s="248">
        <v>21.5</v>
      </c>
      <c r="O2152" s="248">
        <v>86</v>
      </c>
      <c r="P2152" s="247" t="s">
        <v>1412</v>
      </c>
      <c r="Q2152" s="247" t="s">
        <v>90</v>
      </c>
    </row>
    <row r="2153" spans="1:17" x14ac:dyDescent="0.25">
      <c r="A2153" s="247" t="s">
        <v>646</v>
      </c>
      <c r="B2153" s="247" t="s">
        <v>265</v>
      </c>
      <c r="C2153" s="247" t="s">
        <v>1343</v>
      </c>
      <c r="D2153" s="247" t="s">
        <v>755</v>
      </c>
      <c r="E2153" s="247" t="s">
        <v>1311</v>
      </c>
      <c r="F2153" s="247" t="s">
        <v>2158</v>
      </c>
      <c r="G2153" s="247" t="s">
        <v>1388</v>
      </c>
      <c r="H2153" s="247" t="s">
        <v>2010</v>
      </c>
      <c r="I2153" s="247" t="s">
        <v>2159</v>
      </c>
      <c r="J2153" s="247">
        <v>89</v>
      </c>
      <c r="K2153" s="247">
        <v>89.2</v>
      </c>
      <c r="L2153" s="249" t="s">
        <v>937</v>
      </c>
      <c r="M2153" s="249" t="s">
        <v>929</v>
      </c>
      <c r="N2153" s="248">
        <v>21.5</v>
      </c>
      <c r="O2153" s="248">
        <v>107.5</v>
      </c>
      <c r="P2153" s="247" t="s">
        <v>1412</v>
      </c>
      <c r="Q2153" s="247" t="s">
        <v>91</v>
      </c>
    </row>
    <row r="2154" spans="1:17" x14ac:dyDescent="0.25">
      <c r="A2154" s="247" t="s">
        <v>646</v>
      </c>
      <c r="B2154" s="247" t="s">
        <v>265</v>
      </c>
      <c r="C2154" s="247" t="s">
        <v>1343</v>
      </c>
      <c r="D2154" s="247" t="s">
        <v>755</v>
      </c>
      <c r="E2154" s="247" t="s">
        <v>1311</v>
      </c>
      <c r="F2154" s="247" t="s">
        <v>2158</v>
      </c>
      <c r="G2154" s="247" t="s">
        <v>1388</v>
      </c>
      <c r="H2154" s="247" t="s">
        <v>2010</v>
      </c>
      <c r="I2154" s="247" t="s">
        <v>2159</v>
      </c>
      <c r="J2154" s="247">
        <v>89</v>
      </c>
      <c r="K2154" s="247">
        <v>89.2</v>
      </c>
      <c r="L2154" s="249" t="s">
        <v>938</v>
      </c>
      <c r="M2154" s="249" t="s">
        <v>929</v>
      </c>
      <c r="N2154" s="248">
        <v>21.5</v>
      </c>
      <c r="O2154" s="248">
        <v>129</v>
      </c>
      <c r="P2154" s="247" t="s">
        <v>1412</v>
      </c>
      <c r="Q2154" s="247" t="s">
        <v>92</v>
      </c>
    </row>
    <row r="2155" spans="1:17" x14ac:dyDescent="0.25">
      <c r="A2155" s="247" t="s">
        <v>646</v>
      </c>
      <c r="B2155" s="247" t="s">
        <v>265</v>
      </c>
      <c r="C2155" s="247" t="s">
        <v>1343</v>
      </c>
      <c r="D2155" s="247" t="s">
        <v>755</v>
      </c>
      <c r="E2155" s="247" t="s">
        <v>1311</v>
      </c>
      <c r="F2155" s="247" t="s">
        <v>2158</v>
      </c>
      <c r="G2155" s="247" t="s">
        <v>1388</v>
      </c>
      <c r="H2155" s="247" t="s">
        <v>2010</v>
      </c>
      <c r="I2155" s="247" t="s">
        <v>2159</v>
      </c>
      <c r="J2155" s="247">
        <v>89</v>
      </c>
      <c r="K2155" s="247">
        <v>89.2</v>
      </c>
      <c r="L2155" s="249" t="s">
        <v>939</v>
      </c>
      <c r="M2155" s="249" t="s">
        <v>929</v>
      </c>
      <c r="N2155" s="248">
        <v>21.5</v>
      </c>
      <c r="O2155" s="248">
        <v>150.5</v>
      </c>
      <c r="P2155" s="247" t="s">
        <v>1412</v>
      </c>
      <c r="Q2155" s="247" t="s">
        <v>93</v>
      </c>
    </row>
    <row r="2156" spans="1:17" x14ac:dyDescent="0.25">
      <c r="A2156" s="247" t="s">
        <v>646</v>
      </c>
      <c r="B2156" s="247" t="s">
        <v>265</v>
      </c>
      <c r="C2156" s="247" t="s">
        <v>1343</v>
      </c>
      <c r="D2156" s="247" t="s">
        <v>755</v>
      </c>
      <c r="E2156" s="247" t="s">
        <v>1311</v>
      </c>
      <c r="F2156" s="247" t="s">
        <v>2158</v>
      </c>
      <c r="G2156" s="247" t="s">
        <v>1388</v>
      </c>
      <c r="H2156" s="247" t="s">
        <v>2010</v>
      </c>
      <c r="I2156" s="247" t="s">
        <v>2159</v>
      </c>
      <c r="J2156" s="247">
        <v>89</v>
      </c>
      <c r="K2156" s="247">
        <v>89.2</v>
      </c>
      <c r="L2156" s="249" t="s">
        <v>940</v>
      </c>
      <c r="M2156" s="249" t="s">
        <v>929</v>
      </c>
      <c r="N2156" s="248">
        <v>21.5</v>
      </c>
      <c r="O2156" s="248">
        <v>172</v>
      </c>
      <c r="P2156" s="247" t="s">
        <v>1412</v>
      </c>
      <c r="Q2156" s="247" t="s">
        <v>94</v>
      </c>
    </row>
    <row r="2157" spans="1:17" x14ac:dyDescent="0.25">
      <c r="A2157" s="247" t="s">
        <v>646</v>
      </c>
      <c r="B2157" s="247" t="s">
        <v>265</v>
      </c>
      <c r="C2157" s="247" t="s">
        <v>1343</v>
      </c>
      <c r="D2157" s="247" t="s">
        <v>755</v>
      </c>
      <c r="E2157" s="247" t="s">
        <v>1311</v>
      </c>
      <c r="F2157" s="247" t="s">
        <v>2158</v>
      </c>
      <c r="G2157" s="247" t="s">
        <v>1388</v>
      </c>
      <c r="H2157" s="247" t="s">
        <v>2010</v>
      </c>
      <c r="I2157" s="247" t="s">
        <v>2159</v>
      </c>
      <c r="J2157" s="247">
        <v>89</v>
      </c>
      <c r="K2157" s="247">
        <v>89.2</v>
      </c>
      <c r="L2157" s="249" t="s">
        <v>642</v>
      </c>
      <c r="M2157" s="249" t="s">
        <v>929</v>
      </c>
      <c r="N2157" s="248">
        <v>21.5</v>
      </c>
      <c r="O2157" s="248">
        <v>193.5</v>
      </c>
      <c r="P2157" s="247" t="s">
        <v>1412</v>
      </c>
      <c r="Q2157" s="247" t="s">
        <v>95</v>
      </c>
    </row>
    <row r="2158" spans="1:17" x14ac:dyDescent="0.25">
      <c r="A2158" s="247" t="s">
        <v>646</v>
      </c>
      <c r="B2158" s="247" t="s">
        <v>265</v>
      </c>
      <c r="C2158" s="247" t="s">
        <v>1343</v>
      </c>
      <c r="D2158" s="247" t="s">
        <v>823</v>
      </c>
      <c r="E2158" s="247" t="s">
        <v>1311</v>
      </c>
      <c r="F2158" s="247" t="s">
        <v>2160</v>
      </c>
      <c r="G2158" s="247" t="s">
        <v>1390</v>
      </c>
      <c r="H2158" s="247" t="s">
        <v>2010</v>
      </c>
      <c r="I2158" s="247" t="s">
        <v>2161</v>
      </c>
      <c r="J2158" s="247">
        <v>86</v>
      </c>
      <c r="K2158" s="247">
        <v>85.2</v>
      </c>
      <c r="L2158" s="249" t="s">
        <v>646</v>
      </c>
      <c r="M2158" s="249" t="s">
        <v>933</v>
      </c>
      <c r="N2158" s="248">
        <v>157.6</v>
      </c>
      <c r="O2158" s="248">
        <v>157.6</v>
      </c>
      <c r="P2158" s="247" t="s">
        <v>1413</v>
      </c>
      <c r="Q2158" s="247" t="s">
        <v>84</v>
      </c>
    </row>
    <row r="2159" spans="1:17" x14ac:dyDescent="0.25">
      <c r="A2159" s="247" t="s">
        <v>646</v>
      </c>
      <c r="B2159" s="247" t="s">
        <v>265</v>
      </c>
      <c r="C2159" s="247" t="s">
        <v>1343</v>
      </c>
      <c r="D2159" s="247" t="s">
        <v>823</v>
      </c>
      <c r="E2159" s="247" t="s">
        <v>1311</v>
      </c>
      <c r="F2159" s="247" t="s">
        <v>2160</v>
      </c>
      <c r="G2159" s="247" t="s">
        <v>1390</v>
      </c>
      <c r="H2159" s="247" t="s">
        <v>2010</v>
      </c>
      <c r="I2159" s="247" t="s">
        <v>2161</v>
      </c>
      <c r="J2159" s="247">
        <v>86</v>
      </c>
      <c r="K2159" s="247">
        <v>85.2</v>
      </c>
      <c r="L2159" s="249" t="s">
        <v>650</v>
      </c>
      <c r="M2159" s="249" t="s">
        <v>933</v>
      </c>
      <c r="N2159" s="248">
        <v>0</v>
      </c>
      <c r="O2159" s="248">
        <v>157.6</v>
      </c>
      <c r="P2159" s="247" t="s">
        <v>1413</v>
      </c>
      <c r="Q2159" s="247" t="s">
        <v>85</v>
      </c>
    </row>
    <row r="2160" spans="1:17" x14ac:dyDescent="0.25">
      <c r="A2160" s="247" t="s">
        <v>646</v>
      </c>
      <c r="B2160" s="247" t="s">
        <v>265</v>
      </c>
      <c r="C2160" s="247" t="s">
        <v>1343</v>
      </c>
      <c r="D2160" s="247" t="s">
        <v>823</v>
      </c>
      <c r="E2160" s="247" t="s">
        <v>1311</v>
      </c>
      <c r="F2160" s="247" t="s">
        <v>2160</v>
      </c>
      <c r="G2160" s="247" t="s">
        <v>1390</v>
      </c>
      <c r="H2160" s="247" t="s">
        <v>2010</v>
      </c>
      <c r="I2160" s="247" t="s">
        <v>2161</v>
      </c>
      <c r="J2160" s="247">
        <v>86</v>
      </c>
      <c r="K2160" s="247">
        <v>85.2</v>
      </c>
      <c r="L2160" s="249" t="s">
        <v>652</v>
      </c>
      <c r="M2160" s="249" t="s">
        <v>933</v>
      </c>
      <c r="N2160" s="248">
        <v>315.2</v>
      </c>
      <c r="O2160" s="248">
        <v>472.8</v>
      </c>
      <c r="P2160" s="247" t="s">
        <v>1413</v>
      </c>
      <c r="Q2160" s="247" t="s">
        <v>86</v>
      </c>
    </row>
    <row r="2161" spans="1:17" x14ac:dyDescent="0.25">
      <c r="A2161" s="247" t="s">
        <v>646</v>
      </c>
      <c r="B2161" s="247" t="s">
        <v>265</v>
      </c>
      <c r="C2161" s="247" t="s">
        <v>1343</v>
      </c>
      <c r="D2161" s="247" t="s">
        <v>823</v>
      </c>
      <c r="E2161" s="247" t="s">
        <v>1311</v>
      </c>
      <c r="F2161" s="247" t="s">
        <v>2160</v>
      </c>
      <c r="G2161" s="247" t="s">
        <v>1390</v>
      </c>
      <c r="H2161" s="247" t="s">
        <v>2010</v>
      </c>
      <c r="I2161" s="247" t="s">
        <v>2161</v>
      </c>
      <c r="J2161" s="247">
        <v>86</v>
      </c>
      <c r="K2161" s="247">
        <v>85.2</v>
      </c>
      <c r="L2161" s="249" t="s">
        <v>789</v>
      </c>
      <c r="M2161" s="249" t="s">
        <v>929</v>
      </c>
      <c r="N2161" s="248">
        <v>370.44</v>
      </c>
      <c r="O2161" s="248">
        <v>370.44</v>
      </c>
      <c r="P2161" s="247" t="s">
        <v>1413</v>
      </c>
      <c r="Q2161" s="247" t="s">
        <v>87</v>
      </c>
    </row>
    <row r="2162" spans="1:17" x14ac:dyDescent="0.25">
      <c r="A2162" s="247" t="s">
        <v>646</v>
      </c>
      <c r="B2162" s="247" t="s">
        <v>265</v>
      </c>
      <c r="C2162" s="247" t="s">
        <v>1343</v>
      </c>
      <c r="D2162" s="247" t="s">
        <v>823</v>
      </c>
      <c r="E2162" s="247" t="s">
        <v>1311</v>
      </c>
      <c r="F2162" s="247" t="s">
        <v>2160</v>
      </c>
      <c r="G2162" s="247" t="s">
        <v>1390</v>
      </c>
      <c r="H2162" s="247" t="s">
        <v>2010</v>
      </c>
      <c r="I2162" s="247" t="s">
        <v>2161</v>
      </c>
      <c r="J2162" s="247">
        <v>86</v>
      </c>
      <c r="K2162" s="247">
        <v>85.2</v>
      </c>
      <c r="L2162" s="249" t="s">
        <v>791</v>
      </c>
      <c r="M2162" s="249" t="s">
        <v>929</v>
      </c>
      <c r="N2162" s="248">
        <v>370.44</v>
      </c>
      <c r="O2162" s="248">
        <v>740.88</v>
      </c>
      <c r="P2162" s="247" t="s">
        <v>1413</v>
      </c>
      <c r="Q2162" s="247" t="s">
        <v>88</v>
      </c>
    </row>
    <row r="2163" spans="1:17" x14ac:dyDescent="0.25">
      <c r="A2163" s="247" t="s">
        <v>646</v>
      </c>
      <c r="B2163" s="247" t="s">
        <v>265</v>
      </c>
      <c r="C2163" s="247" t="s">
        <v>1343</v>
      </c>
      <c r="D2163" s="247" t="s">
        <v>823</v>
      </c>
      <c r="E2163" s="247" t="s">
        <v>1311</v>
      </c>
      <c r="F2163" s="247" t="s">
        <v>2160</v>
      </c>
      <c r="G2163" s="247" t="s">
        <v>1390</v>
      </c>
      <c r="H2163" s="247" t="s">
        <v>2010</v>
      </c>
      <c r="I2163" s="247" t="s">
        <v>2161</v>
      </c>
      <c r="J2163" s="247">
        <v>86</v>
      </c>
      <c r="K2163" s="247">
        <v>85.2</v>
      </c>
      <c r="L2163" s="249" t="s">
        <v>935</v>
      </c>
      <c r="M2163" s="249" t="s">
        <v>929</v>
      </c>
      <c r="N2163" s="248">
        <v>370.44</v>
      </c>
      <c r="O2163" s="248">
        <v>1111.32</v>
      </c>
      <c r="P2163" s="247" t="s">
        <v>1413</v>
      </c>
      <c r="Q2163" s="247" t="s">
        <v>89</v>
      </c>
    </row>
    <row r="2164" spans="1:17" x14ac:dyDescent="0.25">
      <c r="A2164" s="247" t="s">
        <v>646</v>
      </c>
      <c r="B2164" s="247" t="s">
        <v>265</v>
      </c>
      <c r="C2164" s="247" t="s">
        <v>1343</v>
      </c>
      <c r="D2164" s="247" t="s">
        <v>823</v>
      </c>
      <c r="E2164" s="247" t="s">
        <v>1311</v>
      </c>
      <c r="F2164" s="247" t="s">
        <v>2160</v>
      </c>
      <c r="G2164" s="247" t="s">
        <v>1390</v>
      </c>
      <c r="H2164" s="247" t="s">
        <v>2010</v>
      </c>
      <c r="I2164" s="247" t="s">
        <v>2161</v>
      </c>
      <c r="J2164" s="247">
        <v>86</v>
      </c>
      <c r="K2164" s="247">
        <v>85.2</v>
      </c>
      <c r="L2164" s="249" t="s">
        <v>936</v>
      </c>
      <c r="M2164" s="249" t="s">
        <v>929</v>
      </c>
      <c r="N2164" s="248">
        <v>370.44</v>
      </c>
      <c r="O2164" s="248">
        <v>1481.76</v>
      </c>
      <c r="P2164" s="247" t="s">
        <v>1413</v>
      </c>
      <c r="Q2164" s="247" t="s">
        <v>90</v>
      </c>
    </row>
    <row r="2165" spans="1:17" x14ac:dyDescent="0.25">
      <c r="A2165" s="247" t="s">
        <v>646</v>
      </c>
      <c r="B2165" s="247" t="s">
        <v>265</v>
      </c>
      <c r="C2165" s="247" t="s">
        <v>1343</v>
      </c>
      <c r="D2165" s="247" t="s">
        <v>823</v>
      </c>
      <c r="E2165" s="247" t="s">
        <v>1311</v>
      </c>
      <c r="F2165" s="247" t="s">
        <v>2160</v>
      </c>
      <c r="G2165" s="247" t="s">
        <v>1390</v>
      </c>
      <c r="H2165" s="247" t="s">
        <v>2010</v>
      </c>
      <c r="I2165" s="247" t="s">
        <v>2161</v>
      </c>
      <c r="J2165" s="247">
        <v>86</v>
      </c>
      <c r="K2165" s="247">
        <v>85.2</v>
      </c>
      <c r="L2165" s="249" t="s">
        <v>937</v>
      </c>
      <c r="M2165" s="249" t="s">
        <v>929</v>
      </c>
      <c r="N2165" s="248">
        <v>370.44</v>
      </c>
      <c r="O2165" s="248">
        <v>1852.2</v>
      </c>
      <c r="P2165" s="247" t="s">
        <v>1413</v>
      </c>
      <c r="Q2165" s="247" t="s">
        <v>91</v>
      </c>
    </row>
    <row r="2166" spans="1:17" x14ac:dyDescent="0.25">
      <c r="A2166" s="247" t="s">
        <v>646</v>
      </c>
      <c r="B2166" s="247" t="s">
        <v>265</v>
      </c>
      <c r="C2166" s="247" t="s">
        <v>1343</v>
      </c>
      <c r="D2166" s="247" t="s">
        <v>823</v>
      </c>
      <c r="E2166" s="247" t="s">
        <v>1311</v>
      </c>
      <c r="F2166" s="247" t="s">
        <v>2160</v>
      </c>
      <c r="G2166" s="247" t="s">
        <v>1390</v>
      </c>
      <c r="H2166" s="247" t="s">
        <v>2010</v>
      </c>
      <c r="I2166" s="247" t="s">
        <v>2161</v>
      </c>
      <c r="J2166" s="247">
        <v>86</v>
      </c>
      <c r="K2166" s="247">
        <v>85.2</v>
      </c>
      <c r="L2166" s="249" t="s">
        <v>938</v>
      </c>
      <c r="M2166" s="249" t="s">
        <v>929</v>
      </c>
      <c r="N2166" s="248">
        <v>370.44</v>
      </c>
      <c r="O2166" s="248">
        <v>2222.64</v>
      </c>
      <c r="P2166" s="247" t="s">
        <v>1413</v>
      </c>
      <c r="Q2166" s="247" t="s">
        <v>92</v>
      </c>
    </row>
    <row r="2167" spans="1:17" x14ac:dyDescent="0.25">
      <c r="A2167" s="247" t="s">
        <v>646</v>
      </c>
      <c r="B2167" s="247" t="s">
        <v>265</v>
      </c>
      <c r="C2167" s="247" t="s">
        <v>1343</v>
      </c>
      <c r="D2167" s="247" t="s">
        <v>823</v>
      </c>
      <c r="E2167" s="247" t="s">
        <v>1311</v>
      </c>
      <c r="F2167" s="247" t="s">
        <v>2160</v>
      </c>
      <c r="G2167" s="247" t="s">
        <v>1390</v>
      </c>
      <c r="H2167" s="247" t="s">
        <v>2010</v>
      </c>
      <c r="I2167" s="247" t="s">
        <v>2161</v>
      </c>
      <c r="J2167" s="247">
        <v>86</v>
      </c>
      <c r="K2167" s="247">
        <v>85.2</v>
      </c>
      <c r="L2167" s="249" t="s">
        <v>939</v>
      </c>
      <c r="M2167" s="249" t="s">
        <v>929</v>
      </c>
      <c r="N2167" s="248">
        <v>370.44</v>
      </c>
      <c r="O2167" s="248">
        <v>2593.08</v>
      </c>
      <c r="P2167" s="247" t="s">
        <v>1413</v>
      </c>
      <c r="Q2167" s="247" t="s">
        <v>93</v>
      </c>
    </row>
    <row r="2168" spans="1:17" x14ac:dyDescent="0.25">
      <c r="A2168" s="247" t="s">
        <v>646</v>
      </c>
      <c r="B2168" s="247" t="s">
        <v>265</v>
      </c>
      <c r="C2168" s="247" t="s">
        <v>1343</v>
      </c>
      <c r="D2168" s="247" t="s">
        <v>823</v>
      </c>
      <c r="E2168" s="247" t="s">
        <v>1311</v>
      </c>
      <c r="F2168" s="247" t="s">
        <v>2160</v>
      </c>
      <c r="G2168" s="247" t="s">
        <v>1390</v>
      </c>
      <c r="H2168" s="247" t="s">
        <v>2010</v>
      </c>
      <c r="I2168" s="247" t="s">
        <v>2161</v>
      </c>
      <c r="J2168" s="247">
        <v>86</v>
      </c>
      <c r="K2168" s="247">
        <v>85.2</v>
      </c>
      <c r="L2168" s="249" t="s">
        <v>940</v>
      </c>
      <c r="M2168" s="249" t="s">
        <v>929</v>
      </c>
      <c r="N2168" s="248">
        <v>370.44</v>
      </c>
      <c r="O2168" s="248">
        <v>2963.52</v>
      </c>
      <c r="P2168" s="247" t="s">
        <v>1413</v>
      </c>
      <c r="Q2168" s="247" t="s">
        <v>94</v>
      </c>
    </row>
    <row r="2169" spans="1:17" x14ac:dyDescent="0.25">
      <c r="A2169" s="247" t="s">
        <v>646</v>
      </c>
      <c r="B2169" s="247" t="s">
        <v>265</v>
      </c>
      <c r="C2169" s="247" t="s">
        <v>1343</v>
      </c>
      <c r="D2169" s="247" t="s">
        <v>823</v>
      </c>
      <c r="E2169" s="247" t="s">
        <v>1311</v>
      </c>
      <c r="F2169" s="247" t="s">
        <v>2160</v>
      </c>
      <c r="G2169" s="247" t="s">
        <v>1390</v>
      </c>
      <c r="H2169" s="247" t="s">
        <v>2010</v>
      </c>
      <c r="I2169" s="247" t="s">
        <v>2161</v>
      </c>
      <c r="J2169" s="247">
        <v>86</v>
      </c>
      <c r="K2169" s="247">
        <v>85.2</v>
      </c>
      <c r="L2169" s="249" t="s">
        <v>642</v>
      </c>
      <c r="M2169" s="249" t="s">
        <v>929</v>
      </c>
      <c r="N2169" s="248">
        <v>370.44</v>
      </c>
      <c r="O2169" s="248">
        <v>3333.96</v>
      </c>
      <c r="P2169" s="247" t="s">
        <v>1413</v>
      </c>
      <c r="Q2169" s="247" t="s">
        <v>95</v>
      </c>
    </row>
    <row r="2170" spans="1:17" x14ac:dyDescent="0.25">
      <c r="A2170" s="247" t="s">
        <v>646</v>
      </c>
      <c r="B2170" s="247" t="s">
        <v>265</v>
      </c>
      <c r="C2170" s="247" t="s">
        <v>1343</v>
      </c>
      <c r="D2170" s="247" t="s">
        <v>569</v>
      </c>
      <c r="E2170" s="247" t="s">
        <v>1311</v>
      </c>
      <c r="F2170" s="247" t="s">
        <v>2162</v>
      </c>
      <c r="G2170" s="247" t="s">
        <v>1352</v>
      </c>
      <c r="H2170" s="247" t="s">
        <v>2010</v>
      </c>
      <c r="I2170" s="247" t="s">
        <v>2163</v>
      </c>
      <c r="J2170" s="247">
        <v>90</v>
      </c>
      <c r="K2170" s="247">
        <v>90.2</v>
      </c>
      <c r="L2170" s="249" t="s">
        <v>646</v>
      </c>
      <c r="M2170" s="249" t="s">
        <v>933</v>
      </c>
      <c r="N2170" s="248">
        <v>343.3</v>
      </c>
      <c r="O2170" s="248">
        <v>343.3</v>
      </c>
      <c r="P2170" s="247" t="s">
        <v>1414</v>
      </c>
      <c r="Q2170" s="247" t="s">
        <v>84</v>
      </c>
    </row>
    <row r="2171" spans="1:17" x14ac:dyDescent="0.25">
      <c r="A2171" s="247" t="s">
        <v>646</v>
      </c>
      <c r="B2171" s="247" t="s">
        <v>265</v>
      </c>
      <c r="C2171" s="247" t="s">
        <v>1343</v>
      </c>
      <c r="D2171" s="247" t="s">
        <v>569</v>
      </c>
      <c r="E2171" s="247" t="s">
        <v>1311</v>
      </c>
      <c r="F2171" s="247" t="s">
        <v>2162</v>
      </c>
      <c r="G2171" s="247" t="s">
        <v>1352</v>
      </c>
      <c r="H2171" s="247" t="s">
        <v>2010</v>
      </c>
      <c r="I2171" s="247" t="s">
        <v>2163</v>
      </c>
      <c r="J2171" s="247">
        <v>90</v>
      </c>
      <c r="K2171" s="247">
        <v>90.2</v>
      </c>
      <c r="L2171" s="249" t="s">
        <v>650</v>
      </c>
      <c r="M2171" s="249" t="s">
        <v>933</v>
      </c>
      <c r="N2171" s="248">
        <v>227.73</v>
      </c>
      <c r="O2171" s="248">
        <v>571.03</v>
      </c>
      <c r="P2171" s="247" t="s">
        <v>1414</v>
      </c>
      <c r="Q2171" s="247" t="s">
        <v>85</v>
      </c>
    </row>
    <row r="2172" spans="1:17" x14ac:dyDescent="0.25">
      <c r="A2172" s="247" t="s">
        <v>646</v>
      </c>
      <c r="B2172" s="247" t="s">
        <v>265</v>
      </c>
      <c r="C2172" s="247" t="s">
        <v>1343</v>
      </c>
      <c r="D2172" s="247" t="s">
        <v>569</v>
      </c>
      <c r="E2172" s="247" t="s">
        <v>1311</v>
      </c>
      <c r="F2172" s="247" t="s">
        <v>2162</v>
      </c>
      <c r="G2172" s="247" t="s">
        <v>1352</v>
      </c>
      <c r="H2172" s="247" t="s">
        <v>2010</v>
      </c>
      <c r="I2172" s="247" t="s">
        <v>2163</v>
      </c>
      <c r="J2172" s="247">
        <v>90</v>
      </c>
      <c r="K2172" s="247">
        <v>90.2</v>
      </c>
      <c r="L2172" s="249" t="s">
        <v>652</v>
      </c>
      <c r="M2172" s="249" t="s">
        <v>933</v>
      </c>
      <c r="N2172" s="248">
        <v>216.39</v>
      </c>
      <c r="O2172" s="248">
        <v>787.42</v>
      </c>
      <c r="P2172" s="247" t="s">
        <v>1414</v>
      </c>
      <c r="Q2172" s="247" t="s">
        <v>86</v>
      </c>
    </row>
    <row r="2173" spans="1:17" x14ac:dyDescent="0.25">
      <c r="A2173" s="247" t="s">
        <v>646</v>
      </c>
      <c r="B2173" s="247" t="s">
        <v>265</v>
      </c>
      <c r="C2173" s="247" t="s">
        <v>1343</v>
      </c>
      <c r="D2173" s="247" t="s">
        <v>569</v>
      </c>
      <c r="E2173" s="247" t="s">
        <v>1311</v>
      </c>
      <c r="F2173" s="247" t="s">
        <v>2162</v>
      </c>
      <c r="G2173" s="247" t="s">
        <v>1352</v>
      </c>
      <c r="H2173" s="247" t="s">
        <v>2010</v>
      </c>
      <c r="I2173" s="247" t="s">
        <v>2163</v>
      </c>
      <c r="J2173" s="247">
        <v>90</v>
      </c>
      <c r="K2173" s="247">
        <v>90.2</v>
      </c>
      <c r="L2173" s="249" t="s">
        <v>789</v>
      </c>
      <c r="M2173" s="249" t="s">
        <v>929</v>
      </c>
      <c r="N2173" s="248">
        <v>223.77</v>
      </c>
      <c r="O2173" s="248">
        <v>223.77</v>
      </c>
      <c r="P2173" s="247" t="s">
        <v>1414</v>
      </c>
      <c r="Q2173" s="247" t="s">
        <v>87</v>
      </c>
    </row>
    <row r="2174" spans="1:17" x14ac:dyDescent="0.25">
      <c r="A2174" s="247" t="s">
        <v>646</v>
      </c>
      <c r="B2174" s="247" t="s">
        <v>265</v>
      </c>
      <c r="C2174" s="247" t="s">
        <v>1343</v>
      </c>
      <c r="D2174" s="247" t="s">
        <v>569</v>
      </c>
      <c r="E2174" s="247" t="s">
        <v>1311</v>
      </c>
      <c r="F2174" s="247" t="s">
        <v>2162</v>
      </c>
      <c r="G2174" s="247" t="s">
        <v>1352</v>
      </c>
      <c r="H2174" s="247" t="s">
        <v>2010</v>
      </c>
      <c r="I2174" s="247" t="s">
        <v>2163</v>
      </c>
      <c r="J2174" s="247">
        <v>90</v>
      </c>
      <c r="K2174" s="247">
        <v>90.2</v>
      </c>
      <c r="L2174" s="249" t="s">
        <v>791</v>
      </c>
      <c r="M2174" s="249" t="s">
        <v>929</v>
      </c>
      <c r="N2174" s="248">
        <v>232.55</v>
      </c>
      <c r="O2174" s="248">
        <v>456.32</v>
      </c>
      <c r="P2174" s="247" t="s">
        <v>1414</v>
      </c>
      <c r="Q2174" s="247" t="s">
        <v>88</v>
      </c>
    </row>
    <row r="2175" spans="1:17" x14ac:dyDescent="0.25">
      <c r="A2175" s="247" t="s">
        <v>646</v>
      </c>
      <c r="B2175" s="247" t="s">
        <v>265</v>
      </c>
      <c r="C2175" s="247" t="s">
        <v>1343</v>
      </c>
      <c r="D2175" s="247" t="s">
        <v>569</v>
      </c>
      <c r="E2175" s="247" t="s">
        <v>1311</v>
      </c>
      <c r="F2175" s="247" t="s">
        <v>2162</v>
      </c>
      <c r="G2175" s="247" t="s">
        <v>1352</v>
      </c>
      <c r="H2175" s="247" t="s">
        <v>2010</v>
      </c>
      <c r="I2175" s="247" t="s">
        <v>2163</v>
      </c>
      <c r="J2175" s="247">
        <v>90</v>
      </c>
      <c r="K2175" s="247">
        <v>90.2</v>
      </c>
      <c r="L2175" s="249" t="s">
        <v>935</v>
      </c>
      <c r="M2175" s="249" t="s">
        <v>929</v>
      </c>
      <c r="N2175" s="248">
        <v>233.42</v>
      </c>
      <c r="O2175" s="248">
        <v>689.74</v>
      </c>
      <c r="P2175" s="247" t="s">
        <v>1414</v>
      </c>
      <c r="Q2175" s="247" t="s">
        <v>89</v>
      </c>
    </row>
    <row r="2176" spans="1:17" x14ac:dyDescent="0.25">
      <c r="A2176" s="247" t="s">
        <v>646</v>
      </c>
      <c r="B2176" s="247" t="s">
        <v>265</v>
      </c>
      <c r="C2176" s="247" t="s">
        <v>1343</v>
      </c>
      <c r="D2176" s="247" t="s">
        <v>569</v>
      </c>
      <c r="E2176" s="247" t="s">
        <v>1311</v>
      </c>
      <c r="F2176" s="247" t="s">
        <v>2162</v>
      </c>
      <c r="G2176" s="247" t="s">
        <v>1352</v>
      </c>
      <c r="H2176" s="247" t="s">
        <v>2010</v>
      </c>
      <c r="I2176" s="247" t="s">
        <v>2163</v>
      </c>
      <c r="J2176" s="247">
        <v>90</v>
      </c>
      <c r="K2176" s="247">
        <v>90.2</v>
      </c>
      <c r="L2176" s="249" t="s">
        <v>936</v>
      </c>
      <c r="M2176" s="249" t="s">
        <v>929</v>
      </c>
      <c r="N2176" s="248">
        <v>341.96</v>
      </c>
      <c r="O2176" s="248">
        <v>1031.7</v>
      </c>
      <c r="P2176" s="247" t="s">
        <v>1414</v>
      </c>
      <c r="Q2176" s="247" t="s">
        <v>90</v>
      </c>
    </row>
    <row r="2177" spans="1:17" x14ac:dyDescent="0.25">
      <c r="A2177" s="247" t="s">
        <v>646</v>
      </c>
      <c r="B2177" s="247" t="s">
        <v>265</v>
      </c>
      <c r="C2177" s="247" t="s">
        <v>1343</v>
      </c>
      <c r="D2177" s="247" t="s">
        <v>569</v>
      </c>
      <c r="E2177" s="247" t="s">
        <v>1311</v>
      </c>
      <c r="F2177" s="247" t="s">
        <v>2162</v>
      </c>
      <c r="G2177" s="247" t="s">
        <v>1352</v>
      </c>
      <c r="H2177" s="247" t="s">
        <v>2010</v>
      </c>
      <c r="I2177" s="247" t="s">
        <v>2163</v>
      </c>
      <c r="J2177" s="247">
        <v>90</v>
      </c>
      <c r="K2177" s="247">
        <v>90.2</v>
      </c>
      <c r="L2177" s="249" t="s">
        <v>937</v>
      </c>
      <c r="M2177" s="249" t="s">
        <v>929</v>
      </c>
      <c r="N2177" s="248">
        <v>214.23</v>
      </c>
      <c r="O2177" s="248">
        <v>1245.93</v>
      </c>
      <c r="P2177" s="247" t="s">
        <v>1414</v>
      </c>
      <c r="Q2177" s="247" t="s">
        <v>91</v>
      </c>
    </row>
    <row r="2178" spans="1:17" x14ac:dyDescent="0.25">
      <c r="A2178" s="247" t="s">
        <v>646</v>
      </c>
      <c r="B2178" s="247" t="s">
        <v>265</v>
      </c>
      <c r="C2178" s="247" t="s">
        <v>1343</v>
      </c>
      <c r="D2178" s="247" t="s">
        <v>569</v>
      </c>
      <c r="E2178" s="247" t="s">
        <v>1311</v>
      </c>
      <c r="F2178" s="247" t="s">
        <v>2162</v>
      </c>
      <c r="G2178" s="247" t="s">
        <v>1352</v>
      </c>
      <c r="H2178" s="247" t="s">
        <v>2010</v>
      </c>
      <c r="I2178" s="247" t="s">
        <v>2163</v>
      </c>
      <c r="J2178" s="247">
        <v>90</v>
      </c>
      <c r="K2178" s="247">
        <v>90.2</v>
      </c>
      <c r="L2178" s="249" t="s">
        <v>938</v>
      </c>
      <c r="M2178" s="249" t="s">
        <v>929</v>
      </c>
      <c r="N2178" s="248">
        <v>232.15</v>
      </c>
      <c r="O2178" s="248">
        <v>1478.08</v>
      </c>
      <c r="P2178" s="247" t="s">
        <v>1414</v>
      </c>
      <c r="Q2178" s="247" t="s">
        <v>92</v>
      </c>
    </row>
    <row r="2179" spans="1:17" x14ac:dyDescent="0.25">
      <c r="A2179" s="247" t="s">
        <v>646</v>
      </c>
      <c r="B2179" s="247" t="s">
        <v>265</v>
      </c>
      <c r="C2179" s="247" t="s">
        <v>1343</v>
      </c>
      <c r="D2179" s="247" t="s">
        <v>569</v>
      </c>
      <c r="E2179" s="247" t="s">
        <v>1311</v>
      </c>
      <c r="F2179" s="247" t="s">
        <v>2162</v>
      </c>
      <c r="G2179" s="247" t="s">
        <v>1352</v>
      </c>
      <c r="H2179" s="247" t="s">
        <v>2010</v>
      </c>
      <c r="I2179" s="247" t="s">
        <v>2163</v>
      </c>
      <c r="J2179" s="247">
        <v>90</v>
      </c>
      <c r="K2179" s="247">
        <v>90.2</v>
      </c>
      <c r="L2179" s="249" t="s">
        <v>939</v>
      </c>
      <c r="M2179" s="249" t="s">
        <v>929</v>
      </c>
      <c r="N2179" s="248">
        <v>205.91</v>
      </c>
      <c r="O2179" s="248">
        <v>1683.99</v>
      </c>
      <c r="P2179" s="247" t="s">
        <v>1414</v>
      </c>
      <c r="Q2179" s="247" t="s">
        <v>93</v>
      </c>
    </row>
    <row r="2180" spans="1:17" x14ac:dyDescent="0.25">
      <c r="A2180" s="247" t="s">
        <v>646</v>
      </c>
      <c r="B2180" s="247" t="s">
        <v>265</v>
      </c>
      <c r="C2180" s="247" t="s">
        <v>1343</v>
      </c>
      <c r="D2180" s="247" t="s">
        <v>569</v>
      </c>
      <c r="E2180" s="247" t="s">
        <v>1311</v>
      </c>
      <c r="F2180" s="247" t="s">
        <v>2162</v>
      </c>
      <c r="G2180" s="247" t="s">
        <v>1352</v>
      </c>
      <c r="H2180" s="247" t="s">
        <v>2010</v>
      </c>
      <c r="I2180" s="247" t="s">
        <v>2163</v>
      </c>
      <c r="J2180" s="247">
        <v>90</v>
      </c>
      <c r="K2180" s="247">
        <v>90.2</v>
      </c>
      <c r="L2180" s="249" t="s">
        <v>940</v>
      </c>
      <c r="M2180" s="249" t="s">
        <v>929</v>
      </c>
      <c r="N2180" s="248">
        <v>231.88</v>
      </c>
      <c r="O2180" s="248">
        <v>1915.87</v>
      </c>
      <c r="P2180" s="247" t="s">
        <v>1414</v>
      </c>
      <c r="Q2180" s="247" t="s">
        <v>94</v>
      </c>
    </row>
    <row r="2181" spans="1:17" x14ac:dyDescent="0.25">
      <c r="A2181" s="247" t="s">
        <v>646</v>
      </c>
      <c r="B2181" s="247" t="s">
        <v>265</v>
      </c>
      <c r="C2181" s="247" t="s">
        <v>1343</v>
      </c>
      <c r="D2181" s="247" t="s">
        <v>569</v>
      </c>
      <c r="E2181" s="247" t="s">
        <v>1311</v>
      </c>
      <c r="F2181" s="247" t="s">
        <v>2162</v>
      </c>
      <c r="G2181" s="247" t="s">
        <v>1352</v>
      </c>
      <c r="H2181" s="247" t="s">
        <v>2010</v>
      </c>
      <c r="I2181" s="247" t="s">
        <v>2163</v>
      </c>
      <c r="J2181" s="247">
        <v>90</v>
      </c>
      <c r="K2181" s="247">
        <v>90.2</v>
      </c>
      <c r="L2181" s="249" t="s">
        <v>642</v>
      </c>
      <c r="M2181" s="249" t="s">
        <v>929</v>
      </c>
      <c r="N2181" s="248">
        <v>346.5</v>
      </c>
      <c r="O2181" s="248">
        <v>2262.37</v>
      </c>
      <c r="P2181" s="247" t="s">
        <v>1414</v>
      </c>
      <c r="Q2181" s="247" t="s">
        <v>95</v>
      </c>
    </row>
    <row r="2182" spans="1:17" x14ac:dyDescent="0.25">
      <c r="A2182" s="247" t="s">
        <v>646</v>
      </c>
      <c r="B2182" s="247" t="s">
        <v>265</v>
      </c>
      <c r="C2182" s="247" t="s">
        <v>1343</v>
      </c>
      <c r="D2182" s="247" t="s">
        <v>575</v>
      </c>
      <c r="E2182" s="247" t="s">
        <v>1311</v>
      </c>
      <c r="F2182" s="247" t="s">
        <v>2164</v>
      </c>
      <c r="G2182" s="247" t="s">
        <v>1354</v>
      </c>
      <c r="H2182" s="247" t="s">
        <v>2010</v>
      </c>
      <c r="I2182" s="247" t="s">
        <v>2165</v>
      </c>
      <c r="J2182" s="247">
        <v>90</v>
      </c>
      <c r="K2182" s="247">
        <v>90.2</v>
      </c>
      <c r="L2182" s="249" t="s">
        <v>646</v>
      </c>
      <c r="M2182" s="249" t="s">
        <v>933</v>
      </c>
      <c r="N2182" s="248">
        <v>80.28</v>
      </c>
      <c r="O2182" s="248">
        <v>80.28</v>
      </c>
      <c r="P2182" s="247" t="s">
        <v>1415</v>
      </c>
      <c r="Q2182" s="247" t="s">
        <v>84</v>
      </c>
    </row>
    <row r="2183" spans="1:17" x14ac:dyDescent="0.25">
      <c r="A2183" s="247" t="s">
        <v>646</v>
      </c>
      <c r="B2183" s="247" t="s">
        <v>265</v>
      </c>
      <c r="C2183" s="247" t="s">
        <v>1343</v>
      </c>
      <c r="D2183" s="247" t="s">
        <v>575</v>
      </c>
      <c r="E2183" s="247" t="s">
        <v>1311</v>
      </c>
      <c r="F2183" s="247" t="s">
        <v>2164</v>
      </c>
      <c r="G2183" s="247" t="s">
        <v>1354</v>
      </c>
      <c r="H2183" s="247" t="s">
        <v>2010</v>
      </c>
      <c r="I2183" s="247" t="s">
        <v>2165</v>
      </c>
      <c r="J2183" s="247">
        <v>90</v>
      </c>
      <c r="K2183" s="247">
        <v>90.2</v>
      </c>
      <c r="L2183" s="249" t="s">
        <v>650</v>
      </c>
      <c r="M2183" s="249" t="s">
        <v>933</v>
      </c>
      <c r="N2183" s="248">
        <v>53.26</v>
      </c>
      <c r="O2183" s="248">
        <v>133.54</v>
      </c>
      <c r="P2183" s="247" t="s">
        <v>1415</v>
      </c>
      <c r="Q2183" s="247" t="s">
        <v>85</v>
      </c>
    </row>
    <row r="2184" spans="1:17" x14ac:dyDescent="0.25">
      <c r="A2184" s="247" t="s">
        <v>646</v>
      </c>
      <c r="B2184" s="247" t="s">
        <v>265</v>
      </c>
      <c r="C2184" s="247" t="s">
        <v>1343</v>
      </c>
      <c r="D2184" s="247" t="s">
        <v>575</v>
      </c>
      <c r="E2184" s="247" t="s">
        <v>1311</v>
      </c>
      <c r="F2184" s="247" t="s">
        <v>2164</v>
      </c>
      <c r="G2184" s="247" t="s">
        <v>1354</v>
      </c>
      <c r="H2184" s="247" t="s">
        <v>2010</v>
      </c>
      <c r="I2184" s="247" t="s">
        <v>2165</v>
      </c>
      <c r="J2184" s="247">
        <v>90</v>
      </c>
      <c r="K2184" s="247">
        <v>90.2</v>
      </c>
      <c r="L2184" s="249" t="s">
        <v>652</v>
      </c>
      <c r="M2184" s="249" t="s">
        <v>933</v>
      </c>
      <c r="N2184" s="248">
        <v>50.61</v>
      </c>
      <c r="O2184" s="248">
        <v>184.15</v>
      </c>
      <c r="P2184" s="247" t="s">
        <v>1415</v>
      </c>
      <c r="Q2184" s="247" t="s">
        <v>86</v>
      </c>
    </row>
    <row r="2185" spans="1:17" x14ac:dyDescent="0.25">
      <c r="A2185" s="247" t="s">
        <v>646</v>
      </c>
      <c r="B2185" s="247" t="s">
        <v>265</v>
      </c>
      <c r="C2185" s="247" t="s">
        <v>1343</v>
      </c>
      <c r="D2185" s="247" t="s">
        <v>575</v>
      </c>
      <c r="E2185" s="247" t="s">
        <v>1311</v>
      </c>
      <c r="F2185" s="247" t="s">
        <v>2164</v>
      </c>
      <c r="G2185" s="247" t="s">
        <v>1354</v>
      </c>
      <c r="H2185" s="247" t="s">
        <v>2010</v>
      </c>
      <c r="I2185" s="247" t="s">
        <v>2165</v>
      </c>
      <c r="J2185" s="247">
        <v>90</v>
      </c>
      <c r="K2185" s="247">
        <v>90.2</v>
      </c>
      <c r="L2185" s="249" t="s">
        <v>789</v>
      </c>
      <c r="M2185" s="249" t="s">
        <v>929</v>
      </c>
      <c r="N2185" s="248">
        <v>52.33</v>
      </c>
      <c r="O2185" s="248">
        <v>52.33</v>
      </c>
      <c r="P2185" s="247" t="s">
        <v>1415</v>
      </c>
      <c r="Q2185" s="247" t="s">
        <v>87</v>
      </c>
    </row>
    <row r="2186" spans="1:17" x14ac:dyDescent="0.25">
      <c r="A2186" s="247" t="s">
        <v>646</v>
      </c>
      <c r="B2186" s="247" t="s">
        <v>265</v>
      </c>
      <c r="C2186" s="247" t="s">
        <v>1343</v>
      </c>
      <c r="D2186" s="247" t="s">
        <v>575</v>
      </c>
      <c r="E2186" s="247" t="s">
        <v>1311</v>
      </c>
      <c r="F2186" s="247" t="s">
        <v>2164</v>
      </c>
      <c r="G2186" s="247" t="s">
        <v>1354</v>
      </c>
      <c r="H2186" s="247" t="s">
        <v>2010</v>
      </c>
      <c r="I2186" s="247" t="s">
        <v>2165</v>
      </c>
      <c r="J2186" s="247">
        <v>90</v>
      </c>
      <c r="K2186" s="247">
        <v>90.2</v>
      </c>
      <c r="L2186" s="249" t="s">
        <v>791</v>
      </c>
      <c r="M2186" s="249" t="s">
        <v>929</v>
      </c>
      <c r="N2186" s="248">
        <v>54.39</v>
      </c>
      <c r="O2186" s="248">
        <v>106.72</v>
      </c>
      <c r="P2186" s="247" t="s">
        <v>1415</v>
      </c>
      <c r="Q2186" s="247" t="s">
        <v>88</v>
      </c>
    </row>
    <row r="2187" spans="1:17" x14ac:dyDescent="0.25">
      <c r="A2187" s="247" t="s">
        <v>646</v>
      </c>
      <c r="B2187" s="247" t="s">
        <v>265</v>
      </c>
      <c r="C2187" s="247" t="s">
        <v>1343</v>
      </c>
      <c r="D2187" s="247" t="s">
        <v>575</v>
      </c>
      <c r="E2187" s="247" t="s">
        <v>1311</v>
      </c>
      <c r="F2187" s="247" t="s">
        <v>2164</v>
      </c>
      <c r="G2187" s="247" t="s">
        <v>1354</v>
      </c>
      <c r="H2187" s="247" t="s">
        <v>2010</v>
      </c>
      <c r="I2187" s="247" t="s">
        <v>2165</v>
      </c>
      <c r="J2187" s="247">
        <v>90</v>
      </c>
      <c r="K2187" s="247">
        <v>90.2</v>
      </c>
      <c r="L2187" s="249" t="s">
        <v>935</v>
      </c>
      <c r="M2187" s="249" t="s">
        <v>929</v>
      </c>
      <c r="N2187" s="248">
        <v>54.59</v>
      </c>
      <c r="O2187" s="248">
        <v>161.31</v>
      </c>
      <c r="P2187" s="247" t="s">
        <v>1415</v>
      </c>
      <c r="Q2187" s="247" t="s">
        <v>89</v>
      </c>
    </row>
    <row r="2188" spans="1:17" x14ac:dyDescent="0.25">
      <c r="A2188" s="247" t="s">
        <v>646</v>
      </c>
      <c r="B2188" s="247" t="s">
        <v>265</v>
      </c>
      <c r="C2188" s="247" t="s">
        <v>1343</v>
      </c>
      <c r="D2188" s="247" t="s">
        <v>575</v>
      </c>
      <c r="E2188" s="247" t="s">
        <v>1311</v>
      </c>
      <c r="F2188" s="247" t="s">
        <v>2164</v>
      </c>
      <c r="G2188" s="247" t="s">
        <v>1354</v>
      </c>
      <c r="H2188" s="247" t="s">
        <v>2010</v>
      </c>
      <c r="I2188" s="247" t="s">
        <v>2165</v>
      </c>
      <c r="J2188" s="247">
        <v>90</v>
      </c>
      <c r="K2188" s="247">
        <v>90.2</v>
      </c>
      <c r="L2188" s="249" t="s">
        <v>936</v>
      </c>
      <c r="M2188" s="249" t="s">
        <v>929</v>
      </c>
      <c r="N2188" s="248">
        <v>79.97</v>
      </c>
      <c r="O2188" s="248">
        <v>241.28</v>
      </c>
      <c r="P2188" s="247" t="s">
        <v>1415</v>
      </c>
      <c r="Q2188" s="247" t="s">
        <v>90</v>
      </c>
    </row>
    <row r="2189" spans="1:17" x14ac:dyDescent="0.25">
      <c r="A2189" s="247" t="s">
        <v>646</v>
      </c>
      <c r="B2189" s="247" t="s">
        <v>265</v>
      </c>
      <c r="C2189" s="247" t="s">
        <v>1343</v>
      </c>
      <c r="D2189" s="247" t="s">
        <v>575</v>
      </c>
      <c r="E2189" s="247" t="s">
        <v>1311</v>
      </c>
      <c r="F2189" s="247" t="s">
        <v>2164</v>
      </c>
      <c r="G2189" s="247" t="s">
        <v>1354</v>
      </c>
      <c r="H2189" s="247" t="s">
        <v>2010</v>
      </c>
      <c r="I2189" s="247" t="s">
        <v>2165</v>
      </c>
      <c r="J2189" s="247">
        <v>90</v>
      </c>
      <c r="K2189" s="247">
        <v>90.2</v>
      </c>
      <c r="L2189" s="249" t="s">
        <v>937</v>
      </c>
      <c r="M2189" s="249" t="s">
        <v>929</v>
      </c>
      <c r="N2189" s="248">
        <v>50.11</v>
      </c>
      <c r="O2189" s="248">
        <v>291.39</v>
      </c>
      <c r="P2189" s="247" t="s">
        <v>1415</v>
      </c>
      <c r="Q2189" s="247" t="s">
        <v>91</v>
      </c>
    </row>
    <row r="2190" spans="1:17" x14ac:dyDescent="0.25">
      <c r="A2190" s="247" t="s">
        <v>646</v>
      </c>
      <c r="B2190" s="247" t="s">
        <v>265</v>
      </c>
      <c r="C2190" s="247" t="s">
        <v>1343</v>
      </c>
      <c r="D2190" s="247" t="s">
        <v>575</v>
      </c>
      <c r="E2190" s="247" t="s">
        <v>1311</v>
      </c>
      <c r="F2190" s="247" t="s">
        <v>2164</v>
      </c>
      <c r="G2190" s="247" t="s">
        <v>1354</v>
      </c>
      <c r="H2190" s="247" t="s">
        <v>2010</v>
      </c>
      <c r="I2190" s="247" t="s">
        <v>2165</v>
      </c>
      <c r="J2190" s="247">
        <v>90</v>
      </c>
      <c r="K2190" s="247">
        <v>90.2</v>
      </c>
      <c r="L2190" s="249" t="s">
        <v>938</v>
      </c>
      <c r="M2190" s="249" t="s">
        <v>929</v>
      </c>
      <c r="N2190" s="248">
        <v>54.29</v>
      </c>
      <c r="O2190" s="248">
        <v>345.68</v>
      </c>
      <c r="P2190" s="247" t="s">
        <v>1415</v>
      </c>
      <c r="Q2190" s="247" t="s">
        <v>92</v>
      </c>
    </row>
    <row r="2191" spans="1:17" x14ac:dyDescent="0.25">
      <c r="A2191" s="247" t="s">
        <v>646</v>
      </c>
      <c r="B2191" s="247" t="s">
        <v>265</v>
      </c>
      <c r="C2191" s="247" t="s">
        <v>1343</v>
      </c>
      <c r="D2191" s="247" t="s">
        <v>575</v>
      </c>
      <c r="E2191" s="247" t="s">
        <v>1311</v>
      </c>
      <c r="F2191" s="247" t="s">
        <v>2164</v>
      </c>
      <c r="G2191" s="247" t="s">
        <v>1354</v>
      </c>
      <c r="H2191" s="247" t="s">
        <v>2010</v>
      </c>
      <c r="I2191" s="247" t="s">
        <v>2165</v>
      </c>
      <c r="J2191" s="247">
        <v>90</v>
      </c>
      <c r="K2191" s="247">
        <v>90.2</v>
      </c>
      <c r="L2191" s="249" t="s">
        <v>939</v>
      </c>
      <c r="M2191" s="249" t="s">
        <v>929</v>
      </c>
      <c r="N2191" s="248">
        <v>48.16</v>
      </c>
      <c r="O2191" s="248">
        <v>393.84</v>
      </c>
      <c r="P2191" s="247" t="s">
        <v>1415</v>
      </c>
      <c r="Q2191" s="247" t="s">
        <v>93</v>
      </c>
    </row>
    <row r="2192" spans="1:17" x14ac:dyDescent="0.25">
      <c r="A2192" s="247" t="s">
        <v>646</v>
      </c>
      <c r="B2192" s="247" t="s">
        <v>265</v>
      </c>
      <c r="C2192" s="247" t="s">
        <v>1343</v>
      </c>
      <c r="D2192" s="247" t="s">
        <v>575</v>
      </c>
      <c r="E2192" s="247" t="s">
        <v>1311</v>
      </c>
      <c r="F2192" s="247" t="s">
        <v>2164</v>
      </c>
      <c r="G2192" s="247" t="s">
        <v>1354</v>
      </c>
      <c r="H2192" s="247" t="s">
        <v>2010</v>
      </c>
      <c r="I2192" s="247" t="s">
        <v>2165</v>
      </c>
      <c r="J2192" s="247">
        <v>90</v>
      </c>
      <c r="K2192" s="247">
        <v>90.2</v>
      </c>
      <c r="L2192" s="249" t="s">
        <v>940</v>
      </c>
      <c r="M2192" s="249" t="s">
        <v>929</v>
      </c>
      <c r="N2192" s="248">
        <v>54.23</v>
      </c>
      <c r="O2192" s="248">
        <v>448.07</v>
      </c>
      <c r="P2192" s="247" t="s">
        <v>1415</v>
      </c>
      <c r="Q2192" s="247" t="s">
        <v>94</v>
      </c>
    </row>
    <row r="2193" spans="1:17" x14ac:dyDescent="0.25">
      <c r="A2193" s="247" t="s">
        <v>646</v>
      </c>
      <c r="B2193" s="247" t="s">
        <v>265</v>
      </c>
      <c r="C2193" s="247" t="s">
        <v>1343</v>
      </c>
      <c r="D2193" s="247" t="s">
        <v>575</v>
      </c>
      <c r="E2193" s="247" t="s">
        <v>1311</v>
      </c>
      <c r="F2193" s="247" t="s">
        <v>2164</v>
      </c>
      <c r="G2193" s="247" t="s">
        <v>1354</v>
      </c>
      <c r="H2193" s="247" t="s">
        <v>2010</v>
      </c>
      <c r="I2193" s="247" t="s">
        <v>2165</v>
      </c>
      <c r="J2193" s="247">
        <v>90</v>
      </c>
      <c r="K2193" s="247">
        <v>90.2</v>
      </c>
      <c r="L2193" s="249" t="s">
        <v>642</v>
      </c>
      <c r="M2193" s="249" t="s">
        <v>929</v>
      </c>
      <c r="N2193" s="248">
        <v>81.03</v>
      </c>
      <c r="O2193" s="248">
        <v>529.1</v>
      </c>
      <c r="P2193" s="247" t="s">
        <v>1415</v>
      </c>
      <c r="Q2193" s="247" t="s">
        <v>95</v>
      </c>
    </row>
    <row r="2194" spans="1:17" x14ac:dyDescent="0.25">
      <c r="A2194" s="247" t="s">
        <v>646</v>
      </c>
      <c r="B2194" s="247" t="s">
        <v>265</v>
      </c>
      <c r="C2194" s="247" t="s">
        <v>1343</v>
      </c>
      <c r="D2194" s="247" t="s">
        <v>1356</v>
      </c>
      <c r="E2194" s="247" t="s">
        <v>1311</v>
      </c>
      <c r="F2194" s="247" t="s">
        <v>2166</v>
      </c>
      <c r="G2194" s="247" t="s">
        <v>1357</v>
      </c>
      <c r="H2194" s="247" t="s">
        <v>2010</v>
      </c>
      <c r="I2194" s="247" t="s">
        <v>2167</v>
      </c>
      <c r="J2194" s="247">
        <v>90</v>
      </c>
      <c r="K2194" s="247">
        <v>90.2</v>
      </c>
      <c r="L2194" s="249" t="s">
        <v>789</v>
      </c>
      <c r="M2194" s="249" t="s">
        <v>929</v>
      </c>
      <c r="N2194" s="248">
        <v>21.66</v>
      </c>
      <c r="O2194" s="248">
        <v>21.66</v>
      </c>
      <c r="P2194" s="247" t="s">
        <v>1416</v>
      </c>
      <c r="Q2194" s="247" t="s">
        <v>87</v>
      </c>
    </row>
    <row r="2195" spans="1:17" x14ac:dyDescent="0.25">
      <c r="A2195" s="247" t="s">
        <v>646</v>
      </c>
      <c r="B2195" s="247" t="s">
        <v>265</v>
      </c>
      <c r="C2195" s="247" t="s">
        <v>1343</v>
      </c>
      <c r="D2195" s="247" t="s">
        <v>1356</v>
      </c>
      <c r="E2195" s="247" t="s">
        <v>1311</v>
      </c>
      <c r="F2195" s="247" t="s">
        <v>2166</v>
      </c>
      <c r="G2195" s="247" t="s">
        <v>1357</v>
      </c>
      <c r="H2195" s="247" t="s">
        <v>2010</v>
      </c>
      <c r="I2195" s="247" t="s">
        <v>2167</v>
      </c>
      <c r="J2195" s="247">
        <v>90</v>
      </c>
      <c r="K2195" s="247">
        <v>90.2</v>
      </c>
      <c r="L2195" s="249" t="s">
        <v>791</v>
      </c>
      <c r="M2195" s="249" t="s">
        <v>929</v>
      </c>
      <c r="N2195" s="248">
        <v>20.350000000000001</v>
      </c>
      <c r="O2195" s="248">
        <v>42.01</v>
      </c>
      <c r="P2195" s="247" t="s">
        <v>1416</v>
      </c>
      <c r="Q2195" s="247" t="s">
        <v>88</v>
      </c>
    </row>
    <row r="2196" spans="1:17" x14ac:dyDescent="0.25">
      <c r="A2196" s="247" t="s">
        <v>646</v>
      </c>
      <c r="B2196" s="247" t="s">
        <v>265</v>
      </c>
      <c r="C2196" s="247" t="s">
        <v>1343</v>
      </c>
      <c r="D2196" s="247" t="s">
        <v>1356</v>
      </c>
      <c r="E2196" s="247" t="s">
        <v>1311</v>
      </c>
      <c r="F2196" s="247" t="s">
        <v>2166</v>
      </c>
      <c r="G2196" s="247" t="s">
        <v>1357</v>
      </c>
      <c r="H2196" s="247" t="s">
        <v>2010</v>
      </c>
      <c r="I2196" s="247" t="s">
        <v>2167</v>
      </c>
      <c r="J2196" s="247">
        <v>90</v>
      </c>
      <c r="K2196" s="247">
        <v>90.2</v>
      </c>
      <c r="L2196" s="249" t="s">
        <v>935</v>
      </c>
      <c r="M2196" s="249" t="s">
        <v>929</v>
      </c>
      <c r="N2196" s="248">
        <v>0</v>
      </c>
      <c r="O2196" s="248">
        <v>42.01</v>
      </c>
      <c r="P2196" s="247" t="s">
        <v>1416</v>
      </c>
      <c r="Q2196" s="247" t="s">
        <v>89</v>
      </c>
    </row>
    <row r="2197" spans="1:17" x14ac:dyDescent="0.25">
      <c r="A2197" s="247" t="s">
        <v>646</v>
      </c>
      <c r="B2197" s="247" t="s">
        <v>265</v>
      </c>
      <c r="C2197" s="247" t="s">
        <v>1343</v>
      </c>
      <c r="D2197" s="247" t="s">
        <v>1356</v>
      </c>
      <c r="E2197" s="247" t="s">
        <v>1311</v>
      </c>
      <c r="F2197" s="247" t="s">
        <v>2166</v>
      </c>
      <c r="G2197" s="247" t="s">
        <v>1357</v>
      </c>
      <c r="H2197" s="247" t="s">
        <v>2010</v>
      </c>
      <c r="I2197" s="247" t="s">
        <v>2167</v>
      </c>
      <c r="J2197" s="247">
        <v>90</v>
      </c>
      <c r="K2197" s="247">
        <v>90.2</v>
      </c>
      <c r="L2197" s="249" t="s">
        <v>936</v>
      </c>
      <c r="M2197" s="249" t="s">
        <v>929</v>
      </c>
      <c r="N2197" s="248">
        <v>0</v>
      </c>
      <c r="O2197" s="248">
        <v>42.01</v>
      </c>
      <c r="P2197" s="247" t="s">
        <v>1416</v>
      </c>
      <c r="Q2197" s="247" t="s">
        <v>90</v>
      </c>
    </row>
    <row r="2198" spans="1:17" x14ac:dyDescent="0.25">
      <c r="A2198" s="247" t="s">
        <v>646</v>
      </c>
      <c r="B2198" s="247" t="s">
        <v>265</v>
      </c>
      <c r="C2198" s="247" t="s">
        <v>1343</v>
      </c>
      <c r="D2198" s="247" t="s">
        <v>1356</v>
      </c>
      <c r="E2198" s="247" t="s">
        <v>1311</v>
      </c>
      <c r="F2198" s="247" t="s">
        <v>2166</v>
      </c>
      <c r="G2198" s="247" t="s">
        <v>1357</v>
      </c>
      <c r="H2198" s="247" t="s">
        <v>2010</v>
      </c>
      <c r="I2198" s="247" t="s">
        <v>2167</v>
      </c>
      <c r="J2198" s="247">
        <v>90</v>
      </c>
      <c r="K2198" s="247">
        <v>90.2</v>
      </c>
      <c r="L2198" s="249" t="s">
        <v>937</v>
      </c>
      <c r="M2198" s="249" t="s">
        <v>929</v>
      </c>
      <c r="N2198" s="248">
        <v>0</v>
      </c>
      <c r="O2198" s="248">
        <v>42.01</v>
      </c>
      <c r="P2198" s="247" t="s">
        <v>1416</v>
      </c>
      <c r="Q2198" s="247" t="s">
        <v>91</v>
      </c>
    </row>
    <row r="2199" spans="1:17" x14ac:dyDescent="0.25">
      <c r="A2199" s="247" t="s">
        <v>646</v>
      </c>
      <c r="B2199" s="247" t="s">
        <v>265</v>
      </c>
      <c r="C2199" s="247" t="s">
        <v>1343</v>
      </c>
      <c r="D2199" s="247" t="s">
        <v>1356</v>
      </c>
      <c r="E2199" s="247" t="s">
        <v>1311</v>
      </c>
      <c r="F2199" s="247" t="s">
        <v>2166</v>
      </c>
      <c r="G2199" s="247" t="s">
        <v>1357</v>
      </c>
      <c r="H2199" s="247" t="s">
        <v>2010</v>
      </c>
      <c r="I2199" s="247" t="s">
        <v>2167</v>
      </c>
      <c r="J2199" s="247">
        <v>90</v>
      </c>
      <c r="K2199" s="247">
        <v>90.2</v>
      </c>
      <c r="L2199" s="249" t="s">
        <v>938</v>
      </c>
      <c r="M2199" s="249" t="s">
        <v>929</v>
      </c>
      <c r="N2199" s="248">
        <v>0</v>
      </c>
      <c r="O2199" s="248">
        <v>42.01</v>
      </c>
      <c r="P2199" s="247" t="s">
        <v>1416</v>
      </c>
      <c r="Q2199" s="247" t="s">
        <v>92</v>
      </c>
    </row>
    <row r="2200" spans="1:17" x14ac:dyDescent="0.25">
      <c r="A2200" s="247" t="s">
        <v>646</v>
      </c>
      <c r="B2200" s="247" t="s">
        <v>265</v>
      </c>
      <c r="C2200" s="247" t="s">
        <v>1343</v>
      </c>
      <c r="D2200" s="247" t="s">
        <v>1356</v>
      </c>
      <c r="E2200" s="247" t="s">
        <v>1311</v>
      </c>
      <c r="F2200" s="247" t="s">
        <v>2166</v>
      </c>
      <c r="G2200" s="247" t="s">
        <v>1357</v>
      </c>
      <c r="H2200" s="247" t="s">
        <v>2010</v>
      </c>
      <c r="I2200" s="247" t="s">
        <v>2167</v>
      </c>
      <c r="J2200" s="247">
        <v>90</v>
      </c>
      <c r="K2200" s="247">
        <v>90.2</v>
      </c>
      <c r="L2200" s="249" t="s">
        <v>939</v>
      </c>
      <c r="M2200" s="249" t="s">
        <v>929</v>
      </c>
      <c r="N2200" s="248">
        <v>0</v>
      </c>
      <c r="O2200" s="248">
        <v>42.01</v>
      </c>
      <c r="P2200" s="247" t="s">
        <v>1416</v>
      </c>
      <c r="Q2200" s="247" t="s">
        <v>93</v>
      </c>
    </row>
    <row r="2201" spans="1:17" x14ac:dyDescent="0.25">
      <c r="A2201" s="247" t="s">
        <v>646</v>
      </c>
      <c r="B2201" s="247" t="s">
        <v>265</v>
      </c>
      <c r="C2201" s="247" t="s">
        <v>1343</v>
      </c>
      <c r="D2201" s="247" t="s">
        <v>1356</v>
      </c>
      <c r="E2201" s="247" t="s">
        <v>1311</v>
      </c>
      <c r="F2201" s="247" t="s">
        <v>2166</v>
      </c>
      <c r="G2201" s="247" t="s">
        <v>1357</v>
      </c>
      <c r="H2201" s="247" t="s">
        <v>2010</v>
      </c>
      <c r="I2201" s="247" t="s">
        <v>2167</v>
      </c>
      <c r="J2201" s="247">
        <v>90</v>
      </c>
      <c r="K2201" s="247">
        <v>90.2</v>
      </c>
      <c r="L2201" s="249" t="s">
        <v>940</v>
      </c>
      <c r="M2201" s="249" t="s">
        <v>929</v>
      </c>
      <c r="N2201" s="248">
        <v>0</v>
      </c>
      <c r="O2201" s="248">
        <v>42.01</v>
      </c>
      <c r="P2201" s="247" t="s">
        <v>1416</v>
      </c>
      <c r="Q2201" s="247" t="s">
        <v>94</v>
      </c>
    </row>
    <row r="2202" spans="1:17" x14ac:dyDescent="0.25">
      <c r="A2202" s="247" t="s">
        <v>646</v>
      </c>
      <c r="B2202" s="247" t="s">
        <v>265</v>
      </c>
      <c r="C2202" s="247" t="s">
        <v>1343</v>
      </c>
      <c r="D2202" s="247" t="s">
        <v>1356</v>
      </c>
      <c r="E2202" s="247" t="s">
        <v>1311</v>
      </c>
      <c r="F2202" s="247" t="s">
        <v>2166</v>
      </c>
      <c r="G2202" s="247" t="s">
        <v>1357</v>
      </c>
      <c r="H2202" s="247" t="s">
        <v>2010</v>
      </c>
      <c r="I2202" s="247" t="s">
        <v>2167</v>
      </c>
      <c r="J2202" s="247">
        <v>90</v>
      </c>
      <c r="K2202" s="247">
        <v>90.2</v>
      </c>
      <c r="L2202" s="249" t="s">
        <v>642</v>
      </c>
      <c r="M2202" s="249" t="s">
        <v>929</v>
      </c>
      <c r="N2202" s="248">
        <v>0</v>
      </c>
      <c r="O2202" s="248">
        <v>42.01</v>
      </c>
      <c r="P2202" s="247" t="s">
        <v>1416</v>
      </c>
      <c r="Q2202" s="247" t="s">
        <v>95</v>
      </c>
    </row>
    <row r="2203" spans="1:17" x14ac:dyDescent="0.25">
      <c r="A2203" s="247" t="s">
        <v>646</v>
      </c>
      <c r="B2203" s="247" t="s">
        <v>265</v>
      </c>
      <c r="C2203" s="247" t="s">
        <v>1343</v>
      </c>
      <c r="D2203" s="247" t="s">
        <v>946</v>
      </c>
      <c r="E2203" s="247" t="s">
        <v>1311</v>
      </c>
      <c r="F2203" s="247" t="s">
        <v>2168</v>
      </c>
      <c r="G2203" s="247" t="s">
        <v>1359</v>
      </c>
      <c r="H2203" s="247" t="s">
        <v>2010</v>
      </c>
      <c r="I2203" s="247" t="s">
        <v>2169</v>
      </c>
      <c r="J2203" s="247">
        <v>90</v>
      </c>
      <c r="K2203" s="247">
        <v>90.2</v>
      </c>
      <c r="L2203" s="249" t="s">
        <v>646</v>
      </c>
      <c r="M2203" s="249" t="s">
        <v>933</v>
      </c>
      <c r="N2203" s="248">
        <v>23.01</v>
      </c>
      <c r="O2203" s="248">
        <v>23.01</v>
      </c>
      <c r="P2203" s="247" t="s">
        <v>1417</v>
      </c>
      <c r="Q2203" s="247" t="s">
        <v>84</v>
      </c>
    </row>
    <row r="2204" spans="1:17" x14ac:dyDescent="0.25">
      <c r="A2204" s="247" t="s">
        <v>646</v>
      </c>
      <c r="B2204" s="247" t="s">
        <v>265</v>
      </c>
      <c r="C2204" s="247" t="s">
        <v>1343</v>
      </c>
      <c r="D2204" s="247" t="s">
        <v>946</v>
      </c>
      <c r="E2204" s="247" t="s">
        <v>1311</v>
      </c>
      <c r="F2204" s="247" t="s">
        <v>2168</v>
      </c>
      <c r="G2204" s="247" t="s">
        <v>1359</v>
      </c>
      <c r="H2204" s="247" t="s">
        <v>2010</v>
      </c>
      <c r="I2204" s="247" t="s">
        <v>2169</v>
      </c>
      <c r="J2204" s="247">
        <v>90</v>
      </c>
      <c r="K2204" s="247">
        <v>90.2</v>
      </c>
      <c r="L2204" s="249" t="s">
        <v>650</v>
      </c>
      <c r="M2204" s="249" t="s">
        <v>933</v>
      </c>
      <c r="N2204" s="248">
        <v>15.42</v>
      </c>
      <c r="O2204" s="248">
        <v>38.43</v>
      </c>
      <c r="P2204" s="247" t="s">
        <v>1417</v>
      </c>
      <c r="Q2204" s="247" t="s">
        <v>85</v>
      </c>
    </row>
    <row r="2205" spans="1:17" x14ac:dyDescent="0.25">
      <c r="A2205" s="247" t="s">
        <v>646</v>
      </c>
      <c r="B2205" s="247" t="s">
        <v>265</v>
      </c>
      <c r="C2205" s="247" t="s">
        <v>1343</v>
      </c>
      <c r="D2205" s="247" t="s">
        <v>946</v>
      </c>
      <c r="E2205" s="247" t="s">
        <v>1311</v>
      </c>
      <c r="F2205" s="247" t="s">
        <v>2168</v>
      </c>
      <c r="G2205" s="247" t="s">
        <v>1359</v>
      </c>
      <c r="H2205" s="247" t="s">
        <v>2010</v>
      </c>
      <c r="I2205" s="247" t="s">
        <v>2169</v>
      </c>
      <c r="J2205" s="247">
        <v>90</v>
      </c>
      <c r="K2205" s="247">
        <v>90.2</v>
      </c>
      <c r="L2205" s="249" t="s">
        <v>652</v>
      </c>
      <c r="M2205" s="249" t="s">
        <v>933</v>
      </c>
      <c r="N2205" s="248">
        <v>7.01</v>
      </c>
      <c r="O2205" s="248">
        <v>45.44</v>
      </c>
      <c r="P2205" s="247" t="s">
        <v>1417</v>
      </c>
      <c r="Q2205" s="247" t="s">
        <v>86</v>
      </c>
    </row>
    <row r="2206" spans="1:17" x14ac:dyDescent="0.25">
      <c r="A2206" s="247" t="s">
        <v>646</v>
      </c>
      <c r="B2206" s="247" t="s">
        <v>265</v>
      </c>
      <c r="C2206" s="247" t="s">
        <v>1343</v>
      </c>
      <c r="D2206" s="247" t="s">
        <v>946</v>
      </c>
      <c r="E2206" s="247" t="s">
        <v>1311</v>
      </c>
      <c r="F2206" s="247" t="s">
        <v>2168</v>
      </c>
      <c r="G2206" s="247" t="s">
        <v>1359</v>
      </c>
      <c r="H2206" s="247" t="s">
        <v>2010</v>
      </c>
      <c r="I2206" s="247" t="s">
        <v>2169</v>
      </c>
      <c r="J2206" s="247">
        <v>90</v>
      </c>
      <c r="K2206" s="247">
        <v>90.2</v>
      </c>
      <c r="L2206" s="249" t="s">
        <v>789</v>
      </c>
      <c r="M2206" s="249" t="s">
        <v>929</v>
      </c>
      <c r="N2206" s="248">
        <v>13.78</v>
      </c>
      <c r="O2206" s="248">
        <v>13.78</v>
      </c>
      <c r="P2206" s="247" t="s">
        <v>1417</v>
      </c>
      <c r="Q2206" s="247" t="s">
        <v>87</v>
      </c>
    </row>
    <row r="2207" spans="1:17" x14ac:dyDescent="0.25">
      <c r="A2207" s="247" t="s">
        <v>646</v>
      </c>
      <c r="B2207" s="247" t="s">
        <v>265</v>
      </c>
      <c r="C2207" s="247" t="s">
        <v>1343</v>
      </c>
      <c r="D2207" s="247" t="s">
        <v>946</v>
      </c>
      <c r="E2207" s="247" t="s">
        <v>1311</v>
      </c>
      <c r="F2207" s="247" t="s">
        <v>2168</v>
      </c>
      <c r="G2207" s="247" t="s">
        <v>1359</v>
      </c>
      <c r="H2207" s="247" t="s">
        <v>2010</v>
      </c>
      <c r="I2207" s="247" t="s">
        <v>2169</v>
      </c>
      <c r="J2207" s="247">
        <v>90</v>
      </c>
      <c r="K2207" s="247">
        <v>90.2</v>
      </c>
      <c r="L2207" s="249" t="s">
        <v>791</v>
      </c>
      <c r="M2207" s="249" t="s">
        <v>929</v>
      </c>
      <c r="N2207" s="248">
        <v>13.87</v>
      </c>
      <c r="O2207" s="248">
        <v>27.65</v>
      </c>
      <c r="P2207" s="247" t="s">
        <v>1417</v>
      </c>
      <c r="Q2207" s="247" t="s">
        <v>88</v>
      </c>
    </row>
    <row r="2208" spans="1:17" x14ac:dyDescent="0.25">
      <c r="A2208" s="247" t="s">
        <v>646</v>
      </c>
      <c r="B2208" s="247" t="s">
        <v>265</v>
      </c>
      <c r="C2208" s="247" t="s">
        <v>1343</v>
      </c>
      <c r="D2208" s="247" t="s">
        <v>946</v>
      </c>
      <c r="E2208" s="247" t="s">
        <v>1311</v>
      </c>
      <c r="F2208" s="247" t="s">
        <v>2168</v>
      </c>
      <c r="G2208" s="247" t="s">
        <v>1359</v>
      </c>
      <c r="H2208" s="247" t="s">
        <v>2010</v>
      </c>
      <c r="I2208" s="247" t="s">
        <v>2169</v>
      </c>
      <c r="J2208" s="247">
        <v>90</v>
      </c>
      <c r="K2208" s="247">
        <v>90.2</v>
      </c>
      <c r="L2208" s="249" t="s">
        <v>935</v>
      </c>
      <c r="M2208" s="249" t="s">
        <v>929</v>
      </c>
      <c r="N2208" s="248">
        <v>13.33</v>
      </c>
      <c r="O2208" s="248">
        <v>40.98</v>
      </c>
      <c r="P2208" s="247" t="s">
        <v>1417</v>
      </c>
      <c r="Q2208" s="247" t="s">
        <v>89</v>
      </c>
    </row>
    <row r="2209" spans="1:17" x14ac:dyDescent="0.25">
      <c r="A2209" s="247" t="s">
        <v>646</v>
      </c>
      <c r="B2209" s="247" t="s">
        <v>265</v>
      </c>
      <c r="C2209" s="247" t="s">
        <v>1343</v>
      </c>
      <c r="D2209" s="247" t="s">
        <v>946</v>
      </c>
      <c r="E2209" s="247" t="s">
        <v>1311</v>
      </c>
      <c r="F2209" s="247" t="s">
        <v>2168</v>
      </c>
      <c r="G2209" s="247" t="s">
        <v>1359</v>
      </c>
      <c r="H2209" s="247" t="s">
        <v>2010</v>
      </c>
      <c r="I2209" s="247" t="s">
        <v>2169</v>
      </c>
      <c r="J2209" s="247">
        <v>90</v>
      </c>
      <c r="K2209" s="247">
        <v>90.2</v>
      </c>
      <c r="L2209" s="249" t="s">
        <v>936</v>
      </c>
      <c r="M2209" s="249" t="s">
        <v>929</v>
      </c>
      <c r="N2209" s="248">
        <v>20.11</v>
      </c>
      <c r="O2209" s="248">
        <v>61.09</v>
      </c>
      <c r="P2209" s="247" t="s">
        <v>1417</v>
      </c>
      <c r="Q2209" s="247" t="s">
        <v>90</v>
      </c>
    </row>
    <row r="2210" spans="1:17" x14ac:dyDescent="0.25">
      <c r="A2210" s="247" t="s">
        <v>646</v>
      </c>
      <c r="B2210" s="247" t="s">
        <v>265</v>
      </c>
      <c r="C2210" s="247" t="s">
        <v>1343</v>
      </c>
      <c r="D2210" s="247" t="s">
        <v>946</v>
      </c>
      <c r="E2210" s="247" t="s">
        <v>1311</v>
      </c>
      <c r="F2210" s="247" t="s">
        <v>2168</v>
      </c>
      <c r="G2210" s="247" t="s">
        <v>1359</v>
      </c>
      <c r="H2210" s="247" t="s">
        <v>2010</v>
      </c>
      <c r="I2210" s="247" t="s">
        <v>2169</v>
      </c>
      <c r="J2210" s="247">
        <v>90</v>
      </c>
      <c r="K2210" s="247">
        <v>90.2</v>
      </c>
      <c r="L2210" s="249" t="s">
        <v>937</v>
      </c>
      <c r="M2210" s="249" t="s">
        <v>929</v>
      </c>
      <c r="N2210" s="248">
        <v>12.19</v>
      </c>
      <c r="O2210" s="248">
        <v>73.28</v>
      </c>
      <c r="P2210" s="247" t="s">
        <v>1417</v>
      </c>
      <c r="Q2210" s="247" t="s">
        <v>91</v>
      </c>
    </row>
    <row r="2211" spans="1:17" x14ac:dyDescent="0.25">
      <c r="A2211" s="247" t="s">
        <v>646</v>
      </c>
      <c r="B2211" s="247" t="s">
        <v>265</v>
      </c>
      <c r="C2211" s="247" t="s">
        <v>1343</v>
      </c>
      <c r="D2211" s="247" t="s">
        <v>946</v>
      </c>
      <c r="E2211" s="247" t="s">
        <v>1311</v>
      </c>
      <c r="F2211" s="247" t="s">
        <v>2168</v>
      </c>
      <c r="G2211" s="247" t="s">
        <v>1359</v>
      </c>
      <c r="H2211" s="247" t="s">
        <v>2010</v>
      </c>
      <c r="I2211" s="247" t="s">
        <v>2169</v>
      </c>
      <c r="J2211" s="247">
        <v>90</v>
      </c>
      <c r="K2211" s="247">
        <v>90.2</v>
      </c>
      <c r="L2211" s="249" t="s">
        <v>938</v>
      </c>
      <c r="M2211" s="249" t="s">
        <v>929</v>
      </c>
      <c r="N2211" s="248">
        <v>13.85</v>
      </c>
      <c r="O2211" s="248">
        <v>87.13</v>
      </c>
      <c r="P2211" s="247" t="s">
        <v>1417</v>
      </c>
      <c r="Q2211" s="247" t="s">
        <v>92</v>
      </c>
    </row>
    <row r="2212" spans="1:17" x14ac:dyDescent="0.25">
      <c r="A2212" s="247" t="s">
        <v>646</v>
      </c>
      <c r="B2212" s="247" t="s">
        <v>265</v>
      </c>
      <c r="C2212" s="247" t="s">
        <v>1343</v>
      </c>
      <c r="D2212" s="247" t="s">
        <v>946</v>
      </c>
      <c r="E2212" s="247" t="s">
        <v>1311</v>
      </c>
      <c r="F2212" s="247" t="s">
        <v>2168</v>
      </c>
      <c r="G2212" s="247" t="s">
        <v>1359</v>
      </c>
      <c r="H2212" s="247" t="s">
        <v>2010</v>
      </c>
      <c r="I2212" s="247" t="s">
        <v>2169</v>
      </c>
      <c r="J2212" s="247">
        <v>90</v>
      </c>
      <c r="K2212" s="247">
        <v>90.2</v>
      </c>
      <c r="L2212" s="249" t="s">
        <v>939</v>
      </c>
      <c r="M2212" s="249" t="s">
        <v>929</v>
      </c>
      <c r="N2212" s="248">
        <v>12.22</v>
      </c>
      <c r="O2212" s="248">
        <v>99.35</v>
      </c>
      <c r="P2212" s="247" t="s">
        <v>1417</v>
      </c>
      <c r="Q2212" s="247" t="s">
        <v>93</v>
      </c>
    </row>
    <row r="2213" spans="1:17" x14ac:dyDescent="0.25">
      <c r="A2213" s="247" t="s">
        <v>646</v>
      </c>
      <c r="B2213" s="247" t="s">
        <v>265</v>
      </c>
      <c r="C2213" s="247" t="s">
        <v>1343</v>
      </c>
      <c r="D2213" s="247" t="s">
        <v>946</v>
      </c>
      <c r="E2213" s="247" t="s">
        <v>1311</v>
      </c>
      <c r="F2213" s="247" t="s">
        <v>2168</v>
      </c>
      <c r="G2213" s="247" t="s">
        <v>1359</v>
      </c>
      <c r="H2213" s="247" t="s">
        <v>2010</v>
      </c>
      <c r="I2213" s="247" t="s">
        <v>2169</v>
      </c>
      <c r="J2213" s="247">
        <v>90</v>
      </c>
      <c r="K2213" s="247">
        <v>90.2</v>
      </c>
      <c r="L2213" s="249" t="s">
        <v>940</v>
      </c>
      <c r="M2213" s="249" t="s">
        <v>929</v>
      </c>
      <c r="N2213" s="248">
        <v>13.76</v>
      </c>
      <c r="O2213" s="248">
        <v>113.11</v>
      </c>
      <c r="P2213" s="247" t="s">
        <v>1417</v>
      </c>
      <c r="Q2213" s="247" t="s">
        <v>94</v>
      </c>
    </row>
    <row r="2214" spans="1:17" x14ac:dyDescent="0.25">
      <c r="A2214" s="247" t="s">
        <v>646</v>
      </c>
      <c r="B2214" s="247" t="s">
        <v>265</v>
      </c>
      <c r="C2214" s="247" t="s">
        <v>1343</v>
      </c>
      <c r="D2214" s="247" t="s">
        <v>946</v>
      </c>
      <c r="E2214" s="247" t="s">
        <v>1311</v>
      </c>
      <c r="F2214" s="247" t="s">
        <v>2168</v>
      </c>
      <c r="G2214" s="247" t="s">
        <v>1359</v>
      </c>
      <c r="H2214" s="247" t="s">
        <v>2010</v>
      </c>
      <c r="I2214" s="247" t="s">
        <v>2169</v>
      </c>
      <c r="J2214" s="247">
        <v>90</v>
      </c>
      <c r="K2214" s="247">
        <v>90.2</v>
      </c>
      <c r="L2214" s="249" t="s">
        <v>642</v>
      </c>
      <c r="M2214" s="249" t="s">
        <v>929</v>
      </c>
      <c r="N2214" s="248">
        <v>19.71</v>
      </c>
      <c r="O2214" s="248">
        <v>132.82</v>
      </c>
      <c r="P2214" s="247" t="s">
        <v>1417</v>
      </c>
      <c r="Q2214" s="247" t="s">
        <v>95</v>
      </c>
    </row>
    <row r="2215" spans="1:17" x14ac:dyDescent="0.25">
      <c r="A2215" s="247" t="s">
        <v>646</v>
      </c>
      <c r="B2215" s="247" t="s">
        <v>265</v>
      </c>
      <c r="C2215" s="247" t="s">
        <v>1343</v>
      </c>
      <c r="D2215" s="247" t="s">
        <v>1361</v>
      </c>
      <c r="E2215" s="247" t="s">
        <v>1311</v>
      </c>
      <c r="F2215" s="247" t="s">
        <v>2170</v>
      </c>
      <c r="G2215" s="247" t="s">
        <v>1396</v>
      </c>
      <c r="H2215" s="247" t="s">
        <v>2010</v>
      </c>
      <c r="I2215" s="247" t="s">
        <v>2171</v>
      </c>
      <c r="J2215" s="247">
        <v>88</v>
      </c>
      <c r="K2215" s="247">
        <v>90.2</v>
      </c>
      <c r="L2215" s="249" t="s">
        <v>646</v>
      </c>
      <c r="M2215" s="249" t="s">
        <v>933</v>
      </c>
      <c r="N2215" s="248">
        <v>19.739999999999998</v>
      </c>
      <c r="O2215" s="248">
        <v>19.739999999999998</v>
      </c>
      <c r="P2215" s="247" t="s">
        <v>1418</v>
      </c>
      <c r="Q2215" s="247" t="s">
        <v>84</v>
      </c>
    </row>
    <row r="2216" spans="1:17" x14ac:dyDescent="0.25">
      <c r="A2216" s="247" t="s">
        <v>646</v>
      </c>
      <c r="B2216" s="247" t="s">
        <v>265</v>
      </c>
      <c r="C2216" s="247" t="s">
        <v>1343</v>
      </c>
      <c r="D2216" s="247" t="s">
        <v>1361</v>
      </c>
      <c r="E2216" s="247" t="s">
        <v>1311</v>
      </c>
      <c r="F2216" s="247" t="s">
        <v>2170</v>
      </c>
      <c r="G2216" s="247" t="s">
        <v>1396</v>
      </c>
      <c r="H2216" s="247" t="s">
        <v>2010</v>
      </c>
      <c r="I2216" s="247" t="s">
        <v>2171</v>
      </c>
      <c r="J2216" s="247">
        <v>88</v>
      </c>
      <c r="K2216" s="247">
        <v>90.2</v>
      </c>
      <c r="L2216" s="249" t="s">
        <v>650</v>
      </c>
      <c r="M2216" s="249" t="s">
        <v>933</v>
      </c>
      <c r="N2216" s="248">
        <v>13.23</v>
      </c>
      <c r="O2216" s="248">
        <v>32.97</v>
      </c>
      <c r="P2216" s="247" t="s">
        <v>1418</v>
      </c>
      <c r="Q2216" s="247" t="s">
        <v>85</v>
      </c>
    </row>
    <row r="2217" spans="1:17" x14ac:dyDescent="0.25">
      <c r="A2217" s="247" t="s">
        <v>646</v>
      </c>
      <c r="B2217" s="247" t="s">
        <v>265</v>
      </c>
      <c r="C2217" s="247" t="s">
        <v>1343</v>
      </c>
      <c r="D2217" s="247" t="s">
        <v>1361</v>
      </c>
      <c r="E2217" s="247" t="s">
        <v>1311</v>
      </c>
      <c r="F2217" s="247" t="s">
        <v>2170</v>
      </c>
      <c r="G2217" s="247" t="s">
        <v>1396</v>
      </c>
      <c r="H2217" s="247" t="s">
        <v>2010</v>
      </c>
      <c r="I2217" s="247" t="s">
        <v>2171</v>
      </c>
      <c r="J2217" s="247">
        <v>88</v>
      </c>
      <c r="K2217" s="247">
        <v>90.2</v>
      </c>
      <c r="L2217" s="249" t="s">
        <v>652</v>
      </c>
      <c r="M2217" s="249" t="s">
        <v>933</v>
      </c>
      <c r="N2217" s="248">
        <v>12</v>
      </c>
      <c r="O2217" s="248">
        <v>44.97</v>
      </c>
      <c r="P2217" s="247" t="s">
        <v>1418</v>
      </c>
      <c r="Q2217" s="247" t="s">
        <v>86</v>
      </c>
    </row>
    <row r="2218" spans="1:17" x14ac:dyDescent="0.25">
      <c r="A2218" s="247" t="s">
        <v>646</v>
      </c>
      <c r="B2218" s="247" t="s">
        <v>265</v>
      </c>
      <c r="C2218" s="247" t="s">
        <v>1343</v>
      </c>
      <c r="D2218" s="247" t="s">
        <v>1361</v>
      </c>
      <c r="E2218" s="247" t="s">
        <v>1311</v>
      </c>
      <c r="F2218" s="247" t="s">
        <v>2170</v>
      </c>
      <c r="G2218" s="247" t="s">
        <v>1396</v>
      </c>
      <c r="H2218" s="247" t="s">
        <v>2010</v>
      </c>
      <c r="I2218" s="247" t="s">
        <v>2171</v>
      </c>
      <c r="J2218" s="247">
        <v>88</v>
      </c>
      <c r="K2218" s="247">
        <v>90.2</v>
      </c>
      <c r="L2218" s="249" t="s">
        <v>789</v>
      </c>
      <c r="M2218" s="249" t="s">
        <v>929</v>
      </c>
      <c r="N2218" s="248">
        <v>11.22</v>
      </c>
      <c r="O2218" s="248">
        <v>11.22</v>
      </c>
      <c r="P2218" s="247" t="s">
        <v>1418</v>
      </c>
      <c r="Q2218" s="247" t="s">
        <v>87</v>
      </c>
    </row>
    <row r="2219" spans="1:17" x14ac:dyDescent="0.25">
      <c r="A2219" s="247" t="s">
        <v>646</v>
      </c>
      <c r="B2219" s="247" t="s">
        <v>265</v>
      </c>
      <c r="C2219" s="247" t="s">
        <v>1343</v>
      </c>
      <c r="D2219" s="247" t="s">
        <v>1361</v>
      </c>
      <c r="E2219" s="247" t="s">
        <v>1311</v>
      </c>
      <c r="F2219" s="247" t="s">
        <v>2170</v>
      </c>
      <c r="G2219" s="247" t="s">
        <v>1396</v>
      </c>
      <c r="H2219" s="247" t="s">
        <v>2010</v>
      </c>
      <c r="I2219" s="247" t="s">
        <v>2171</v>
      </c>
      <c r="J2219" s="247">
        <v>88</v>
      </c>
      <c r="K2219" s="247">
        <v>90.2</v>
      </c>
      <c r="L2219" s="249" t="s">
        <v>791</v>
      </c>
      <c r="M2219" s="249" t="s">
        <v>929</v>
      </c>
      <c r="N2219" s="248">
        <v>13.48</v>
      </c>
      <c r="O2219" s="248">
        <v>24.7</v>
      </c>
      <c r="P2219" s="247" t="s">
        <v>1418</v>
      </c>
      <c r="Q2219" s="247" t="s">
        <v>88</v>
      </c>
    </row>
    <row r="2220" spans="1:17" x14ac:dyDescent="0.25">
      <c r="A2220" s="247" t="s">
        <v>646</v>
      </c>
      <c r="B2220" s="247" t="s">
        <v>265</v>
      </c>
      <c r="C2220" s="247" t="s">
        <v>1343</v>
      </c>
      <c r="D2220" s="247" t="s">
        <v>1361</v>
      </c>
      <c r="E2220" s="247" t="s">
        <v>1311</v>
      </c>
      <c r="F2220" s="247" t="s">
        <v>2170</v>
      </c>
      <c r="G2220" s="247" t="s">
        <v>1396</v>
      </c>
      <c r="H2220" s="247" t="s">
        <v>2010</v>
      </c>
      <c r="I2220" s="247" t="s">
        <v>2171</v>
      </c>
      <c r="J2220" s="247">
        <v>88</v>
      </c>
      <c r="K2220" s="247">
        <v>90.2</v>
      </c>
      <c r="L2220" s="249" t="s">
        <v>935</v>
      </c>
      <c r="M2220" s="249" t="s">
        <v>929</v>
      </c>
      <c r="N2220" s="248">
        <v>11.92</v>
      </c>
      <c r="O2220" s="248">
        <v>36.619999999999997</v>
      </c>
      <c r="P2220" s="247" t="s">
        <v>1418</v>
      </c>
      <c r="Q2220" s="247" t="s">
        <v>89</v>
      </c>
    </row>
    <row r="2221" spans="1:17" x14ac:dyDescent="0.25">
      <c r="A2221" s="247" t="s">
        <v>646</v>
      </c>
      <c r="B2221" s="247" t="s">
        <v>265</v>
      </c>
      <c r="C2221" s="247" t="s">
        <v>1343</v>
      </c>
      <c r="D2221" s="247" t="s">
        <v>1361</v>
      </c>
      <c r="E2221" s="247" t="s">
        <v>1311</v>
      </c>
      <c r="F2221" s="247" t="s">
        <v>2170</v>
      </c>
      <c r="G2221" s="247" t="s">
        <v>1396</v>
      </c>
      <c r="H2221" s="247" t="s">
        <v>2010</v>
      </c>
      <c r="I2221" s="247" t="s">
        <v>2171</v>
      </c>
      <c r="J2221" s="247">
        <v>88</v>
      </c>
      <c r="K2221" s="247">
        <v>90.2</v>
      </c>
      <c r="L2221" s="249" t="s">
        <v>936</v>
      </c>
      <c r="M2221" s="249" t="s">
        <v>929</v>
      </c>
      <c r="N2221" s="248">
        <v>19.97</v>
      </c>
      <c r="O2221" s="248">
        <v>56.59</v>
      </c>
      <c r="P2221" s="247" t="s">
        <v>1418</v>
      </c>
      <c r="Q2221" s="247" t="s">
        <v>90</v>
      </c>
    </row>
    <row r="2222" spans="1:17" x14ac:dyDescent="0.25">
      <c r="A2222" s="247" t="s">
        <v>646</v>
      </c>
      <c r="B2222" s="247" t="s">
        <v>265</v>
      </c>
      <c r="C2222" s="247" t="s">
        <v>1343</v>
      </c>
      <c r="D2222" s="247" t="s">
        <v>1361</v>
      </c>
      <c r="E2222" s="247" t="s">
        <v>1311</v>
      </c>
      <c r="F2222" s="247" t="s">
        <v>2170</v>
      </c>
      <c r="G2222" s="247" t="s">
        <v>1396</v>
      </c>
      <c r="H2222" s="247" t="s">
        <v>2010</v>
      </c>
      <c r="I2222" s="247" t="s">
        <v>2171</v>
      </c>
      <c r="J2222" s="247">
        <v>88</v>
      </c>
      <c r="K2222" s="247">
        <v>90.2</v>
      </c>
      <c r="L2222" s="249" t="s">
        <v>937</v>
      </c>
      <c r="M2222" s="249" t="s">
        <v>929</v>
      </c>
      <c r="N2222" s="248">
        <v>12.78</v>
      </c>
      <c r="O2222" s="248">
        <v>69.37</v>
      </c>
      <c r="P2222" s="247" t="s">
        <v>1418</v>
      </c>
      <c r="Q2222" s="247" t="s">
        <v>91</v>
      </c>
    </row>
    <row r="2223" spans="1:17" x14ac:dyDescent="0.25">
      <c r="A2223" s="247" t="s">
        <v>646</v>
      </c>
      <c r="B2223" s="247" t="s">
        <v>265</v>
      </c>
      <c r="C2223" s="247" t="s">
        <v>1343</v>
      </c>
      <c r="D2223" s="247" t="s">
        <v>1361</v>
      </c>
      <c r="E2223" s="247" t="s">
        <v>1311</v>
      </c>
      <c r="F2223" s="247" t="s">
        <v>2170</v>
      </c>
      <c r="G2223" s="247" t="s">
        <v>1396</v>
      </c>
      <c r="H2223" s="247" t="s">
        <v>2010</v>
      </c>
      <c r="I2223" s="247" t="s">
        <v>2171</v>
      </c>
      <c r="J2223" s="247">
        <v>88</v>
      </c>
      <c r="K2223" s="247">
        <v>90.2</v>
      </c>
      <c r="L2223" s="249" t="s">
        <v>938</v>
      </c>
      <c r="M2223" s="249" t="s">
        <v>929</v>
      </c>
      <c r="N2223" s="248">
        <v>12.24</v>
      </c>
      <c r="O2223" s="248">
        <v>81.61</v>
      </c>
      <c r="P2223" s="247" t="s">
        <v>1418</v>
      </c>
      <c r="Q2223" s="247" t="s">
        <v>92</v>
      </c>
    </row>
    <row r="2224" spans="1:17" x14ac:dyDescent="0.25">
      <c r="A2224" s="247" t="s">
        <v>646</v>
      </c>
      <c r="B2224" s="247" t="s">
        <v>265</v>
      </c>
      <c r="C2224" s="247" t="s">
        <v>1343</v>
      </c>
      <c r="D2224" s="247" t="s">
        <v>1361</v>
      </c>
      <c r="E2224" s="247" t="s">
        <v>1311</v>
      </c>
      <c r="F2224" s="247" t="s">
        <v>2170</v>
      </c>
      <c r="G2224" s="247" t="s">
        <v>1396</v>
      </c>
      <c r="H2224" s="247" t="s">
        <v>2010</v>
      </c>
      <c r="I2224" s="247" t="s">
        <v>2171</v>
      </c>
      <c r="J2224" s="247">
        <v>88</v>
      </c>
      <c r="K2224" s="247">
        <v>90.2</v>
      </c>
      <c r="L2224" s="249" t="s">
        <v>939</v>
      </c>
      <c r="M2224" s="249" t="s">
        <v>929</v>
      </c>
      <c r="N2224" s="248">
        <v>12.32</v>
      </c>
      <c r="O2224" s="248">
        <v>93.93</v>
      </c>
      <c r="P2224" s="247" t="s">
        <v>1418</v>
      </c>
      <c r="Q2224" s="247" t="s">
        <v>93</v>
      </c>
    </row>
    <row r="2225" spans="1:17" x14ac:dyDescent="0.25">
      <c r="A2225" s="247" t="s">
        <v>646</v>
      </c>
      <c r="B2225" s="247" t="s">
        <v>265</v>
      </c>
      <c r="C2225" s="247" t="s">
        <v>1343</v>
      </c>
      <c r="D2225" s="247" t="s">
        <v>1361</v>
      </c>
      <c r="E2225" s="247" t="s">
        <v>1311</v>
      </c>
      <c r="F2225" s="247" t="s">
        <v>2170</v>
      </c>
      <c r="G2225" s="247" t="s">
        <v>1396</v>
      </c>
      <c r="H2225" s="247" t="s">
        <v>2010</v>
      </c>
      <c r="I2225" s="247" t="s">
        <v>2171</v>
      </c>
      <c r="J2225" s="247">
        <v>88</v>
      </c>
      <c r="K2225" s="247">
        <v>90.2</v>
      </c>
      <c r="L2225" s="249" t="s">
        <v>940</v>
      </c>
      <c r="M2225" s="249" t="s">
        <v>929</v>
      </c>
      <c r="N2225" s="248">
        <v>14.07</v>
      </c>
      <c r="O2225" s="248">
        <v>108</v>
      </c>
      <c r="P2225" s="247" t="s">
        <v>1418</v>
      </c>
      <c r="Q2225" s="247" t="s">
        <v>94</v>
      </c>
    </row>
    <row r="2226" spans="1:17" x14ac:dyDescent="0.25">
      <c r="A2226" s="247" t="s">
        <v>646</v>
      </c>
      <c r="B2226" s="247" t="s">
        <v>265</v>
      </c>
      <c r="C2226" s="247" t="s">
        <v>1343</v>
      </c>
      <c r="D2226" s="247" t="s">
        <v>1361</v>
      </c>
      <c r="E2226" s="247" t="s">
        <v>1311</v>
      </c>
      <c r="F2226" s="247" t="s">
        <v>2170</v>
      </c>
      <c r="G2226" s="247" t="s">
        <v>1396</v>
      </c>
      <c r="H2226" s="247" t="s">
        <v>2010</v>
      </c>
      <c r="I2226" s="247" t="s">
        <v>2171</v>
      </c>
      <c r="J2226" s="247">
        <v>88</v>
      </c>
      <c r="K2226" s="247">
        <v>90.2</v>
      </c>
      <c r="L2226" s="249" t="s">
        <v>642</v>
      </c>
      <c r="M2226" s="249" t="s">
        <v>929</v>
      </c>
      <c r="N2226" s="248">
        <v>19.82</v>
      </c>
      <c r="O2226" s="248">
        <v>127.82</v>
      </c>
      <c r="P2226" s="247" t="s">
        <v>1418</v>
      </c>
      <c r="Q2226" s="247" t="s">
        <v>95</v>
      </c>
    </row>
    <row r="2227" spans="1:17" x14ac:dyDescent="0.25">
      <c r="A2227" s="247" t="s">
        <v>646</v>
      </c>
      <c r="B2227" s="247" t="s">
        <v>265</v>
      </c>
      <c r="C2227" s="247" t="s">
        <v>1343</v>
      </c>
      <c r="D2227" s="247" t="s">
        <v>926</v>
      </c>
      <c r="E2227" s="247" t="s">
        <v>1314</v>
      </c>
      <c r="F2227" s="247" t="s">
        <v>2172</v>
      </c>
      <c r="G2227" s="247" t="s">
        <v>1344</v>
      </c>
      <c r="H2227" s="247" t="s">
        <v>2015</v>
      </c>
      <c r="I2227" s="247" t="s">
        <v>2173</v>
      </c>
      <c r="J2227" s="247">
        <v>87</v>
      </c>
      <c r="K2227" s="247">
        <v>87.2</v>
      </c>
      <c r="L2227" s="249" t="s">
        <v>646</v>
      </c>
      <c r="M2227" s="249" t="s">
        <v>933</v>
      </c>
      <c r="N2227" s="248">
        <v>1016.97</v>
      </c>
      <c r="O2227" s="248">
        <v>1016.97</v>
      </c>
      <c r="P2227" s="247" t="s">
        <v>1419</v>
      </c>
      <c r="Q2227" s="247" t="s">
        <v>84</v>
      </c>
    </row>
    <row r="2228" spans="1:17" x14ac:dyDescent="0.25">
      <c r="A2228" s="247" t="s">
        <v>646</v>
      </c>
      <c r="B2228" s="247" t="s">
        <v>265</v>
      </c>
      <c r="C2228" s="247" t="s">
        <v>1343</v>
      </c>
      <c r="D2228" s="247" t="s">
        <v>926</v>
      </c>
      <c r="E2228" s="247" t="s">
        <v>1314</v>
      </c>
      <c r="F2228" s="247" t="s">
        <v>2172</v>
      </c>
      <c r="G2228" s="247" t="s">
        <v>1344</v>
      </c>
      <c r="H2228" s="247" t="s">
        <v>2015</v>
      </c>
      <c r="I2228" s="247" t="s">
        <v>2173</v>
      </c>
      <c r="J2228" s="247">
        <v>87</v>
      </c>
      <c r="K2228" s="247">
        <v>87.2</v>
      </c>
      <c r="L2228" s="249" t="s">
        <v>650</v>
      </c>
      <c r="M2228" s="249" t="s">
        <v>933</v>
      </c>
      <c r="N2228" s="248">
        <v>734.48</v>
      </c>
      <c r="O2228" s="248">
        <v>1751.45</v>
      </c>
      <c r="P2228" s="247" t="s">
        <v>1419</v>
      </c>
      <c r="Q2228" s="247" t="s">
        <v>85</v>
      </c>
    </row>
    <row r="2229" spans="1:17" x14ac:dyDescent="0.25">
      <c r="A2229" s="247" t="s">
        <v>646</v>
      </c>
      <c r="B2229" s="247" t="s">
        <v>265</v>
      </c>
      <c r="C2229" s="247" t="s">
        <v>1343</v>
      </c>
      <c r="D2229" s="247" t="s">
        <v>926</v>
      </c>
      <c r="E2229" s="247" t="s">
        <v>1314</v>
      </c>
      <c r="F2229" s="247" t="s">
        <v>2172</v>
      </c>
      <c r="G2229" s="247" t="s">
        <v>1344</v>
      </c>
      <c r="H2229" s="247" t="s">
        <v>2015</v>
      </c>
      <c r="I2229" s="247" t="s">
        <v>2173</v>
      </c>
      <c r="J2229" s="247">
        <v>87</v>
      </c>
      <c r="K2229" s="247">
        <v>87.2</v>
      </c>
      <c r="L2229" s="249" t="s">
        <v>652</v>
      </c>
      <c r="M2229" s="249" t="s">
        <v>933</v>
      </c>
      <c r="N2229" s="248">
        <v>2185.42</v>
      </c>
      <c r="O2229" s="248">
        <v>3936.87</v>
      </c>
      <c r="P2229" s="247" t="s">
        <v>1419</v>
      </c>
      <c r="Q2229" s="247" t="s">
        <v>86</v>
      </c>
    </row>
    <row r="2230" spans="1:17" x14ac:dyDescent="0.25">
      <c r="A2230" s="247" t="s">
        <v>646</v>
      </c>
      <c r="B2230" s="247" t="s">
        <v>265</v>
      </c>
      <c r="C2230" s="247" t="s">
        <v>1343</v>
      </c>
      <c r="D2230" s="247" t="s">
        <v>926</v>
      </c>
      <c r="E2230" s="247" t="s">
        <v>1314</v>
      </c>
      <c r="F2230" s="247" t="s">
        <v>2172</v>
      </c>
      <c r="G2230" s="247" t="s">
        <v>1344</v>
      </c>
      <c r="H2230" s="247" t="s">
        <v>2015</v>
      </c>
      <c r="I2230" s="247" t="s">
        <v>2173</v>
      </c>
      <c r="J2230" s="247">
        <v>87</v>
      </c>
      <c r="K2230" s="247">
        <v>87.2</v>
      </c>
      <c r="L2230" s="249" t="s">
        <v>789</v>
      </c>
      <c r="M2230" s="249" t="s">
        <v>929</v>
      </c>
      <c r="N2230" s="248">
        <v>1115.1199999999999</v>
      </c>
      <c r="O2230" s="248">
        <v>1115.1199999999999</v>
      </c>
      <c r="P2230" s="247" t="s">
        <v>1419</v>
      </c>
      <c r="Q2230" s="247" t="s">
        <v>87</v>
      </c>
    </row>
    <row r="2231" spans="1:17" x14ac:dyDescent="0.25">
      <c r="A2231" s="247" t="s">
        <v>646</v>
      </c>
      <c r="B2231" s="247" t="s">
        <v>265</v>
      </c>
      <c r="C2231" s="247" t="s">
        <v>1343</v>
      </c>
      <c r="D2231" s="247" t="s">
        <v>926</v>
      </c>
      <c r="E2231" s="247" t="s">
        <v>1314</v>
      </c>
      <c r="F2231" s="247" t="s">
        <v>2172</v>
      </c>
      <c r="G2231" s="247" t="s">
        <v>1344</v>
      </c>
      <c r="H2231" s="247" t="s">
        <v>2015</v>
      </c>
      <c r="I2231" s="247" t="s">
        <v>2173</v>
      </c>
      <c r="J2231" s="247">
        <v>87</v>
      </c>
      <c r="K2231" s="247">
        <v>87.2</v>
      </c>
      <c r="L2231" s="249" t="s">
        <v>791</v>
      </c>
      <c r="M2231" s="249" t="s">
        <v>929</v>
      </c>
      <c r="N2231" s="248">
        <v>1115.1199999999999</v>
      </c>
      <c r="O2231" s="248">
        <v>2230.2399999999998</v>
      </c>
      <c r="P2231" s="247" t="s">
        <v>1419</v>
      </c>
      <c r="Q2231" s="247" t="s">
        <v>88</v>
      </c>
    </row>
    <row r="2232" spans="1:17" x14ac:dyDescent="0.25">
      <c r="A2232" s="247" t="s">
        <v>646</v>
      </c>
      <c r="B2232" s="247" t="s">
        <v>265</v>
      </c>
      <c r="C2232" s="247" t="s">
        <v>1343</v>
      </c>
      <c r="D2232" s="247" t="s">
        <v>926</v>
      </c>
      <c r="E2232" s="247" t="s">
        <v>1314</v>
      </c>
      <c r="F2232" s="247" t="s">
        <v>2172</v>
      </c>
      <c r="G2232" s="247" t="s">
        <v>1344</v>
      </c>
      <c r="H2232" s="247" t="s">
        <v>2015</v>
      </c>
      <c r="I2232" s="247" t="s">
        <v>2173</v>
      </c>
      <c r="J2232" s="247">
        <v>87</v>
      </c>
      <c r="K2232" s="247">
        <v>87.2</v>
      </c>
      <c r="L2232" s="249" t="s">
        <v>935</v>
      </c>
      <c r="M2232" s="249" t="s">
        <v>929</v>
      </c>
      <c r="N2232" s="248">
        <v>1115.1199999999999</v>
      </c>
      <c r="O2232" s="248">
        <v>3345.36</v>
      </c>
      <c r="P2232" s="247" t="s">
        <v>1419</v>
      </c>
      <c r="Q2232" s="247" t="s">
        <v>89</v>
      </c>
    </row>
    <row r="2233" spans="1:17" x14ac:dyDescent="0.25">
      <c r="A2233" s="247" t="s">
        <v>646</v>
      </c>
      <c r="B2233" s="247" t="s">
        <v>265</v>
      </c>
      <c r="C2233" s="247" t="s">
        <v>1343</v>
      </c>
      <c r="D2233" s="247" t="s">
        <v>926</v>
      </c>
      <c r="E2233" s="247" t="s">
        <v>1314</v>
      </c>
      <c r="F2233" s="247" t="s">
        <v>2172</v>
      </c>
      <c r="G2233" s="247" t="s">
        <v>1344</v>
      </c>
      <c r="H2233" s="247" t="s">
        <v>2015</v>
      </c>
      <c r="I2233" s="247" t="s">
        <v>2173</v>
      </c>
      <c r="J2233" s="247">
        <v>87</v>
      </c>
      <c r="K2233" s="247">
        <v>87.2</v>
      </c>
      <c r="L2233" s="249" t="s">
        <v>936</v>
      </c>
      <c r="M2233" s="249" t="s">
        <v>929</v>
      </c>
      <c r="N2233" s="248">
        <v>1115.1199999999999</v>
      </c>
      <c r="O2233" s="248">
        <v>4460.4799999999996</v>
      </c>
      <c r="P2233" s="247" t="s">
        <v>1419</v>
      </c>
      <c r="Q2233" s="247" t="s">
        <v>90</v>
      </c>
    </row>
    <row r="2234" spans="1:17" x14ac:dyDescent="0.25">
      <c r="A2234" s="247" t="s">
        <v>646</v>
      </c>
      <c r="B2234" s="247" t="s">
        <v>265</v>
      </c>
      <c r="C2234" s="247" t="s">
        <v>1343</v>
      </c>
      <c r="D2234" s="247" t="s">
        <v>926</v>
      </c>
      <c r="E2234" s="247" t="s">
        <v>1314</v>
      </c>
      <c r="F2234" s="247" t="s">
        <v>2172</v>
      </c>
      <c r="G2234" s="247" t="s">
        <v>1344</v>
      </c>
      <c r="H2234" s="247" t="s">
        <v>2015</v>
      </c>
      <c r="I2234" s="247" t="s">
        <v>2173</v>
      </c>
      <c r="J2234" s="247">
        <v>87</v>
      </c>
      <c r="K2234" s="247">
        <v>87.2</v>
      </c>
      <c r="L2234" s="249" t="s">
        <v>937</v>
      </c>
      <c r="M2234" s="249" t="s">
        <v>929</v>
      </c>
      <c r="N2234" s="248">
        <v>1115.1199999999999</v>
      </c>
      <c r="O2234" s="248">
        <v>5575.6</v>
      </c>
      <c r="P2234" s="247" t="s">
        <v>1419</v>
      </c>
      <c r="Q2234" s="247" t="s">
        <v>91</v>
      </c>
    </row>
    <row r="2235" spans="1:17" x14ac:dyDescent="0.25">
      <c r="A2235" s="247" t="s">
        <v>646</v>
      </c>
      <c r="B2235" s="247" t="s">
        <v>265</v>
      </c>
      <c r="C2235" s="247" t="s">
        <v>1343</v>
      </c>
      <c r="D2235" s="247" t="s">
        <v>926</v>
      </c>
      <c r="E2235" s="247" t="s">
        <v>1314</v>
      </c>
      <c r="F2235" s="247" t="s">
        <v>2172</v>
      </c>
      <c r="G2235" s="247" t="s">
        <v>1344</v>
      </c>
      <c r="H2235" s="247" t="s">
        <v>2015</v>
      </c>
      <c r="I2235" s="247" t="s">
        <v>2173</v>
      </c>
      <c r="J2235" s="247">
        <v>87</v>
      </c>
      <c r="K2235" s="247">
        <v>87.2</v>
      </c>
      <c r="L2235" s="249" t="s">
        <v>938</v>
      </c>
      <c r="M2235" s="249" t="s">
        <v>929</v>
      </c>
      <c r="N2235" s="248">
        <v>1115.1199999999999</v>
      </c>
      <c r="O2235" s="248">
        <v>6690.72</v>
      </c>
      <c r="P2235" s="247" t="s">
        <v>1419</v>
      </c>
      <c r="Q2235" s="247" t="s">
        <v>92</v>
      </c>
    </row>
    <row r="2236" spans="1:17" x14ac:dyDescent="0.25">
      <c r="A2236" s="247" t="s">
        <v>646</v>
      </c>
      <c r="B2236" s="247" t="s">
        <v>265</v>
      </c>
      <c r="C2236" s="247" t="s">
        <v>1343</v>
      </c>
      <c r="D2236" s="247" t="s">
        <v>926</v>
      </c>
      <c r="E2236" s="247" t="s">
        <v>1314</v>
      </c>
      <c r="F2236" s="247" t="s">
        <v>2172</v>
      </c>
      <c r="G2236" s="247" t="s">
        <v>1344</v>
      </c>
      <c r="H2236" s="247" t="s">
        <v>2015</v>
      </c>
      <c r="I2236" s="247" t="s">
        <v>2173</v>
      </c>
      <c r="J2236" s="247">
        <v>87</v>
      </c>
      <c r="K2236" s="247">
        <v>87.2</v>
      </c>
      <c r="L2236" s="249" t="s">
        <v>939</v>
      </c>
      <c r="M2236" s="249" t="s">
        <v>929</v>
      </c>
      <c r="N2236" s="248">
        <v>1115.1199999999999</v>
      </c>
      <c r="O2236" s="248">
        <v>7805.84</v>
      </c>
      <c r="P2236" s="247" t="s">
        <v>1419</v>
      </c>
      <c r="Q2236" s="247" t="s">
        <v>93</v>
      </c>
    </row>
    <row r="2237" spans="1:17" x14ac:dyDescent="0.25">
      <c r="A2237" s="247" t="s">
        <v>646</v>
      </c>
      <c r="B2237" s="247" t="s">
        <v>265</v>
      </c>
      <c r="C2237" s="247" t="s">
        <v>1343</v>
      </c>
      <c r="D2237" s="247" t="s">
        <v>926</v>
      </c>
      <c r="E2237" s="247" t="s">
        <v>1314</v>
      </c>
      <c r="F2237" s="247" t="s">
        <v>2172</v>
      </c>
      <c r="G2237" s="247" t="s">
        <v>1344</v>
      </c>
      <c r="H2237" s="247" t="s">
        <v>2015</v>
      </c>
      <c r="I2237" s="247" t="s">
        <v>2173</v>
      </c>
      <c r="J2237" s="247">
        <v>87</v>
      </c>
      <c r="K2237" s="247">
        <v>87.2</v>
      </c>
      <c r="L2237" s="249" t="s">
        <v>940</v>
      </c>
      <c r="M2237" s="249" t="s">
        <v>929</v>
      </c>
      <c r="N2237" s="248">
        <v>2415.4299999999998</v>
      </c>
      <c r="O2237" s="248">
        <v>10221.27</v>
      </c>
      <c r="P2237" s="247" t="s">
        <v>1419</v>
      </c>
      <c r="Q2237" s="247" t="s">
        <v>94</v>
      </c>
    </row>
    <row r="2238" spans="1:17" x14ac:dyDescent="0.25">
      <c r="A2238" s="247" t="s">
        <v>646</v>
      </c>
      <c r="B2238" s="247" t="s">
        <v>265</v>
      </c>
      <c r="C2238" s="247" t="s">
        <v>1343</v>
      </c>
      <c r="D2238" s="247" t="s">
        <v>926</v>
      </c>
      <c r="E2238" s="247" t="s">
        <v>1314</v>
      </c>
      <c r="F2238" s="247" t="s">
        <v>2172</v>
      </c>
      <c r="G2238" s="247" t="s">
        <v>1344</v>
      </c>
      <c r="H2238" s="247" t="s">
        <v>2015</v>
      </c>
      <c r="I2238" s="247" t="s">
        <v>2173</v>
      </c>
      <c r="J2238" s="247">
        <v>87</v>
      </c>
      <c r="K2238" s="247">
        <v>87.2</v>
      </c>
      <c r="L2238" s="249" t="s">
        <v>642</v>
      </c>
      <c r="M2238" s="249" t="s">
        <v>929</v>
      </c>
      <c r="N2238" s="248">
        <v>2415.4299999999998</v>
      </c>
      <c r="O2238" s="248">
        <v>12636.7</v>
      </c>
      <c r="P2238" s="247" t="s">
        <v>1419</v>
      </c>
      <c r="Q2238" s="247" t="s">
        <v>95</v>
      </c>
    </row>
    <row r="2239" spans="1:17" x14ac:dyDescent="0.25">
      <c r="A2239" s="247" t="s">
        <v>646</v>
      </c>
      <c r="B2239" s="247" t="s">
        <v>265</v>
      </c>
      <c r="C2239" s="247" t="s">
        <v>1343</v>
      </c>
      <c r="D2239" s="247" t="s">
        <v>711</v>
      </c>
      <c r="E2239" s="247" t="s">
        <v>1314</v>
      </c>
      <c r="F2239" s="247" t="s">
        <v>2174</v>
      </c>
      <c r="G2239" s="247" t="s">
        <v>1346</v>
      </c>
      <c r="H2239" s="247" t="s">
        <v>2015</v>
      </c>
      <c r="I2239" s="247" t="s">
        <v>2175</v>
      </c>
      <c r="J2239" s="247">
        <v>89</v>
      </c>
      <c r="K2239" s="247">
        <v>89.2</v>
      </c>
      <c r="L2239" s="249" t="s">
        <v>646</v>
      </c>
      <c r="M2239" s="249" t="s">
        <v>933</v>
      </c>
      <c r="N2239" s="248">
        <v>650.49</v>
      </c>
      <c r="O2239" s="248">
        <v>650.49</v>
      </c>
      <c r="P2239" s="247" t="s">
        <v>1420</v>
      </c>
      <c r="Q2239" s="247" t="s">
        <v>84</v>
      </c>
    </row>
    <row r="2240" spans="1:17" x14ac:dyDescent="0.25">
      <c r="A2240" s="247" t="s">
        <v>646</v>
      </c>
      <c r="B2240" s="247" t="s">
        <v>265</v>
      </c>
      <c r="C2240" s="247" t="s">
        <v>1343</v>
      </c>
      <c r="D2240" s="247" t="s">
        <v>711</v>
      </c>
      <c r="E2240" s="247" t="s">
        <v>1314</v>
      </c>
      <c r="F2240" s="247" t="s">
        <v>2174</v>
      </c>
      <c r="G2240" s="247" t="s">
        <v>1346</v>
      </c>
      <c r="H2240" s="247" t="s">
        <v>2015</v>
      </c>
      <c r="I2240" s="247" t="s">
        <v>2175</v>
      </c>
      <c r="J2240" s="247">
        <v>89</v>
      </c>
      <c r="K2240" s="247">
        <v>89.2</v>
      </c>
      <c r="L2240" s="249" t="s">
        <v>650</v>
      </c>
      <c r="M2240" s="249" t="s">
        <v>933</v>
      </c>
      <c r="N2240" s="248">
        <v>433.66</v>
      </c>
      <c r="O2240" s="248">
        <v>1084.1500000000001</v>
      </c>
      <c r="P2240" s="247" t="s">
        <v>1420</v>
      </c>
      <c r="Q2240" s="247" t="s">
        <v>85</v>
      </c>
    </row>
    <row r="2241" spans="1:17" x14ac:dyDescent="0.25">
      <c r="A2241" s="247" t="s">
        <v>646</v>
      </c>
      <c r="B2241" s="247" t="s">
        <v>265</v>
      </c>
      <c r="C2241" s="247" t="s">
        <v>1343</v>
      </c>
      <c r="D2241" s="247" t="s">
        <v>711</v>
      </c>
      <c r="E2241" s="247" t="s">
        <v>1314</v>
      </c>
      <c r="F2241" s="247" t="s">
        <v>2174</v>
      </c>
      <c r="G2241" s="247" t="s">
        <v>1346</v>
      </c>
      <c r="H2241" s="247" t="s">
        <v>2015</v>
      </c>
      <c r="I2241" s="247" t="s">
        <v>2175</v>
      </c>
      <c r="J2241" s="247">
        <v>89</v>
      </c>
      <c r="K2241" s="247">
        <v>89.2</v>
      </c>
      <c r="L2241" s="249" t="s">
        <v>652</v>
      </c>
      <c r="M2241" s="249" t="s">
        <v>933</v>
      </c>
      <c r="N2241" s="248">
        <v>433.66</v>
      </c>
      <c r="O2241" s="248">
        <v>1517.81</v>
      </c>
      <c r="P2241" s="247" t="s">
        <v>1420</v>
      </c>
      <c r="Q2241" s="247" t="s">
        <v>86</v>
      </c>
    </row>
    <row r="2242" spans="1:17" x14ac:dyDescent="0.25">
      <c r="A2242" s="247" t="s">
        <v>646</v>
      </c>
      <c r="B2242" s="247" t="s">
        <v>265</v>
      </c>
      <c r="C2242" s="247" t="s">
        <v>1343</v>
      </c>
      <c r="D2242" s="247" t="s">
        <v>711</v>
      </c>
      <c r="E2242" s="247" t="s">
        <v>1314</v>
      </c>
      <c r="F2242" s="247" t="s">
        <v>2174</v>
      </c>
      <c r="G2242" s="247" t="s">
        <v>1346</v>
      </c>
      <c r="H2242" s="247" t="s">
        <v>2015</v>
      </c>
      <c r="I2242" s="247" t="s">
        <v>2175</v>
      </c>
      <c r="J2242" s="247">
        <v>89</v>
      </c>
      <c r="K2242" s="247">
        <v>89.2</v>
      </c>
      <c r="L2242" s="249" t="s">
        <v>789</v>
      </c>
      <c r="M2242" s="249" t="s">
        <v>929</v>
      </c>
      <c r="N2242" s="248">
        <v>439.07</v>
      </c>
      <c r="O2242" s="248">
        <v>439.07</v>
      </c>
      <c r="P2242" s="247" t="s">
        <v>1420</v>
      </c>
      <c r="Q2242" s="247" t="s">
        <v>87</v>
      </c>
    </row>
    <row r="2243" spans="1:17" x14ac:dyDescent="0.25">
      <c r="A2243" s="247" t="s">
        <v>646</v>
      </c>
      <c r="B2243" s="247" t="s">
        <v>265</v>
      </c>
      <c r="C2243" s="247" t="s">
        <v>1343</v>
      </c>
      <c r="D2243" s="247" t="s">
        <v>711</v>
      </c>
      <c r="E2243" s="247" t="s">
        <v>1314</v>
      </c>
      <c r="F2243" s="247" t="s">
        <v>2174</v>
      </c>
      <c r="G2243" s="247" t="s">
        <v>1346</v>
      </c>
      <c r="H2243" s="247" t="s">
        <v>2015</v>
      </c>
      <c r="I2243" s="247" t="s">
        <v>2175</v>
      </c>
      <c r="J2243" s="247">
        <v>89</v>
      </c>
      <c r="K2243" s="247">
        <v>89.2</v>
      </c>
      <c r="L2243" s="249" t="s">
        <v>791</v>
      </c>
      <c r="M2243" s="249" t="s">
        <v>929</v>
      </c>
      <c r="N2243" s="248">
        <v>444.48</v>
      </c>
      <c r="O2243" s="248">
        <v>883.55</v>
      </c>
      <c r="P2243" s="247" t="s">
        <v>1420</v>
      </c>
      <c r="Q2243" s="247" t="s">
        <v>88</v>
      </c>
    </row>
    <row r="2244" spans="1:17" x14ac:dyDescent="0.25">
      <c r="A2244" s="247" t="s">
        <v>646</v>
      </c>
      <c r="B2244" s="247" t="s">
        <v>265</v>
      </c>
      <c r="C2244" s="247" t="s">
        <v>1343</v>
      </c>
      <c r="D2244" s="247" t="s">
        <v>711</v>
      </c>
      <c r="E2244" s="247" t="s">
        <v>1314</v>
      </c>
      <c r="F2244" s="247" t="s">
        <v>2174</v>
      </c>
      <c r="G2244" s="247" t="s">
        <v>1346</v>
      </c>
      <c r="H2244" s="247" t="s">
        <v>2015</v>
      </c>
      <c r="I2244" s="247" t="s">
        <v>2175</v>
      </c>
      <c r="J2244" s="247">
        <v>89</v>
      </c>
      <c r="K2244" s="247">
        <v>89.2</v>
      </c>
      <c r="L2244" s="249" t="s">
        <v>935</v>
      </c>
      <c r="M2244" s="249" t="s">
        <v>929</v>
      </c>
      <c r="N2244" s="248">
        <v>444.48</v>
      </c>
      <c r="O2244" s="248">
        <v>1328.03</v>
      </c>
      <c r="P2244" s="247" t="s">
        <v>1420</v>
      </c>
      <c r="Q2244" s="247" t="s">
        <v>89</v>
      </c>
    </row>
    <row r="2245" spans="1:17" x14ac:dyDescent="0.25">
      <c r="A2245" s="247" t="s">
        <v>646</v>
      </c>
      <c r="B2245" s="247" t="s">
        <v>265</v>
      </c>
      <c r="C2245" s="247" t="s">
        <v>1343</v>
      </c>
      <c r="D2245" s="247" t="s">
        <v>711</v>
      </c>
      <c r="E2245" s="247" t="s">
        <v>1314</v>
      </c>
      <c r="F2245" s="247" t="s">
        <v>2174</v>
      </c>
      <c r="G2245" s="247" t="s">
        <v>1346</v>
      </c>
      <c r="H2245" s="247" t="s">
        <v>2015</v>
      </c>
      <c r="I2245" s="247" t="s">
        <v>2175</v>
      </c>
      <c r="J2245" s="247">
        <v>89</v>
      </c>
      <c r="K2245" s="247">
        <v>89.2</v>
      </c>
      <c r="L2245" s="249" t="s">
        <v>936</v>
      </c>
      <c r="M2245" s="249" t="s">
        <v>929</v>
      </c>
      <c r="N2245" s="248">
        <v>666.72</v>
      </c>
      <c r="O2245" s="248">
        <v>1994.75</v>
      </c>
      <c r="P2245" s="247" t="s">
        <v>1420</v>
      </c>
      <c r="Q2245" s="247" t="s">
        <v>90</v>
      </c>
    </row>
    <row r="2246" spans="1:17" x14ac:dyDescent="0.25">
      <c r="A2246" s="247" t="s">
        <v>646</v>
      </c>
      <c r="B2246" s="247" t="s">
        <v>265</v>
      </c>
      <c r="C2246" s="247" t="s">
        <v>1343</v>
      </c>
      <c r="D2246" s="247" t="s">
        <v>711</v>
      </c>
      <c r="E2246" s="247" t="s">
        <v>1314</v>
      </c>
      <c r="F2246" s="247" t="s">
        <v>2174</v>
      </c>
      <c r="G2246" s="247" t="s">
        <v>1346</v>
      </c>
      <c r="H2246" s="247" t="s">
        <v>2015</v>
      </c>
      <c r="I2246" s="247" t="s">
        <v>2175</v>
      </c>
      <c r="J2246" s="247">
        <v>89</v>
      </c>
      <c r="K2246" s="247">
        <v>89.2</v>
      </c>
      <c r="L2246" s="249" t="s">
        <v>937</v>
      </c>
      <c r="M2246" s="249" t="s">
        <v>929</v>
      </c>
      <c r="N2246" s="248">
        <v>444.48</v>
      </c>
      <c r="O2246" s="248">
        <v>2439.23</v>
      </c>
      <c r="P2246" s="247" t="s">
        <v>1420</v>
      </c>
      <c r="Q2246" s="247" t="s">
        <v>91</v>
      </c>
    </row>
    <row r="2247" spans="1:17" x14ac:dyDescent="0.25">
      <c r="A2247" s="247" t="s">
        <v>646</v>
      </c>
      <c r="B2247" s="247" t="s">
        <v>265</v>
      </c>
      <c r="C2247" s="247" t="s">
        <v>1343</v>
      </c>
      <c r="D2247" s="247" t="s">
        <v>711</v>
      </c>
      <c r="E2247" s="247" t="s">
        <v>1314</v>
      </c>
      <c r="F2247" s="247" t="s">
        <v>2174</v>
      </c>
      <c r="G2247" s="247" t="s">
        <v>1346</v>
      </c>
      <c r="H2247" s="247" t="s">
        <v>2015</v>
      </c>
      <c r="I2247" s="247" t="s">
        <v>2175</v>
      </c>
      <c r="J2247" s="247">
        <v>89</v>
      </c>
      <c r="K2247" s="247">
        <v>89.2</v>
      </c>
      <c r="L2247" s="249" t="s">
        <v>938</v>
      </c>
      <c r="M2247" s="249" t="s">
        <v>929</v>
      </c>
      <c r="N2247" s="248">
        <v>444.48</v>
      </c>
      <c r="O2247" s="248">
        <v>2883.71</v>
      </c>
      <c r="P2247" s="247" t="s">
        <v>1420</v>
      </c>
      <c r="Q2247" s="247" t="s">
        <v>92</v>
      </c>
    </row>
    <row r="2248" spans="1:17" x14ac:dyDescent="0.25">
      <c r="A2248" s="247" t="s">
        <v>646</v>
      </c>
      <c r="B2248" s="247" t="s">
        <v>265</v>
      </c>
      <c r="C2248" s="247" t="s">
        <v>1343</v>
      </c>
      <c r="D2248" s="247" t="s">
        <v>711</v>
      </c>
      <c r="E2248" s="247" t="s">
        <v>1314</v>
      </c>
      <c r="F2248" s="247" t="s">
        <v>2174</v>
      </c>
      <c r="G2248" s="247" t="s">
        <v>1346</v>
      </c>
      <c r="H2248" s="247" t="s">
        <v>2015</v>
      </c>
      <c r="I2248" s="247" t="s">
        <v>2175</v>
      </c>
      <c r="J2248" s="247">
        <v>89</v>
      </c>
      <c r="K2248" s="247">
        <v>89.2</v>
      </c>
      <c r="L2248" s="249" t="s">
        <v>939</v>
      </c>
      <c r="M2248" s="249" t="s">
        <v>929</v>
      </c>
      <c r="N2248" s="248">
        <v>704.64</v>
      </c>
      <c r="O2248" s="248">
        <v>3588.35</v>
      </c>
      <c r="P2248" s="247" t="s">
        <v>1420</v>
      </c>
      <c r="Q2248" s="247" t="s">
        <v>93</v>
      </c>
    </row>
    <row r="2249" spans="1:17" x14ac:dyDescent="0.25">
      <c r="A2249" s="247" t="s">
        <v>646</v>
      </c>
      <c r="B2249" s="247" t="s">
        <v>265</v>
      </c>
      <c r="C2249" s="247" t="s">
        <v>1343</v>
      </c>
      <c r="D2249" s="247" t="s">
        <v>711</v>
      </c>
      <c r="E2249" s="247" t="s">
        <v>1314</v>
      </c>
      <c r="F2249" s="247" t="s">
        <v>2174</v>
      </c>
      <c r="G2249" s="247" t="s">
        <v>1346</v>
      </c>
      <c r="H2249" s="247" t="s">
        <v>2015</v>
      </c>
      <c r="I2249" s="247" t="s">
        <v>2175</v>
      </c>
      <c r="J2249" s="247">
        <v>89</v>
      </c>
      <c r="K2249" s="247">
        <v>89.2</v>
      </c>
      <c r="L2249" s="249" t="s">
        <v>940</v>
      </c>
      <c r="M2249" s="249" t="s">
        <v>929</v>
      </c>
      <c r="N2249" s="248">
        <v>721.4</v>
      </c>
      <c r="O2249" s="248">
        <v>4309.75</v>
      </c>
      <c r="P2249" s="247" t="s">
        <v>1420</v>
      </c>
      <c r="Q2249" s="247" t="s">
        <v>94</v>
      </c>
    </row>
    <row r="2250" spans="1:17" x14ac:dyDescent="0.25">
      <c r="A2250" s="247" t="s">
        <v>646</v>
      </c>
      <c r="B2250" s="247" t="s">
        <v>265</v>
      </c>
      <c r="C2250" s="247" t="s">
        <v>1343</v>
      </c>
      <c r="D2250" s="247" t="s">
        <v>711</v>
      </c>
      <c r="E2250" s="247" t="s">
        <v>1314</v>
      </c>
      <c r="F2250" s="247" t="s">
        <v>2174</v>
      </c>
      <c r="G2250" s="247" t="s">
        <v>1346</v>
      </c>
      <c r="H2250" s="247" t="s">
        <v>2015</v>
      </c>
      <c r="I2250" s="247" t="s">
        <v>2175</v>
      </c>
      <c r="J2250" s="247">
        <v>89</v>
      </c>
      <c r="K2250" s="247">
        <v>89.2</v>
      </c>
      <c r="L2250" s="249" t="s">
        <v>642</v>
      </c>
      <c r="M2250" s="249" t="s">
        <v>929</v>
      </c>
      <c r="N2250" s="248">
        <v>1082.0999999999999</v>
      </c>
      <c r="O2250" s="248">
        <v>5391.85</v>
      </c>
      <c r="P2250" s="247" t="s">
        <v>1420</v>
      </c>
      <c r="Q2250" s="247" t="s">
        <v>95</v>
      </c>
    </row>
    <row r="2251" spans="1:17" x14ac:dyDescent="0.25">
      <c r="A2251" s="247" t="s">
        <v>646</v>
      </c>
      <c r="B2251" s="247" t="s">
        <v>265</v>
      </c>
      <c r="C2251" s="247" t="s">
        <v>1343</v>
      </c>
      <c r="D2251" s="247" t="s">
        <v>755</v>
      </c>
      <c r="E2251" s="247" t="s">
        <v>1314</v>
      </c>
      <c r="F2251" s="247" t="s">
        <v>2176</v>
      </c>
      <c r="G2251" s="247" t="s">
        <v>1388</v>
      </c>
      <c r="H2251" s="247" t="s">
        <v>2015</v>
      </c>
      <c r="I2251" s="247" t="s">
        <v>2177</v>
      </c>
      <c r="J2251" s="247">
        <v>89</v>
      </c>
      <c r="K2251" s="247">
        <v>89.2</v>
      </c>
      <c r="L2251" s="249" t="s">
        <v>646</v>
      </c>
      <c r="M2251" s="249" t="s">
        <v>933</v>
      </c>
      <c r="N2251" s="248">
        <v>64.5</v>
      </c>
      <c r="O2251" s="248">
        <v>64.5</v>
      </c>
      <c r="P2251" s="247" t="s">
        <v>1421</v>
      </c>
      <c r="Q2251" s="247" t="s">
        <v>84</v>
      </c>
    </row>
    <row r="2252" spans="1:17" x14ac:dyDescent="0.25">
      <c r="A2252" s="247" t="s">
        <v>646</v>
      </c>
      <c r="B2252" s="247" t="s">
        <v>265</v>
      </c>
      <c r="C2252" s="247" t="s">
        <v>1343</v>
      </c>
      <c r="D2252" s="247" t="s">
        <v>755</v>
      </c>
      <c r="E2252" s="247" t="s">
        <v>1314</v>
      </c>
      <c r="F2252" s="247" t="s">
        <v>2176</v>
      </c>
      <c r="G2252" s="247" t="s">
        <v>1388</v>
      </c>
      <c r="H2252" s="247" t="s">
        <v>2015</v>
      </c>
      <c r="I2252" s="247" t="s">
        <v>2177</v>
      </c>
      <c r="J2252" s="247">
        <v>89</v>
      </c>
      <c r="K2252" s="247">
        <v>89.2</v>
      </c>
      <c r="L2252" s="249" t="s">
        <v>650</v>
      </c>
      <c r="M2252" s="249" t="s">
        <v>933</v>
      </c>
      <c r="N2252" s="248">
        <v>64.5</v>
      </c>
      <c r="O2252" s="248">
        <v>129</v>
      </c>
      <c r="P2252" s="247" t="s">
        <v>1421</v>
      </c>
      <c r="Q2252" s="247" t="s">
        <v>85</v>
      </c>
    </row>
    <row r="2253" spans="1:17" x14ac:dyDescent="0.25">
      <c r="A2253" s="247" t="s">
        <v>646</v>
      </c>
      <c r="B2253" s="247" t="s">
        <v>265</v>
      </c>
      <c r="C2253" s="247" t="s">
        <v>1343</v>
      </c>
      <c r="D2253" s="247" t="s">
        <v>755</v>
      </c>
      <c r="E2253" s="247" t="s">
        <v>1314</v>
      </c>
      <c r="F2253" s="247" t="s">
        <v>2176</v>
      </c>
      <c r="G2253" s="247" t="s">
        <v>1388</v>
      </c>
      <c r="H2253" s="247" t="s">
        <v>2015</v>
      </c>
      <c r="I2253" s="247" t="s">
        <v>2177</v>
      </c>
      <c r="J2253" s="247">
        <v>89</v>
      </c>
      <c r="K2253" s="247">
        <v>89.2</v>
      </c>
      <c r="L2253" s="249" t="s">
        <v>652</v>
      </c>
      <c r="M2253" s="249" t="s">
        <v>933</v>
      </c>
      <c r="N2253" s="248">
        <v>64.5</v>
      </c>
      <c r="O2253" s="248">
        <v>193.5</v>
      </c>
      <c r="P2253" s="247" t="s">
        <v>1421</v>
      </c>
      <c r="Q2253" s="247" t="s">
        <v>86</v>
      </c>
    </row>
    <row r="2254" spans="1:17" x14ac:dyDescent="0.25">
      <c r="A2254" s="247" t="s">
        <v>646</v>
      </c>
      <c r="B2254" s="247" t="s">
        <v>265</v>
      </c>
      <c r="C2254" s="247" t="s">
        <v>1343</v>
      </c>
      <c r="D2254" s="247" t="s">
        <v>755</v>
      </c>
      <c r="E2254" s="247" t="s">
        <v>1314</v>
      </c>
      <c r="F2254" s="247" t="s">
        <v>2176</v>
      </c>
      <c r="G2254" s="247" t="s">
        <v>1388</v>
      </c>
      <c r="H2254" s="247" t="s">
        <v>2015</v>
      </c>
      <c r="I2254" s="247" t="s">
        <v>2177</v>
      </c>
      <c r="J2254" s="247">
        <v>89</v>
      </c>
      <c r="K2254" s="247">
        <v>89.2</v>
      </c>
      <c r="L2254" s="249" t="s">
        <v>789</v>
      </c>
      <c r="M2254" s="249" t="s">
        <v>929</v>
      </c>
      <c r="N2254" s="248">
        <v>64.5</v>
      </c>
      <c r="O2254" s="248">
        <v>64.5</v>
      </c>
      <c r="P2254" s="247" t="s">
        <v>1421</v>
      </c>
      <c r="Q2254" s="247" t="s">
        <v>87</v>
      </c>
    </row>
    <row r="2255" spans="1:17" x14ac:dyDescent="0.25">
      <c r="A2255" s="247" t="s">
        <v>646</v>
      </c>
      <c r="B2255" s="247" t="s">
        <v>265</v>
      </c>
      <c r="C2255" s="247" t="s">
        <v>1343</v>
      </c>
      <c r="D2255" s="247" t="s">
        <v>755</v>
      </c>
      <c r="E2255" s="247" t="s">
        <v>1314</v>
      </c>
      <c r="F2255" s="247" t="s">
        <v>2176</v>
      </c>
      <c r="G2255" s="247" t="s">
        <v>1388</v>
      </c>
      <c r="H2255" s="247" t="s">
        <v>2015</v>
      </c>
      <c r="I2255" s="247" t="s">
        <v>2177</v>
      </c>
      <c r="J2255" s="247">
        <v>89</v>
      </c>
      <c r="K2255" s="247">
        <v>89.2</v>
      </c>
      <c r="L2255" s="249" t="s">
        <v>791</v>
      </c>
      <c r="M2255" s="249" t="s">
        <v>929</v>
      </c>
      <c r="N2255" s="248">
        <v>75.25</v>
      </c>
      <c r="O2255" s="248">
        <v>139.75</v>
      </c>
      <c r="P2255" s="247" t="s">
        <v>1421</v>
      </c>
      <c r="Q2255" s="247" t="s">
        <v>88</v>
      </c>
    </row>
    <row r="2256" spans="1:17" x14ac:dyDescent="0.25">
      <c r="A2256" s="247" t="s">
        <v>646</v>
      </c>
      <c r="B2256" s="247" t="s">
        <v>265</v>
      </c>
      <c r="C2256" s="247" t="s">
        <v>1343</v>
      </c>
      <c r="D2256" s="247" t="s">
        <v>755</v>
      </c>
      <c r="E2256" s="247" t="s">
        <v>1314</v>
      </c>
      <c r="F2256" s="247" t="s">
        <v>2176</v>
      </c>
      <c r="G2256" s="247" t="s">
        <v>1388</v>
      </c>
      <c r="H2256" s="247" t="s">
        <v>2015</v>
      </c>
      <c r="I2256" s="247" t="s">
        <v>2177</v>
      </c>
      <c r="J2256" s="247">
        <v>89</v>
      </c>
      <c r="K2256" s="247">
        <v>89.2</v>
      </c>
      <c r="L2256" s="249" t="s">
        <v>935</v>
      </c>
      <c r="M2256" s="249" t="s">
        <v>929</v>
      </c>
      <c r="N2256" s="248">
        <v>75.25</v>
      </c>
      <c r="O2256" s="248">
        <v>215</v>
      </c>
      <c r="P2256" s="247" t="s">
        <v>1421</v>
      </c>
      <c r="Q2256" s="247" t="s">
        <v>89</v>
      </c>
    </row>
    <row r="2257" spans="1:17" x14ac:dyDescent="0.25">
      <c r="A2257" s="247" t="s">
        <v>646</v>
      </c>
      <c r="B2257" s="247" t="s">
        <v>265</v>
      </c>
      <c r="C2257" s="247" t="s">
        <v>1343</v>
      </c>
      <c r="D2257" s="247" t="s">
        <v>755</v>
      </c>
      <c r="E2257" s="247" t="s">
        <v>1314</v>
      </c>
      <c r="F2257" s="247" t="s">
        <v>2176</v>
      </c>
      <c r="G2257" s="247" t="s">
        <v>1388</v>
      </c>
      <c r="H2257" s="247" t="s">
        <v>2015</v>
      </c>
      <c r="I2257" s="247" t="s">
        <v>2177</v>
      </c>
      <c r="J2257" s="247">
        <v>89</v>
      </c>
      <c r="K2257" s="247">
        <v>89.2</v>
      </c>
      <c r="L2257" s="249" t="s">
        <v>936</v>
      </c>
      <c r="M2257" s="249" t="s">
        <v>929</v>
      </c>
      <c r="N2257" s="248">
        <v>75.25</v>
      </c>
      <c r="O2257" s="248">
        <v>290.25</v>
      </c>
      <c r="P2257" s="247" t="s">
        <v>1421</v>
      </c>
      <c r="Q2257" s="247" t="s">
        <v>90</v>
      </c>
    </row>
    <row r="2258" spans="1:17" x14ac:dyDescent="0.25">
      <c r="A2258" s="247" t="s">
        <v>646</v>
      </c>
      <c r="B2258" s="247" t="s">
        <v>265</v>
      </c>
      <c r="C2258" s="247" t="s">
        <v>1343</v>
      </c>
      <c r="D2258" s="247" t="s">
        <v>755</v>
      </c>
      <c r="E2258" s="247" t="s">
        <v>1314</v>
      </c>
      <c r="F2258" s="247" t="s">
        <v>2176</v>
      </c>
      <c r="G2258" s="247" t="s">
        <v>1388</v>
      </c>
      <c r="H2258" s="247" t="s">
        <v>2015</v>
      </c>
      <c r="I2258" s="247" t="s">
        <v>2177</v>
      </c>
      <c r="J2258" s="247">
        <v>89</v>
      </c>
      <c r="K2258" s="247">
        <v>89.2</v>
      </c>
      <c r="L2258" s="249" t="s">
        <v>937</v>
      </c>
      <c r="M2258" s="249" t="s">
        <v>929</v>
      </c>
      <c r="N2258" s="248">
        <v>75.25</v>
      </c>
      <c r="O2258" s="248">
        <v>365.5</v>
      </c>
      <c r="P2258" s="247" t="s">
        <v>1421</v>
      </c>
      <c r="Q2258" s="247" t="s">
        <v>91</v>
      </c>
    </row>
    <row r="2259" spans="1:17" x14ac:dyDescent="0.25">
      <c r="A2259" s="247" t="s">
        <v>646</v>
      </c>
      <c r="B2259" s="247" t="s">
        <v>265</v>
      </c>
      <c r="C2259" s="247" t="s">
        <v>1343</v>
      </c>
      <c r="D2259" s="247" t="s">
        <v>755</v>
      </c>
      <c r="E2259" s="247" t="s">
        <v>1314</v>
      </c>
      <c r="F2259" s="247" t="s">
        <v>2176</v>
      </c>
      <c r="G2259" s="247" t="s">
        <v>1388</v>
      </c>
      <c r="H2259" s="247" t="s">
        <v>2015</v>
      </c>
      <c r="I2259" s="247" t="s">
        <v>2177</v>
      </c>
      <c r="J2259" s="247">
        <v>89</v>
      </c>
      <c r="K2259" s="247">
        <v>89.2</v>
      </c>
      <c r="L2259" s="249" t="s">
        <v>938</v>
      </c>
      <c r="M2259" s="249" t="s">
        <v>929</v>
      </c>
      <c r="N2259" s="248">
        <v>75.25</v>
      </c>
      <c r="O2259" s="248">
        <v>440.75</v>
      </c>
      <c r="P2259" s="247" t="s">
        <v>1421</v>
      </c>
      <c r="Q2259" s="247" t="s">
        <v>92</v>
      </c>
    </row>
    <row r="2260" spans="1:17" x14ac:dyDescent="0.25">
      <c r="A2260" s="247" t="s">
        <v>646</v>
      </c>
      <c r="B2260" s="247" t="s">
        <v>265</v>
      </c>
      <c r="C2260" s="247" t="s">
        <v>1343</v>
      </c>
      <c r="D2260" s="247" t="s">
        <v>755</v>
      </c>
      <c r="E2260" s="247" t="s">
        <v>1314</v>
      </c>
      <c r="F2260" s="247" t="s">
        <v>2176</v>
      </c>
      <c r="G2260" s="247" t="s">
        <v>1388</v>
      </c>
      <c r="H2260" s="247" t="s">
        <v>2015</v>
      </c>
      <c r="I2260" s="247" t="s">
        <v>2177</v>
      </c>
      <c r="J2260" s="247">
        <v>89</v>
      </c>
      <c r="K2260" s="247">
        <v>89.2</v>
      </c>
      <c r="L2260" s="249" t="s">
        <v>939</v>
      </c>
      <c r="M2260" s="249" t="s">
        <v>929</v>
      </c>
      <c r="N2260" s="248">
        <v>75.25</v>
      </c>
      <c r="O2260" s="248">
        <v>516</v>
      </c>
      <c r="P2260" s="247" t="s">
        <v>1421</v>
      </c>
      <c r="Q2260" s="247" t="s">
        <v>93</v>
      </c>
    </row>
    <row r="2261" spans="1:17" x14ac:dyDescent="0.25">
      <c r="A2261" s="247" t="s">
        <v>646</v>
      </c>
      <c r="B2261" s="247" t="s">
        <v>265</v>
      </c>
      <c r="C2261" s="247" t="s">
        <v>1343</v>
      </c>
      <c r="D2261" s="247" t="s">
        <v>755</v>
      </c>
      <c r="E2261" s="247" t="s">
        <v>1314</v>
      </c>
      <c r="F2261" s="247" t="s">
        <v>2176</v>
      </c>
      <c r="G2261" s="247" t="s">
        <v>1388</v>
      </c>
      <c r="H2261" s="247" t="s">
        <v>2015</v>
      </c>
      <c r="I2261" s="247" t="s">
        <v>2177</v>
      </c>
      <c r="J2261" s="247">
        <v>89</v>
      </c>
      <c r="K2261" s="247">
        <v>89.2</v>
      </c>
      <c r="L2261" s="249" t="s">
        <v>940</v>
      </c>
      <c r="M2261" s="249" t="s">
        <v>929</v>
      </c>
      <c r="N2261" s="248">
        <v>75.25</v>
      </c>
      <c r="O2261" s="248">
        <v>591.25</v>
      </c>
      <c r="P2261" s="247" t="s">
        <v>1421</v>
      </c>
      <c r="Q2261" s="247" t="s">
        <v>94</v>
      </c>
    </row>
    <row r="2262" spans="1:17" x14ac:dyDescent="0.25">
      <c r="A2262" s="247" t="s">
        <v>646</v>
      </c>
      <c r="B2262" s="247" t="s">
        <v>265</v>
      </c>
      <c r="C2262" s="247" t="s">
        <v>1343</v>
      </c>
      <c r="D2262" s="247" t="s">
        <v>755</v>
      </c>
      <c r="E2262" s="247" t="s">
        <v>1314</v>
      </c>
      <c r="F2262" s="247" t="s">
        <v>2176</v>
      </c>
      <c r="G2262" s="247" t="s">
        <v>1388</v>
      </c>
      <c r="H2262" s="247" t="s">
        <v>2015</v>
      </c>
      <c r="I2262" s="247" t="s">
        <v>2177</v>
      </c>
      <c r="J2262" s="247">
        <v>89</v>
      </c>
      <c r="K2262" s="247">
        <v>89.2</v>
      </c>
      <c r="L2262" s="249" t="s">
        <v>642</v>
      </c>
      <c r="M2262" s="249" t="s">
        <v>929</v>
      </c>
      <c r="N2262" s="248">
        <v>129</v>
      </c>
      <c r="O2262" s="248">
        <v>720.25</v>
      </c>
      <c r="P2262" s="247" t="s">
        <v>1421</v>
      </c>
      <c r="Q2262" s="247" t="s">
        <v>95</v>
      </c>
    </row>
    <row r="2263" spans="1:17" x14ac:dyDescent="0.25">
      <c r="A2263" s="247" t="s">
        <v>646</v>
      </c>
      <c r="B2263" s="247" t="s">
        <v>265</v>
      </c>
      <c r="C2263" s="247" t="s">
        <v>1343</v>
      </c>
      <c r="D2263" s="247" t="s">
        <v>823</v>
      </c>
      <c r="E2263" s="247" t="s">
        <v>1314</v>
      </c>
      <c r="F2263" s="247" t="s">
        <v>2178</v>
      </c>
      <c r="G2263" s="247" t="s">
        <v>1422</v>
      </c>
      <c r="H2263" s="247" t="s">
        <v>2015</v>
      </c>
      <c r="I2263" s="247" t="s">
        <v>2179</v>
      </c>
      <c r="J2263" s="247">
        <v>86</v>
      </c>
      <c r="K2263" s="247">
        <v>85.2</v>
      </c>
      <c r="L2263" s="249" t="s">
        <v>646</v>
      </c>
      <c r="M2263" s="249" t="s">
        <v>933</v>
      </c>
      <c r="N2263" s="248">
        <v>1878.04</v>
      </c>
      <c r="O2263" s="248">
        <v>1878.04</v>
      </c>
      <c r="P2263" s="247" t="s">
        <v>1423</v>
      </c>
      <c r="Q2263" s="247" t="s">
        <v>84</v>
      </c>
    </row>
    <row r="2264" spans="1:17" x14ac:dyDescent="0.25">
      <c r="A2264" s="247" t="s">
        <v>646</v>
      </c>
      <c r="B2264" s="247" t="s">
        <v>265</v>
      </c>
      <c r="C2264" s="247" t="s">
        <v>1343</v>
      </c>
      <c r="D2264" s="247" t="s">
        <v>823</v>
      </c>
      <c r="E2264" s="247" t="s">
        <v>1314</v>
      </c>
      <c r="F2264" s="247" t="s">
        <v>2178</v>
      </c>
      <c r="G2264" s="247" t="s">
        <v>1422</v>
      </c>
      <c r="H2264" s="247" t="s">
        <v>2015</v>
      </c>
      <c r="I2264" s="247" t="s">
        <v>2179</v>
      </c>
      <c r="J2264" s="247">
        <v>86</v>
      </c>
      <c r="K2264" s="247">
        <v>85.2</v>
      </c>
      <c r="L2264" s="249" t="s">
        <v>650</v>
      </c>
      <c r="M2264" s="249" t="s">
        <v>933</v>
      </c>
      <c r="N2264" s="248">
        <v>0</v>
      </c>
      <c r="O2264" s="248">
        <v>1878.04</v>
      </c>
      <c r="P2264" s="247" t="s">
        <v>1423</v>
      </c>
      <c r="Q2264" s="247" t="s">
        <v>85</v>
      </c>
    </row>
    <row r="2265" spans="1:17" x14ac:dyDescent="0.25">
      <c r="A2265" s="247" t="s">
        <v>646</v>
      </c>
      <c r="B2265" s="247" t="s">
        <v>265</v>
      </c>
      <c r="C2265" s="247" t="s">
        <v>1343</v>
      </c>
      <c r="D2265" s="247" t="s">
        <v>823</v>
      </c>
      <c r="E2265" s="247" t="s">
        <v>1314</v>
      </c>
      <c r="F2265" s="247" t="s">
        <v>2178</v>
      </c>
      <c r="G2265" s="247" t="s">
        <v>1422</v>
      </c>
      <c r="H2265" s="247" t="s">
        <v>2015</v>
      </c>
      <c r="I2265" s="247" t="s">
        <v>2179</v>
      </c>
      <c r="J2265" s="247">
        <v>86</v>
      </c>
      <c r="K2265" s="247">
        <v>85.2</v>
      </c>
      <c r="L2265" s="249" t="s">
        <v>652</v>
      </c>
      <c r="M2265" s="249" t="s">
        <v>933</v>
      </c>
      <c r="N2265" s="248">
        <v>0</v>
      </c>
      <c r="O2265" s="248">
        <v>1878.04</v>
      </c>
      <c r="P2265" s="247" t="s">
        <v>1423</v>
      </c>
      <c r="Q2265" s="247" t="s">
        <v>86</v>
      </c>
    </row>
    <row r="2266" spans="1:17" x14ac:dyDescent="0.25">
      <c r="A2266" s="247" t="s">
        <v>646</v>
      </c>
      <c r="B2266" s="247" t="s">
        <v>265</v>
      </c>
      <c r="C2266" s="247" t="s">
        <v>1343</v>
      </c>
      <c r="D2266" s="247" t="s">
        <v>823</v>
      </c>
      <c r="E2266" s="247" t="s">
        <v>1314</v>
      </c>
      <c r="F2266" s="247" t="s">
        <v>2178</v>
      </c>
      <c r="G2266" s="247" t="s">
        <v>1422</v>
      </c>
      <c r="H2266" s="247" t="s">
        <v>2015</v>
      </c>
      <c r="I2266" s="247" t="s">
        <v>2179</v>
      </c>
      <c r="J2266" s="247">
        <v>86</v>
      </c>
      <c r="K2266" s="247">
        <v>85.2</v>
      </c>
      <c r="L2266" s="249" t="s">
        <v>789</v>
      </c>
      <c r="M2266" s="249" t="s">
        <v>929</v>
      </c>
      <c r="N2266" s="248">
        <v>847.06</v>
      </c>
      <c r="O2266" s="248">
        <v>847.06</v>
      </c>
      <c r="P2266" s="247" t="s">
        <v>1423</v>
      </c>
      <c r="Q2266" s="247" t="s">
        <v>87</v>
      </c>
    </row>
    <row r="2267" spans="1:17" x14ac:dyDescent="0.25">
      <c r="A2267" s="247" t="s">
        <v>646</v>
      </c>
      <c r="B2267" s="247" t="s">
        <v>265</v>
      </c>
      <c r="C2267" s="247" t="s">
        <v>1343</v>
      </c>
      <c r="D2267" s="247" t="s">
        <v>823</v>
      </c>
      <c r="E2267" s="247" t="s">
        <v>1314</v>
      </c>
      <c r="F2267" s="247" t="s">
        <v>2178</v>
      </c>
      <c r="G2267" s="247" t="s">
        <v>1422</v>
      </c>
      <c r="H2267" s="247" t="s">
        <v>2015</v>
      </c>
      <c r="I2267" s="247" t="s">
        <v>2179</v>
      </c>
      <c r="J2267" s="247">
        <v>86</v>
      </c>
      <c r="K2267" s="247">
        <v>85.2</v>
      </c>
      <c r="L2267" s="249" t="s">
        <v>791</v>
      </c>
      <c r="M2267" s="249" t="s">
        <v>929</v>
      </c>
      <c r="N2267" s="248">
        <v>847.06</v>
      </c>
      <c r="O2267" s="248">
        <v>1694.12</v>
      </c>
      <c r="P2267" s="247" t="s">
        <v>1423</v>
      </c>
      <c r="Q2267" s="247" t="s">
        <v>88</v>
      </c>
    </row>
    <row r="2268" spans="1:17" x14ac:dyDescent="0.25">
      <c r="A2268" s="247" t="s">
        <v>646</v>
      </c>
      <c r="B2268" s="247" t="s">
        <v>265</v>
      </c>
      <c r="C2268" s="247" t="s">
        <v>1343</v>
      </c>
      <c r="D2268" s="247" t="s">
        <v>823</v>
      </c>
      <c r="E2268" s="247" t="s">
        <v>1314</v>
      </c>
      <c r="F2268" s="247" t="s">
        <v>2178</v>
      </c>
      <c r="G2268" s="247" t="s">
        <v>1422</v>
      </c>
      <c r="H2268" s="247" t="s">
        <v>2015</v>
      </c>
      <c r="I2268" s="247" t="s">
        <v>2179</v>
      </c>
      <c r="J2268" s="247">
        <v>86</v>
      </c>
      <c r="K2268" s="247">
        <v>85.2</v>
      </c>
      <c r="L2268" s="249" t="s">
        <v>935</v>
      </c>
      <c r="M2268" s="249" t="s">
        <v>929</v>
      </c>
      <c r="N2268" s="248">
        <v>847.06</v>
      </c>
      <c r="O2268" s="248">
        <v>2541.1799999999998</v>
      </c>
      <c r="P2268" s="247" t="s">
        <v>1423</v>
      </c>
      <c r="Q2268" s="247" t="s">
        <v>89</v>
      </c>
    </row>
    <row r="2269" spans="1:17" x14ac:dyDescent="0.25">
      <c r="A2269" s="247" t="s">
        <v>646</v>
      </c>
      <c r="B2269" s="247" t="s">
        <v>265</v>
      </c>
      <c r="C2269" s="247" t="s">
        <v>1343</v>
      </c>
      <c r="D2269" s="247" t="s">
        <v>823</v>
      </c>
      <c r="E2269" s="247" t="s">
        <v>1314</v>
      </c>
      <c r="F2269" s="247" t="s">
        <v>2178</v>
      </c>
      <c r="G2269" s="247" t="s">
        <v>1422</v>
      </c>
      <c r="H2269" s="247" t="s">
        <v>2015</v>
      </c>
      <c r="I2269" s="247" t="s">
        <v>2179</v>
      </c>
      <c r="J2269" s="247">
        <v>86</v>
      </c>
      <c r="K2269" s="247">
        <v>85.2</v>
      </c>
      <c r="L2269" s="249" t="s">
        <v>936</v>
      </c>
      <c r="M2269" s="249" t="s">
        <v>929</v>
      </c>
      <c r="N2269" s="248">
        <v>847.06</v>
      </c>
      <c r="O2269" s="248">
        <v>3388.24</v>
      </c>
      <c r="P2269" s="247" t="s">
        <v>1423</v>
      </c>
      <c r="Q2269" s="247" t="s">
        <v>90</v>
      </c>
    </row>
    <row r="2270" spans="1:17" x14ac:dyDescent="0.25">
      <c r="A2270" s="247" t="s">
        <v>646</v>
      </c>
      <c r="B2270" s="247" t="s">
        <v>265</v>
      </c>
      <c r="C2270" s="247" t="s">
        <v>1343</v>
      </c>
      <c r="D2270" s="247" t="s">
        <v>823</v>
      </c>
      <c r="E2270" s="247" t="s">
        <v>1314</v>
      </c>
      <c r="F2270" s="247" t="s">
        <v>2178</v>
      </c>
      <c r="G2270" s="247" t="s">
        <v>1422</v>
      </c>
      <c r="H2270" s="247" t="s">
        <v>2015</v>
      </c>
      <c r="I2270" s="247" t="s">
        <v>2179</v>
      </c>
      <c r="J2270" s="247">
        <v>86</v>
      </c>
      <c r="K2270" s="247">
        <v>85.2</v>
      </c>
      <c r="L2270" s="249" t="s">
        <v>937</v>
      </c>
      <c r="M2270" s="249" t="s">
        <v>929</v>
      </c>
      <c r="N2270" s="248">
        <v>847.06</v>
      </c>
      <c r="O2270" s="248">
        <v>4235.3</v>
      </c>
      <c r="P2270" s="247" t="s">
        <v>1423</v>
      </c>
      <c r="Q2270" s="247" t="s">
        <v>91</v>
      </c>
    </row>
    <row r="2271" spans="1:17" x14ac:dyDescent="0.25">
      <c r="A2271" s="247" t="s">
        <v>646</v>
      </c>
      <c r="B2271" s="247" t="s">
        <v>265</v>
      </c>
      <c r="C2271" s="247" t="s">
        <v>1343</v>
      </c>
      <c r="D2271" s="247" t="s">
        <v>823</v>
      </c>
      <c r="E2271" s="247" t="s">
        <v>1314</v>
      </c>
      <c r="F2271" s="247" t="s">
        <v>2178</v>
      </c>
      <c r="G2271" s="247" t="s">
        <v>1422</v>
      </c>
      <c r="H2271" s="247" t="s">
        <v>2015</v>
      </c>
      <c r="I2271" s="247" t="s">
        <v>2179</v>
      </c>
      <c r="J2271" s="247">
        <v>86</v>
      </c>
      <c r="K2271" s="247">
        <v>85.2</v>
      </c>
      <c r="L2271" s="249" t="s">
        <v>938</v>
      </c>
      <c r="M2271" s="249" t="s">
        <v>929</v>
      </c>
      <c r="N2271" s="248">
        <v>847.06</v>
      </c>
      <c r="O2271" s="248">
        <v>5082.3599999999997</v>
      </c>
      <c r="P2271" s="247" t="s">
        <v>1423</v>
      </c>
      <c r="Q2271" s="247" t="s">
        <v>92</v>
      </c>
    </row>
    <row r="2272" spans="1:17" x14ac:dyDescent="0.25">
      <c r="A2272" s="247" t="s">
        <v>646</v>
      </c>
      <c r="B2272" s="247" t="s">
        <v>265</v>
      </c>
      <c r="C2272" s="247" t="s">
        <v>1343</v>
      </c>
      <c r="D2272" s="247" t="s">
        <v>823</v>
      </c>
      <c r="E2272" s="247" t="s">
        <v>1314</v>
      </c>
      <c r="F2272" s="247" t="s">
        <v>2178</v>
      </c>
      <c r="G2272" s="247" t="s">
        <v>1422</v>
      </c>
      <c r="H2272" s="247" t="s">
        <v>2015</v>
      </c>
      <c r="I2272" s="247" t="s">
        <v>2179</v>
      </c>
      <c r="J2272" s="247">
        <v>86</v>
      </c>
      <c r="K2272" s="247">
        <v>85.2</v>
      </c>
      <c r="L2272" s="249" t="s">
        <v>939</v>
      </c>
      <c r="M2272" s="249" t="s">
        <v>929</v>
      </c>
      <c r="N2272" s="248">
        <v>847.06</v>
      </c>
      <c r="O2272" s="248">
        <v>5929.42</v>
      </c>
      <c r="P2272" s="247" t="s">
        <v>1423</v>
      </c>
      <c r="Q2272" s="247" t="s">
        <v>93</v>
      </c>
    </row>
    <row r="2273" spans="1:17" x14ac:dyDescent="0.25">
      <c r="A2273" s="247" t="s">
        <v>646</v>
      </c>
      <c r="B2273" s="247" t="s">
        <v>265</v>
      </c>
      <c r="C2273" s="247" t="s">
        <v>1343</v>
      </c>
      <c r="D2273" s="247" t="s">
        <v>823</v>
      </c>
      <c r="E2273" s="247" t="s">
        <v>1314</v>
      </c>
      <c r="F2273" s="247" t="s">
        <v>2178</v>
      </c>
      <c r="G2273" s="247" t="s">
        <v>1422</v>
      </c>
      <c r="H2273" s="247" t="s">
        <v>2015</v>
      </c>
      <c r="I2273" s="247" t="s">
        <v>2179</v>
      </c>
      <c r="J2273" s="247">
        <v>86</v>
      </c>
      <c r="K2273" s="247">
        <v>85.2</v>
      </c>
      <c r="L2273" s="249" t="s">
        <v>940</v>
      </c>
      <c r="M2273" s="249" t="s">
        <v>929</v>
      </c>
      <c r="N2273" s="248">
        <v>847.06</v>
      </c>
      <c r="O2273" s="248">
        <v>6776.48</v>
      </c>
      <c r="P2273" s="247" t="s">
        <v>1423</v>
      </c>
      <c r="Q2273" s="247" t="s">
        <v>94</v>
      </c>
    </row>
    <row r="2274" spans="1:17" x14ac:dyDescent="0.25">
      <c r="A2274" s="247" t="s">
        <v>646</v>
      </c>
      <c r="B2274" s="247" t="s">
        <v>265</v>
      </c>
      <c r="C2274" s="247" t="s">
        <v>1343</v>
      </c>
      <c r="D2274" s="247" t="s">
        <v>823</v>
      </c>
      <c r="E2274" s="247" t="s">
        <v>1314</v>
      </c>
      <c r="F2274" s="247" t="s">
        <v>2178</v>
      </c>
      <c r="G2274" s="247" t="s">
        <v>1422</v>
      </c>
      <c r="H2274" s="247" t="s">
        <v>2015</v>
      </c>
      <c r="I2274" s="247" t="s">
        <v>2179</v>
      </c>
      <c r="J2274" s="247">
        <v>86</v>
      </c>
      <c r="K2274" s="247">
        <v>85.2</v>
      </c>
      <c r="L2274" s="249" t="s">
        <v>642</v>
      </c>
      <c r="M2274" s="249" t="s">
        <v>929</v>
      </c>
      <c r="N2274" s="248">
        <v>847.06</v>
      </c>
      <c r="O2274" s="248">
        <v>7623.54</v>
      </c>
      <c r="P2274" s="247" t="s">
        <v>1423</v>
      </c>
      <c r="Q2274" s="247" t="s">
        <v>95</v>
      </c>
    </row>
    <row r="2275" spans="1:17" x14ac:dyDescent="0.25">
      <c r="A2275" s="247" t="s">
        <v>646</v>
      </c>
      <c r="B2275" s="247" t="s">
        <v>265</v>
      </c>
      <c r="C2275" s="247" t="s">
        <v>1343</v>
      </c>
      <c r="D2275" s="247" t="s">
        <v>569</v>
      </c>
      <c r="E2275" s="247" t="s">
        <v>1314</v>
      </c>
      <c r="F2275" s="247" t="s">
        <v>2180</v>
      </c>
      <c r="G2275" s="247" t="s">
        <v>1352</v>
      </c>
      <c r="H2275" s="247" t="s">
        <v>2015</v>
      </c>
      <c r="I2275" s="247" t="s">
        <v>2181</v>
      </c>
      <c r="J2275" s="247">
        <v>90</v>
      </c>
      <c r="K2275" s="247">
        <v>90.2</v>
      </c>
      <c r="L2275" s="249" t="s">
        <v>646</v>
      </c>
      <c r="M2275" s="249" t="s">
        <v>933</v>
      </c>
      <c r="N2275" s="248">
        <v>1235.83</v>
      </c>
      <c r="O2275" s="248">
        <v>1235.83</v>
      </c>
      <c r="P2275" s="247" t="s">
        <v>1424</v>
      </c>
      <c r="Q2275" s="247" t="s">
        <v>84</v>
      </c>
    </row>
    <row r="2276" spans="1:17" x14ac:dyDescent="0.25">
      <c r="A2276" s="247" t="s">
        <v>646</v>
      </c>
      <c r="B2276" s="247" t="s">
        <v>265</v>
      </c>
      <c r="C2276" s="247" t="s">
        <v>1343</v>
      </c>
      <c r="D2276" s="247" t="s">
        <v>569</v>
      </c>
      <c r="E2276" s="247" t="s">
        <v>1314</v>
      </c>
      <c r="F2276" s="247" t="s">
        <v>2180</v>
      </c>
      <c r="G2276" s="247" t="s">
        <v>1352</v>
      </c>
      <c r="H2276" s="247" t="s">
        <v>2015</v>
      </c>
      <c r="I2276" s="247" t="s">
        <v>2181</v>
      </c>
      <c r="J2276" s="247">
        <v>90</v>
      </c>
      <c r="K2276" s="247">
        <v>90.2</v>
      </c>
      <c r="L2276" s="249" t="s">
        <v>650</v>
      </c>
      <c r="M2276" s="249" t="s">
        <v>933</v>
      </c>
      <c r="N2276" s="248">
        <v>852.5</v>
      </c>
      <c r="O2276" s="248">
        <v>2088.33</v>
      </c>
      <c r="P2276" s="247" t="s">
        <v>1424</v>
      </c>
      <c r="Q2276" s="247" t="s">
        <v>85</v>
      </c>
    </row>
    <row r="2277" spans="1:17" x14ac:dyDescent="0.25">
      <c r="A2277" s="247" t="s">
        <v>646</v>
      </c>
      <c r="B2277" s="247" t="s">
        <v>265</v>
      </c>
      <c r="C2277" s="247" t="s">
        <v>1343</v>
      </c>
      <c r="D2277" s="247" t="s">
        <v>569</v>
      </c>
      <c r="E2277" s="247" t="s">
        <v>1314</v>
      </c>
      <c r="F2277" s="247" t="s">
        <v>2180</v>
      </c>
      <c r="G2277" s="247" t="s">
        <v>1352</v>
      </c>
      <c r="H2277" s="247" t="s">
        <v>2015</v>
      </c>
      <c r="I2277" s="247" t="s">
        <v>2181</v>
      </c>
      <c r="J2277" s="247">
        <v>90</v>
      </c>
      <c r="K2277" s="247">
        <v>90.2</v>
      </c>
      <c r="L2277" s="249" t="s">
        <v>652</v>
      </c>
      <c r="M2277" s="249" t="s">
        <v>933</v>
      </c>
      <c r="N2277" s="248">
        <v>1038.5</v>
      </c>
      <c r="O2277" s="248">
        <v>3126.83</v>
      </c>
      <c r="P2277" s="247" t="s">
        <v>1424</v>
      </c>
      <c r="Q2277" s="247" t="s">
        <v>86</v>
      </c>
    </row>
    <row r="2278" spans="1:17" x14ac:dyDescent="0.25">
      <c r="A2278" s="247" t="s">
        <v>646</v>
      </c>
      <c r="B2278" s="247" t="s">
        <v>265</v>
      </c>
      <c r="C2278" s="247" t="s">
        <v>1343</v>
      </c>
      <c r="D2278" s="247" t="s">
        <v>569</v>
      </c>
      <c r="E2278" s="247" t="s">
        <v>1314</v>
      </c>
      <c r="F2278" s="247" t="s">
        <v>2180</v>
      </c>
      <c r="G2278" s="247" t="s">
        <v>1352</v>
      </c>
      <c r="H2278" s="247" t="s">
        <v>2015</v>
      </c>
      <c r="I2278" s="247" t="s">
        <v>2181</v>
      </c>
      <c r="J2278" s="247">
        <v>90</v>
      </c>
      <c r="K2278" s="247">
        <v>90.2</v>
      </c>
      <c r="L2278" s="249" t="s">
        <v>789</v>
      </c>
      <c r="M2278" s="249" t="s">
        <v>929</v>
      </c>
      <c r="N2278" s="248">
        <v>863.12</v>
      </c>
      <c r="O2278" s="248">
        <v>863.12</v>
      </c>
      <c r="P2278" s="247" t="s">
        <v>1424</v>
      </c>
      <c r="Q2278" s="247" t="s">
        <v>87</v>
      </c>
    </row>
    <row r="2279" spans="1:17" x14ac:dyDescent="0.25">
      <c r="A2279" s="247" t="s">
        <v>646</v>
      </c>
      <c r="B2279" s="247" t="s">
        <v>265</v>
      </c>
      <c r="C2279" s="247" t="s">
        <v>1343</v>
      </c>
      <c r="D2279" s="247" t="s">
        <v>569</v>
      </c>
      <c r="E2279" s="247" t="s">
        <v>1314</v>
      </c>
      <c r="F2279" s="247" t="s">
        <v>2180</v>
      </c>
      <c r="G2279" s="247" t="s">
        <v>1352</v>
      </c>
      <c r="H2279" s="247" t="s">
        <v>2015</v>
      </c>
      <c r="I2279" s="247" t="s">
        <v>2181</v>
      </c>
      <c r="J2279" s="247">
        <v>90</v>
      </c>
      <c r="K2279" s="247">
        <v>90.2</v>
      </c>
      <c r="L2279" s="249" t="s">
        <v>791</v>
      </c>
      <c r="M2279" s="249" t="s">
        <v>929</v>
      </c>
      <c r="N2279" s="248">
        <v>873.76</v>
      </c>
      <c r="O2279" s="248">
        <v>1736.88</v>
      </c>
      <c r="P2279" s="247" t="s">
        <v>1424</v>
      </c>
      <c r="Q2279" s="247" t="s">
        <v>88</v>
      </c>
    </row>
    <row r="2280" spans="1:17" x14ac:dyDescent="0.25">
      <c r="A2280" s="247" t="s">
        <v>646</v>
      </c>
      <c r="B2280" s="247" t="s">
        <v>265</v>
      </c>
      <c r="C2280" s="247" t="s">
        <v>1343</v>
      </c>
      <c r="D2280" s="247" t="s">
        <v>569</v>
      </c>
      <c r="E2280" s="247" t="s">
        <v>1314</v>
      </c>
      <c r="F2280" s="247" t="s">
        <v>2180</v>
      </c>
      <c r="G2280" s="247" t="s">
        <v>1352</v>
      </c>
      <c r="H2280" s="247" t="s">
        <v>2015</v>
      </c>
      <c r="I2280" s="247" t="s">
        <v>2181</v>
      </c>
      <c r="J2280" s="247">
        <v>90</v>
      </c>
      <c r="K2280" s="247">
        <v>90.2</v>
      </c>
      <c r="L2280" s="249" t="s">
        <v>935</v>
      </c>
      <c r="M2280" s="249" t="s">
        <v>929</v>
      </c>
      <c r="N2280" s="248">
        <v>873.75</v>
      </c>
      <c r="O2280" s="248">
        <v>2610.63</v>
      </c>
      <c r="P2280" s="247" t="s">
        <v>1424</v>
      </c>
      <c r="Q2280" s="247" t="s">
        <v>89</v>
      </c>
    </row>
    <row r="2281" spans="1:17" x14ac:dyDescent="0.25">
      <c r="A2281" s="247" t="s">
        <v>646</v>
      </c>
      <c r="B2281" s="247" t="s">
        <v>265</v>
      </c>
      <c r="C2281" s="247" t="s">
        <v>1343</v>
      </c>
      <c r="D2281" s="247" t="s">
        <v>569</v>
      </c>
      <c r="E2281" s="247" t="s">
        <v>1314</v>
      </c>
      <c r="F2281" s="247" t="s">
        <v>2180</v>
      </c>
      <c r="G2281" s="247" t="s">
        <v>1352</v>
      </c>
      <c r="H2281" s="247" t="s">
        <v>2015</v>
      </c>
      <c r="I2281" s="247" t="s">
        <v>2181</v>
      </c>
      <c r="J2281" s="247">
        <v>90</v>
      </c>
      <c r="K2281" s="247">
        <v>90.2</v>
      </c>
      <c r="L2281" s="249" t="s">
        <v>936</v>
      </c>
      <c r="M2281" s="249" t="s">
        <v>929</v>
      </c>
      <c r="N2281" s="248">
        <v>1310.6400000000001</v>
      </c>
      <c r="O2281" s="248">
        <v>3921.27</v>
      </c>
      <c r="P2281" s="247" t="s">
        <v>1424</v>
      </c>
      <c r="Q2281" s="247" t="s">
        <v>90</v>
      </c>
    </row>
    <row r="2282" spans="1:17" x14ac:dyDescent="0.25">
      <c r="A2282" s="247" t="s">
        <v>646</v>
      </c>
      <c r="B2282" s="247" t="s">
        <v>265</v>
      </c>
      <c r="C2282" s="247" t="s">
        <v>1343</v>
      </c>
      <c r="D2282" s="247" t="s">
        <v>569</v>
      </c>
      <c r="E2282" s="247" t="s">
        <v>1314</v>
      </c>
      <c r="F2282" s="247" t="s">
        <v>2180</v>
      </c>
      <c r="G2282" s="247" t="s">
        <v>1352</v>
      </c>
      <c r="H2282" s="247" t="s">
        <v>2015</v>
      </c>
      <c r="I2282" s="247" t="s">
        <v>2181</v>
      </c>
      <c r="J2282" s="247">
        <v>90</v>
      </c>
      <c r="K2282" s="247">
        <v>90.2</v>
      </c>
      <c r="L2282" s="249" t="s">
        <v>937</v>
      </c>
      <c r="M2282" s="249" t="s">
        <v>929</v>
      </c>
      <c r="N2282" s="248">
        <v>939.33</v>
      </c>
      <c r="O2282" s="248">
        <v>4860.6000000000004</v>
      </c>
      <c r="P2282" s="247" t="s">
        <v>1424</v>
      </c>
      <c r="Q2282" s="247" t="s">
        <v>91</v>
      </c>
    </row>
    <row r="2283" spans="1:17" x14ac:dyDescent="0.25">
      <c r="A2283" s="247" t="s">
        <v>646</v>
      </c>
      <c r="B2283" s="247" t="s">
        <v>265</v>
      </c>
      <c r="C2283" s="247" t="s">
        <v>1343</v>
      </c>
      <c r="D2283" s="247" t="s">
        <v>569</v>
      </c>
      <c r="E2283" s="247" t="s">
        <v>1314</v>
      </c>
      <c r="F2283" s="247" t="s">
        <v>2180</v>
      </c>
      <c r="G2283" s="247" t="s">
        <v>1352</v>
      </c>
      <c r="H2283" s="247" t="s">
        <v>2015</v>
      </c>
      <c r="I2283" s="247" t="s">
        <v>2181</v>
      </c>
      <c r="J2283" s="247">
        <v>90</v>
      </c>
      <c r="K2283" s="247">
        <v>90.2</v>
      </c>
      <c r="L2283" s="249" t="s">
        <v>938</v>
      </c>
      <c r="M2283" s="249" t="s">
        <v>929</v>
      </c>
      <c r="N2283" s="248">
        <v>1384.06</v>
      </c>
      <c r="O2283" s="248">
        <v>6244.66</v>
      </c>
      <c r="P2283" s="247" t="s">
        <v>1424</v>
      </c>
      <c r="Q2283" s="247" t="s">
        <v>92</v>
      </c>
    </row>
    <row r="2284" spans="1:17" x14ac:dyDescent="0.25">
      <c r="A2284" s="247" t="s">
        <v>646</v>
      </c>
      <c r="B2284" s="247" t="s">
        <v>265</v>
      </c>
      <c r="C2284" s="247" t="s">
        <v>1343</v>
      </c>
      <c r="D2284" s="247" t="s">
        <v>569</v>
      </c>
      <c r="E2284" s="247" t="s">
        <v>1314</v>
      </c>
      <c r="F2284" s="247" t="s">
        <v>2180</v>
      </c>
      <c r="G2284" s="247" t="s">
        <v>1352</v>
      </c>
      <c r="H2284" s="247" t="s">
        <v>2015</v>
      </c>
      <c r="I2284" s="247" t="s">
        <v>2181</v>
      </c>
      <c r="J2284" s="247">
        <v>90</v>
      </c>
      <c r="K2284" s="247">
        <v>90.2</v>
      </c>
      <c r="L2284" s="249" t="s">
        <v>939</v>
      </c>
      <c r="M2284" s="249" t="s">
        <v>929</v>
      </c>
      <c r="N2284" s="248">
        <v>1636.68</v>
      </c>
      <c r="O2284" s="248">
        <v>7881.34</v>
      </c>
      <c r="P2284" s="247" t="s">
        <v>1424</v>
      </c>
      <c r="Q2284" s="247" t="s">
        <v>93</v>
      </c>
    </row>
    <row r="2285" spans="1:17" x14ac:dyDescent="0.25">
      <c r="A2285" s="247" t="s">
        <v>646</v>
      </c>
      <c r="B2285" s="247" t="s">
        <v>265</v>
      </c>
      <c r="C2285" s="247" t="s">
        <v>1343</v>
      </c>
      <c r="D2285" s="247" t="s">
        <v>569</v>
      </c>
      <c r="E2285" s="247" t="s">
        <v>1314</v>
      </c>
      <c r="F2285" s="247" t="s">
        <v>2180</v>
      </c>
      <c r="G2285" s="247" t="s">
        <v>1352</v>
      </c>
      <c r="H2285" s="247" t="s">
        <v>2015</v>
      </c>
      <c r="I2285" s="247" t="s">
        <v>2181</v>
      </c>
      <c r="J2285" s="247">
        <v>90</v>
      </c>
      <c r="K2285" s="247">
        <v>90.2</v>
      </c>
      <c r="L2285" s="249" t="s">
        <v>940</v>
      </c>
      <c r="M2285" s="249" t="s">
        <v>929</v>
      </c>
      <c r="N2285" s="248">
        <v>1770.58</v>
      </c>
      <c r="O2285" s="248">
        <v>9651.92</v>
      </c>
      <c r="P2285" s="247" t="s">
        <v>1424</v>
      </c>
      <c r="Q2285" s="247" t="s">
        <v>94</v>
      </c>
    </row>
    <row r="2286" spans="1:17" x14ac:dyDescent="0.25">
      <c r="A2286" s="247" t="s">
        <v>646</v>
      </c>
      <c r="B2286" s="247" t="s">
        <v>265</v>
      </c>
      <c r="C2286" s="247" t="s">
        <v>1343</v>
      </c>
      <c r="D2286" s="247" t="s">
        <v>569</v>
      </c>
      <c r="E2286" s="247" t="s">
        <v>1314</v>
      </c>
      <c r="F2286" s="247" t="s">
        <v>2180</v>
      </c>
      <c r="G2286" s="247" t="s">
        <v>1352</v>
      </c>
      <c r="H2286" s="247" t="s">
        <v>2015</v>
      </c>
      <c r="I2286" s="247" t="s">
        <v>2181</v>
      </c>
      <c r="J2286" s="247">
        <v>90</v>
      </c>
      <c r="K2286" s="247">
        <v>90.2</v>
      </c>
      <c r="L2286" s="249" t="s">
        <v>642</v>
      </c>
      <c r="M2286" s="249" t="s">
        <v>929</v>
      </c>
      <c r="N2286" s="248">
        <v>2665.79</v>
      </c>
      <c r="O2286" s="248">
        <v>12317.71</v>
      </c>
      <c r="P2286" s="247" t="s">
        <v>1424</v>
      </c>
      <c r="Q2286" s="247" t="s">
        <v>95</v>
      </c>
    </row>
    <row r="2287" spans="1:17" x14ac:dyDescent="0.25">
      <c r="A2287" s="247" t="s">
        <v>646</v>
      </c>
      <c r="B2287" s="247" t="s">
        <v>265</v>
      </c>
      <c r="C2287" s="247" t="s">
        <v>1343</v>
      </c>
      <c r="D2287" s="247" t="s">
        <v>575</v>
      </c>
      <c r="E2287" s="247" t="s">
        <v>1314</v>
      </c>
      <c r="F2287" s="247" t="s">
        <v>2182</v>
      </c>
      <c r="G2287" s="247" t="s">
        <v>1354</v>
      </c>
      <c r="H2287" s="247" t="s">
        <v>2015</v>
      </c>
      <c r="I2287" s="247" t="s">
        <v>2183</v>
      </c>
      <c r="J2287" s="247">
        <v>90</v>
      </c>
      <c r="K2287" s="247">
        <v>90.2</v>
      </c>
      <c r="L2287" s="249" t="s">
        <v>646</v>
      </c>
      <c r="M2287" s="249" t="s">
        <v>933</v>
      </c>
      <c r="N2287" s="248">
        <v>289.02</v>
      </c>
      <c r="O2287" s="248">
        <v>289.02</v>
      </c>
      <c r="P2287" s="247" t="s">
        <v>1425</v>
      </c>
      <c r="Q2287" s="247" t="s">
        <v>84</v>
      </c>
    </row>
    <row r="2288" spans="1:17" x14ac:dyDescent="0.25">
      <c r="A2288" s="247" t="s">
        <v>646</v>
      </c>
      <c r="B2288" s="247" t="s">
        <v>265</v>
      </c>
      <c r="C2288" s="247" t="s">
        <v>1343</v>
      </c>
      <c r="D2288" s="247" t="s">
        <v>575</v>
      </c>
      <c r="E2288" s="247" t="s">
        <v>1314</v>
      </c>
      <c r="F2288" s="247" t="s">
        <v>2182</v>
      </c>
      <c r="G2288" s="247" t="s">
        <v>1354</v>
      </c>
      <c r="H2288" s="247" t="s">
        <v>2015</v>
      </c>
      <c r="I2288" s="247" t="s">
        <v>2183</v>
      </c>
      <c r="J2288" s="247">
        <v>90</v>
      </c>
      <c r="K2288" s="247">
        <v>90.2</v>
      </c>
      <c r="L2288" s="249" t="s">
        <v>650</v>
      </c>
      <c r="M2288" s="249" t="s">
        <v>933</v>
      </c>
      <c r="N2288" s="248">
        <v>199.38</v>
      </c>
      <c r="O2288" s="248">
        <v>488.4</v>
      </c>
      <c r="P2288" s="247" t="s">
        <v>1425</v>
      </c>
      <c r="Q2288" s="247" t="s">
        <v>85</v>
      </c>
    </row>
    <row r="2289" spans="1:17" x14ac:dyDescent="0.25">
      <c r="A2289" s="247" t="s">
        <v>646</v>
      </c>
      <c r="B2289" s="247" t="s">
        <v>265</v>
      </c>
      <c r="C2289" s="247" t="s">
        <v>1343</v>
      </c>
      <c r="D2289" s="247" t="s">
        <v>575</v>
      </c>
      <c r="E2289" s="247" t="s">
        <v>1314</v>
      </c>
      <c r="F2289" s="247" t="s">
        <v>2182</v>
      </c>
      <c r="G2289" s="247" t="s">
        <v>1354</v>
      </c>
      <c r="H2289" s="247" t="s">
        <v>2015</v>
      </c>
      <c r="I2289" s="247" t="s">
        <v>2183</v>
      </c>
      <c r="J2289" s="247">
        <v>90</v>
      </c>
      <c r="K2289" s="247">
        <v>90.2</v>
      </c>
      <c r="L2289" s="249" t="s">
        <v>652</v>
      </c>
      <c r="M2289" s="249" t="s">
        <v>933</v>
      </c>
      <c r="N2289" s="248">
        <v>242.88</v>
      </c>
      <c r="O2289" s="248">
        <v>731.28</v>
      </c>
      <c r="P2289" s="247" t="s">
        <v>1425</v>
      </c>
      <c r="Q2289" s="247" t="s">
        <v>86</v>
      </c>
    </row>
    <row r="2290" spans="1:17" x14ac:dyDescent="0.25">
      <c r="A2290" s="247" t="s">
        <v>646</v>
      </c>
      <c r="B2290" s="247" t="s">
        <v>265</v>
      </c>
      <c r="C2290" s="247" t="s">
        <v>1343</v>
      </c>
      <c r="D2290" s="247" t="s">
        <v>575</v>
      </c>
      <c r="E2290" s="247" t="s">
        <v>1314</v>
      </c>
      <c r="F2290" s="247" t="s">
        <v>2182</v>
      </c>
      <c r="G2290" s="247" t="s">
        <v>1354</v>
      </c>
      <c r="H2290" s="247" t="s">
        <v>2015</v>
      </c>
      <c r="I2290" s="247" t="s">
        <v>2183</v>
      </c>
      <c r="J2290" s="247">
        <v>90</v>
      </c>
      <c r="K2290" s="247">
        <v>90.2</v>
      </c>
      <c r="L2290" s="249" t="s">
        <v>789</v>
      </c>
      <c r="M2290" s="249" t="s">
        <v>929</v>
      </c>
      <c r="N2290" s="248">
        <v>201.86</v>
      </c>
      <c r="O2290" s="248">
        <v>201.86</v>
      </c>
      <c r="P2290" s="247" t="s">
        <v>1425</v>
      </c>
      <c r="Q2290" s="247" t="s">
        <v>87</v>
      </c>
    </row>
    <row r="2291" spans="1:17" x14ac:dyDescent="0.25">
      <c r="A2291" s="247" t="s">
        <v>646</v>
      </c>
      <c r="B2291" s="247" t="s">
        <v>265</v>
      </c>
      <c r="C2291" s="247" t="s">
        <v>1343</v>
      </c>
      <c r="D2291" s="247" t="s">
        <v>575</v>
      </c>
      <c r="E2291" s="247" t="s">
        <v>1314</v>
      </c>
      <c r="F2291" s="247" t="s">
        <v>2182</v>
      </c>
      <c r="G2291" s="247" t="s">
        <v>1354</v>
      </c>
      <c r="H2291" s="247" t="s">
        <v>2015</v>
      </c>
      <c r="I2291" s="247" t="s">
        <v>2183</v>
      </c>
      <c r="J2291" s="247">
        <v>90</v>
      </c>
      <c r="K2291" s="247">
        <v>90.2</v>
      </c>
      <c r="L2291" s="249" t="s">
        <v>791</v>
      </c>
      <c r="M2291" s="249" t="s">
        <v>929</v>
      </c>
      <c r="N2291" s="248">
        <v>204.35</v>
      </c>
      <c r="O2291" s="248">
        <v>406.21</v>
      </c>
      <c r="P2291" s="247" t="s">
        <v>1425</v>
      </c>
      <c r="Q2291" s="247" t="s">
        <v>88</v>
      </c>
    </row>
    <row r="2292" spans="1:17" x14ac:dyDescent="0.25">
      <c r="A2292" s="247" t="s">
        <v>646</v>
      </c>
      <c r="B2292" s="247" t="s">
        <v>265</v>
      </c>
      <c r="C2292" s="247" t="s">
        <v>1343</v>
      </c>
      <c r="D2292" s="247" t="s">
        <v>575</v>
      </c>
      <c r="E2292" s="247" t="s">
        <v>1314</v>
      </c>
      <c r="F2292" s="247" t="s">
        <v>2182</v>
      </c>
      <c r="G2292" s="247" t="s">
        <v>1354</v>
      </c>
      <c r="H2292" s="247" t="s">
        <v>2015</v>
      </c>
      <c r="I2292" s="247" t="s">
        <v>2183</v>
      </c>
      <c r="J2292" s="247">
        <v>90</v>
      </c>
      <c r="K2292" s="247">
        <v>90.2</v>
      </c>
      <c r="L2292" s="249" t="s">
        <v>935</v>
      </c>
      <c r="M2292" s="249" t="s">
        <v>929</v>
      </c>
      <c r="N2292" s="248">
        <v>204.34</v>
      </c>
      <c r="O2292" s="248">
        <v>610.54999999999995</v>
      </c>
      <c r="P2292" s="247" t="s">
        <v>1425</v>
      </c>
      <c r="Q2292" s="247" t="s">
        <v>89</v>
      </c>
    </row>
    <row r="2293" spans="1:17" x14ac:dyDescent="0.25">
      <c r="A2293" s="247" t="s">
        <v>646</v>
      </c>
      <c r="B2293" s="247" t="s">
        <v>265</v>
      </c>
      <c r="C2293" s="247" t="s">
        <v>1343</v>
      </c>
      <c r="D2293" s="247" t="s">
        <v>575</v>
      </c>
      <c r="E2293" s="247" t="s">
        <v>1314</v>
      </c>
      <c r="F2293" s="247" t="s">
        <v>2182</v>
      </c>
      <c r="G2293" s="247" t="s">
        <v>1354</v>
      </c>
      <c r="H2293" s="247" t="s">
        <v>2015</v>
      </c>
      <c r="I2293" s="247" t="s">
        <v>2183</v>
      </c>
      <c r="J2293" s="247">
        <v>90</v>
      </c>
      <c r="K2293" s="247">
        <v>90.2</v>
      </c>
      <c r="L2293" s="249" t="s">
        <v>936</v>
      </c>
      <c r="M2293" s="249" t="s">
        <v>929</v>
      </c>
      <c r="N2293" s="248">
        <v>306.52</v>
      </c>
      <c r="O2293" s="248">
        <v>917.07</v>
      </c>
      <c r="P2293" s="247" t="s">
        <v>1425</v>
      </c>
      <c r="Q2293" s="247" t="s">
        <v>90</v>
      </c>
    </row>
    <row r="2294" spans="1:17" x14ac:dyDescent="0.25">
      <c r="A2294" s="247" t="s">
        <v>646</v>
      </c>
      <c r="B2294" s="247" t="s">
        <v>265</v>
      </c>
      <c r="C2294" s="247" t="s">
        <v>1343</v>
      </c>
      <c r="D2294" s="247" t="s">
        <v>575</v>
      </c>
      <c r="E2294" s="247" t="s">
        <v>1314</v>
      </c>
      <c r="F2294" s="247" t="s">
        <v>2182</v>
      </c>
      <c r="G2294" s="247" t="s">
        <v>1354</v>
      </c>
      <c r="H2294" s="247" t="s">
        <v>2015</v>
      </c>
      <c r="I2294" s="247" t="s">
        <v>2183</v>
      </c>
      <c r="J2294" s="247">
        <v>90</v>
      </c>
      <c r="K2294" s="247">
        <v>90.2</v>
      </c>
      <c r="L2294" s="249" t="s">
        <v>937</v>
      </c>
      <c r="M2294" s="249" t="s">
        <v>929</v>
      </c>
      <c r="N2294" s="248">
        <v>219.69</v>
      </c>
      <c r="O2294" s="248">
        <v>1136.76</v>
      </c>
      <c r="P2294" s="247" t="s">
        <v>1425</v>
      </c>
      <c r="Q2294" s="247" t="s">
        <v>91</v>
      </c>
    </row>
    <row r="2295" spans="1:17" x14ac:dyDescent="0.25">
      <c r="A2295" s="247" t="s">
        <v>646</v>
      </c>
      <c r="B2295" s="247" t="s">
        <v>265</v>
      </c>
      <c r="C2295" s="247" t="s">
        <v>1343</v>
      </c>
      <c r="D2295" s="247" t="s">
        <v>575</v>
      </c>
      <c r="E2295" s="247" t="s">
        <v>1314</v>
      </c>
      <c r="F2295" s="247" t="s">
        <v>2182</v>
      </c>
      <c r="G2295" s="247" t="s">
        <v>1354</v>
      </c>
      <c r="H2295" s="247" t="s">
        <v>2015</v>
      </c>
      <c r="I2295" s="247" t="s">
        <v>2183</v>
      </c>
      <c r="J2295" s="247">
        <v>90</v>
      </c>
      <c r="K2295" s="247">
        <v>90.2</v>
      </c>
      <c r="L2295" s="249" t="s">
        <v>938</v>
      </c>
      <c r="M2295" s="249" t="s">
        <v>929</v>
      </c>
      <c r="N2295" s="248">
        <v>323.68</v>
      </c>
      <c r="O2295" s="248">
        <v>1460.44</v>
      </c>
      <c r="P2295" s="247" t="s">
        <v>1425</v>
      </c>
      <c r="Q2295" s="247" t="s">
        <v>92</v>
      </c>
    </row>
    <row r="2296" spans="1:17" x14ac:dyDescent="0.25">
      <c r="A2296" s="247" t="s">
        <v>646</v>
      </c>
      <c r="B2296" s="247" t="s">
        <v>265</v>
      </c>
      <c r="C2296" s="247" t="s">
        <v>1343</v>
      </c>
      <c r="D2296" s="247" t="s">
        <v>575</v>
      </c>
      <c r="E2296" s="247" t="s">
        <v>1314</v>
      </c>
      <c r="F2296" s="247" t="s">
        <v>2182</v>
      </c>
      <c r="G2296" s="247" t="s">
        <v>1354</v>
      </c>
      <c r="H2296" s="247" t="s">
        <v>2015</v>
      </c>
      <c r="I2296" s="247" t="s">
        <v>2183</v>
      </c>
      <c r="J2296" s="247">
        <v>90</v>
      </c>
      <c r="K2296" s="247">
        <v>90.2</v>
      </c>
      <c r="L2296" s="249" t="s">
        <v>939</v>
      </c>
      <c r="M2296" s="249" t="s">
        <v>929</v>
      </c>
      <c r="N2296" s="248">
        <v>382.77</v>
      </c>
      <c r="O2296" s="248">
        <v>1843.21</v>
      </c>
      <c r="P2296" s="247" t="s">
        <v>1425</v>
      </c>
      <c r="Q2296" s="247" t="s">
        <v>93</v>
      </c>
    </row>
    <row r="2297" spans="1:17" x14ac:dyDescent="0.25">
      <c r="A2297" s="247" t="s">
        <v>646</v>
      </c>
      <c r="B2297" s="247" t="s">
        <v>265</v>
      </c>
      <c r="C2297" s="247" t="s">
        <v>1343</v>
      </c>
      <c r="D2297" s="247" t="s">
        <v>575</v>
      </c>
      <c r="E2297" s="247" t="s">
        <v>1314</v>
      </c>
      <c r="F2297" s="247" t="s">
        <v>2182</v>
      </c>
      <c r="G2297" s="247" t="s">
        <v>1354</v>
      </c>
      <c r="H2297" s="247" t="s">
        <v>2015</v>
      </c>
      <c r="I2297" s="247" t="s">
        <v>2183</v>
      </c>
      <c r="J2297" s="247">
        <v>90</v>
      </c>
      <c r="K2297" s="247">
        <v>90.2</v>
      </c>
      <c r="L2297" s="249" t="s">
        <v>940</v>
      </c>
      <c r="M2297" s="249" t="s">
        <v>929</v>
      </c>
      <c r="N2297" s="248">
        <v>414.09</v>
      </c>
      <c r="O2297" s="248">
        <v>2257.3000000000002</v>
      </c>
      <c r="P2297" s="247" t="s">
        <v>1425</v>
      </c>
      <c r="Q2297" s="247" t="s">
        <v>94</v>
      </c>
    </row>
    <row r="2298" spans="1:17" x14ac:dyDescent="0.25">
      <c r="A2298" s="247" t="s">
        <v>646</v>
      </c>
      <c r="B2298" s="247" t="s">
        <v>265</v>
      </c>
      <c r="C2298" s="247" t="s">
        <v>1343</v>
      </c>
      <c r="D2298" s="247" t="s">
        <v>575</v>
      </c>
      <c r="E2298" s="247" t="s">
        <v>1314</v>
      </c>
      <c r="F2298" s="247" t="s">
        <v>2182</v>
      </c>
      <c r="G2298" s="247" t="s">
        <v>1354</v>
      </c>
      <c r="H2298" s="247" t="s">
        <v>2015</v>
      </c>
      <c r="I2298" s="247" t="s">
        <v>2183</v>
      </c>
      <c r="J2298" s="247">
        <v>90</v>
      </c>
      <c r="K2298" s="247">
        <v>90.2</v>
      </c>
      <c r="L2298" s="249" t="s">
        <v>642</v>
      </c>
      <c r="M2298" s="249" t="s">
        <v>929</v>
      </c>
      <c r="N2298" s="248">
        <v>623.46</v>
      </c>
      <c r="O2298" s="248">
        <v>2880.76</v>
      </c>
      <c r="P2298" s="247" t="s">
        <v>1425</v>
      </c>
      <c r="Q2298" s="247" t="s">
        <v>95</v>
      </c>
    </row>
    <row r="2299" spans="1:17" x14ac:dyDescent="0.25">
      <c r="A2299" s="247" t="s">
        <v>646</v>
      </c>
      <c r="B2299" s="247" t="s">
        <v>265</v>
      </c>
      <c r="C2299" s="247" t="s">
        <v>1343</v>
      </c>
      <c r="D2299" s="247" t="s">
        <v>1356</v>
      </c>
      <c r="E2299" s="247" t="s">
        <v>1314</v>
      </c>
      <c r="F2299" s="247" t="s">
        <v>2184</v>
      </c>
      <c r="G2299" s="247" t="s">
        <v>1357</v>
      </c>
      <c r="H2299" s="247" t="s">
        <v>2015</v>
      </c>
      <c r="I2299" s="247" t="s">
        <v>2185</v>
      </c>
      <c r="J2299" s="247">
        <v>90</v>
      </c>
      <c r="K2299" s="247">
        <v>90.2</v>
      </c>
      <c r="L2299" s="249" t="s">
        <v>789</v>
      </c>
      <c r="M2299" s="249" t="s">
        <v>929</v>
      </c>
      <c r="N2299" s="248">
        <v>72.84</v>
      </c>
      <c r="O2299" s="248">
        <v>72.84</v>
      </c>
      <c r="P2299" s="247" t="s">
        <v>1426</v>
      </c>
      <c r="Q2299" s="247" t="s">
        <v>87</v>
      </c>
    </row>
    <row r="2300" spans="1:17" x14ac:dyDescent="0.25">
      <c r="A2300" s="247" t="s">
        <v>646</v>
      </c>
      <c r="B2300" s="247" t="s">
        <v>265</v>
      </c>
      <c r="C2300" s="247" t="s">
        <v>1343</v>
      </c>
      <c r="D2300" s="247" t="s">
        <v>1356</v>
      </c>
      <c r="E2300" s="247" t="s">
        <v>1314</v>
      </c>
      <c r="F2300" s="247" t="s">
        <v>2184</v>
      </c>
      <c r="G2300" s="247" t="s">
        <v>1357</v>
      </c>
      <c r="H2300" s="247" t="s">
        <v>2015</v>
      </c>
      <c r="I2300" s="247" t="s">
        <v>2185</v>
      </c>
      <c r="J2300" s="247">
        <v>90</v>
      </c>
      <c r="K2300" s="247">
        <v>90.2</v>
      </c>
      <c r="L2300" s="249" t="s">
        <v>791</v>
      </c>
      <c r="M2300" s="249" t="s">
        <v>929</v>
      </c>
      <c r="N2300" s="248">
        <v>11.16</v>
      </c>
      <c r="O2300" s="248">
        <v>84</v>
      </c>
      <c r="P2300" s="247" t="s">
        <v>1426</v>
      </c>
      <c r="Q2300" s="247" t="s">
        <v>88</v>
      </c>
    </row>
    <row r="2301" spans="1:17" x14ac:dyDescent="0.25">
      <c r="A2301" s="247" t="s">
        <v>646</v>
      </c>
      <c r="B2301" s="247" t="s">
        <v>265</v>
      </c>
      <c r="C2301" s="247" t="s">
        <v>1343</v>
      </c>
      <c r="D2301" s="247" t="s">
        <v>1356</v>
      </c>
      <c r="E2301" s="247" t="s">
        <v>1314</v>
      </c>
      <c r="F2301" s="247" t="s">
        <v>2184</v>
      </c>
      <c r="G2301" s="247" t="s">
        <v>1357</v>
      </c>
      <c r="H2301" s="247" t="s">
        <v>2015</v>
      </c>
      <c r="I2301" s="247" t="s">
        <v>2185</v>
      </c>
      <c r="J2301" s="247">
        <v>90</v>
      </c>
      <c r="K2301" s="247">
        <v>90.2</v>
      </c>
      <c r="L2301" s="249" t="s">
        <v>935</v>
      </c>
      <c r="M2301" s="249" t="s">
        <v>929</v>
      </c>
      <c r="N2301" s="248">
        <v>0</v>
      </c>
      <c r="O2301" s="248">
        <v>84</v>
      </c>
      <c r="P2301" s="247" t="s">
        <v>1426</v>
      </c>
      <c r="Q2301" s="247" t="s">
        <v>89</v>
      </c>
    </row>
    <row r="2302" spans="1:17" x14ac:dyDescent="0.25">
      <c r="A2302" s="247" t="s">
        <v>646</v>
      </c>
      <c r="B2302" s="247" t="s">
        <v>265</v>
      </c>
      <c r="C2302" s="247" t="s">
        <v>1343</v>
      </c>
      <c r="D2302" s="247" t="s">
        <v>1356</v>
      </c>
      <c r="E2302" s="247" t="s">
        <v>1314</v>
      </c>
      <c r="F2302" s="247" t="s">
        <v>2184</v>
      </c>
      <c r="G2302" s="247" t="s">
        <v>1357</v>
      </c>
      <c r="H2302" s="247" t="s">
        <v>2015</v>
      </c>
      <c r="I2302" s="247" t="s">
        <v>2185</v>
      </c>
      <c r="J2302" s="247">
        <v>90</v>
      </c>
      <c r="K2302" s="247">
        <v>90.2</v>
      </c>
      <c r="L2302" s="249" t="s">
        <v>936</v>
      </c>
      <c r="M2302" s="249" t="s">
        <v>929</v>
      </c>
      <c r="N2302" s="248">
        <v>0</v>
      </c>
      <c r="O2302" s="248">
        <v>84</v>
      </c>
      <c r="P2302" s="247" t="s">
        <v>1426</v>
      </c>
      <c r="Q2302" s="247" t="s">
        <v>90</v>
      </c>
    </row>
    <row r="2303" spans="1:17" x14ac:dyDescent="0.25">
      <c r="A2303" s="247" t="s">
        <v>646</v>
      </c>
      <c r="B2303" s="247" t="s">
        <v>265</v>
      </c>
      <c r="C2303" s="247" t="s">
        <v>1343</v>
      </c>
      <c r="D2303" s="247" t="s">
        <v>1356</v>
      </c>
      <c r="E2303" s="247" t="s">
        <v>1314</v>
      </c>
      <c r="F2303" s="247" t="s">
        <v>2184</v>
      </c>
      <c r="G2303" s="247" t="s">
        <v>1357</v>
      </c>
      <c r="H2303" s="247" t="s">
        <v>2015</v>
      </c>
      <c r="I2303" s="247" t="s">
        <v>2185</v>
      </c>
      <c r="J2303" s="247">
        <v>90</v>
      </c>
      <c r="K2303" s="247">
        <v>90.2</v>
      </c>
      <c r="L2303" s="249" t="s">
        <v>937</v>
      </c>
      <c r="M2303" s="249" t="s">
        <v>929</v>
      </c>
      <c r="N2303" s="248">
        <v>6.35</v>
      </c>
      <c r="O2303" s="248">
        <v>90.35</v>
      </c>
      <c r="P2303" s="247" t="s">
        <v>1426</v>
      </c>
      <c r="Q2303" s="247" t="s">
        <v>91</v>
      </c>
    </row>
    <row r="2304" spans="1:17" x14ac:dyDescent="0.25">
      <c r="A2304" s="247" t="s">
        <v>646</v>
      </c>
      <c r="B2304" s="247" t="s">
        <v>265</v>
      </c>
      <c r="C2304" s="247" t="s">
        <v>1343</v>
      </c>
      <c r="D2304" s="247" t="s">
        <v>1356</v>
      </c>
      <c r="E2304" s="247" t="s">
        <v>1314</v>
      </c>
      <c r="F2304" s="247" t="s">
        <v>2184</v>
      </c>
      <c r="G2304" s="247" t="s">
        <v>1357</v>
      </c>
      <c r="H2304" s="247" t="s">
        <v>2015</v>
      </c>
      <c r="I2304" s="247" t="s">
        <v>2185</v>
      </c>
      <c r="J2304" s="247">
        <v>90</v>
      </c>
      <c r="K2304" s="247">
        <v>90.2</v>
      </c>
      <c r="L2304" s="249" t="s">
        <v>938</v>
      </c>
      <c r="M2304" s="249" t="s">
        <v>929</v>
      </c>
      <c r="N2304" s="248">
        <v>49.38</v>
      </c>
      <c r="O2304" s="248">
        <v>139.72999999999999</v>
      </c>
      <c r="P2304" s="247" t="s">
        <v>1426</v>
      </c>
      <c r="Q2304" s="247" t="s">
        <v>92</v>
      </c>
    </row>
    <row r="2305" spans="1:17" x14ac:dyDescent="0.25">
      <c r="A2305" s="247" t="s">
        <v>646</v>
      </c>
      <c r="B2305" s="247" t="s">
        <v>265</v>
      </c>
      <c r="C2305" s="247" t="s">
        <v>1343</v>
      </c>
      <c r="D2305" s="247" t="s">
        <v>1356</v>
      </c>
      <c r="E2305" s="247" t="s">
        <v>1314</v>
      </c>
      <c r="F2305" s="247" t="s">
        <v>2184</v>
      </c>
      <c r="G2305" s="247" t="s">
        <v>1357</v>
      </c>
      <c r="H2305" s="247" t="s">
        <v>2015</v>
      </c>
      <c r="I2305" s="247" t="s">
        <v>2185</v>
      </c>
      <c r="J2305" s="247">
        <v>90</v>
      </c>
      <c r="K2305" s="247">
        <v>90.2</v>
      </c>
      <c r="L2305" s="249" t="s">
        <v>939</v>
      </c>
      <c r="M2305" s="249" t="s">
        <v>929</v>
      </c>
      <c r="N2305" s="248">
        <v>33.450000000000003</v>
      </c>
      <c r="O2305" s="248">
        <v>173.18</v>
      </c>
      <c r="P2305" s="247" t="s">
        <v>1426</v>
      </c>
      <c r="Q2305" s="247" t="s">
        <v>93</v>
      </c>
    </row>
    <row r="2306" spans="1:17" x14ac:dyDescent="0.25">
      <c r="A2306" s="247" t="s">
        <v>646</v>
      </c>
      <c r="B2306" s="247" t="s">
        <v>265</v>
      </c>
      <c r="C2306" s="247" t="s">
        <v>1343</v>
      </c>
      <c r="D2306" s="247" t="s">
        <v>1356</v>
      </c>
      <c r="E2306" s="247" t="s">
        <v>1314</v>
      </c>
      <c r="F2306" s="247" t="s">
        <v>2184</v>
      </c>
      <c r="G2306" s="247" t="s">
        <v>1357</v>
      </c>
      <c r="H2306" s="247" t="s">
        <v>2015</v>
      </c>
      <c r="I2306" s="247" t="s">
        <v>2185</v>
      </c>
      <c r="J2306" s="247">
        <v>90</v>
      </c>
      <c r="K2306" s="247">
        <v>90.2</v>
      </c>
      <c r="L2306" s="249" t="s">
        <v>940</v>
      </c>
      <c r="M2306" s="249" t="s">
        <v>929</v>
      </c>
      <c r="N2306" s="248">
        <v>22.47</v>
      </c>
      <c r="O2306" s="248">
        <v>195.65</v>
      </c>
      <c r="P2306" s="247" t="s">
        <v>1426</v>
      </c>
      <c r="Q2306" s="247" t="s">
        <v>94</v>
      </c>
    </row>
    <row r="2307" spans="1:17" x14ac:dyDescent="0.25">
      <c r="A2307" s="247" t="s">
        <v>646</v>
      </c>
      <c r="B2307" s="247" t="s">
        <v>265</v>
      </c>
      <c r="C2307" s="247" t="s">
        <v>1343</v>
      </c>
      <c r="D2307" s="247" t="s">
        <v>1356</v>
      </c>
      <c r="E2307" s="247" t="s">
        <v>1314</v>
      </c>
      <c r="F2307" s="247" t="s">
        <v>2184</v>
      </c>
      <c r="G2307" s="247" t="s">
        <v>1357</v>
      </c>
      <c r="H2307" s="247" t="s">
        <v>2015</v>
      </c>
      <c r="I2307" s="247" t="s">
        <v>2185</v>
      </c>
      <c r="J2307" s="247">
        <v>90</v>
      </c>
      <c r="K2307" s="247">
        <v>90.2</v>
      </c>
      <c r="L2307" s="249" t="s">
        <v>642</v>
      </c>
      <c r="M2307" s="249" t="s">
        <v>929</v>
      </c>
      <c r="N2307" s="248">
        <v>14.35</v>
      </c>
      <c r="O2307" s="248">
        <v>210</v>
      </c>
      <c r="P2307" s="247" t="s">
        <v>1426</v>
      </c>
      <c r="Q2307" s="247" t="s">
        <v>95</v>
      </c>
    </row>
    <row r="2308" spans="1:17" x14ac:dyDescent="0.25">
      <c r="A2308" s="247" t="s">
        <v>646</v>
      </c>
      <c r="B2308" s="247" t="s">
        <v>265</v>
      </c>
      <c r="C2308" s="247" t="s">
        <v>1343</v>
      </c>
      <c r="D2308" s="247" t="s">
        <v>946</v>
      </c>
      <c r="E2308" s="247" t="s">
        <v>1314</v>
      </c>
      <c r="F2308" s="247" t="s">
        <v>2186</v>
      </c>
      <c r="G2308" s="247" t="s">
        <v>1359</v>
      </c>
      <c r="H2308" s="247" t="s">
        <v>2015</v>
      </c>
      <c r="I2308" s="247" t="s">
        <v>2187</v>
      </c>
      <c r="J2308" s="247">
        <v>90</v>
      </c>
      <c r="K2308" s="247">
        <v>90.2</v>
      </c>
      <c r="L2308" s="249" t="s">
        <v>646</v>
      </c>
      <c r="M2308" s="249" t="s">
        <v>933</v>
      </c>
      <c r="N2308" s="248">
        <v>29.07</v>
      </c>
      <c r="O2308" s="248">
        <v>29.07</v>
      </c>
      <c r="P2308" s="247" t="s">
        <v>1427</v>
      </c>
      <c r="Q2308" s="247" t="s">
        <v>84</v>
      </c>
    </row>
    <row r="2309" spans="1:17" x14ac:dyDescent="0.25">
      <c r="A2309" s="247" t="s">
        <v>646</v>
      </c>
      <c r="B2309" s="247" t="s">
        <v>265</v>
      </c>
      <c r="C2309" s="247" t="s">
        <v>1343</v>
      </c>
      <c r="D2309" s="247" t="s">
        <v>946</v>
      </c>
      <c r="E2309" s="247" t="s">
        <v>1314</v>
      </c>
      <c r="F2309" s="247" t="s">
        <v>2186</v>
      </c>
      <c r="G2309" s="247" t="s">
        <v>1359</v>
      </c>
      <c r="H2309" s="247" t="s">
        <v>2015</v>
      </c>
      <c r="I2309" s="247" t="s">
        <v>2187</v>
      </c>
      <c r="J2309" s="247">
        <v>90</v>
      </c>
      <c r="K2309" s="247">
        <v>90.2</v>
      </c>
      <c r="L2309" s="249" t="s">
        <v>650</v>
      </c>
      <c r="M2309" s="249" t="s">
        <v>933</v>
      </c>
      <c r="N2309" s="248">
        <v>21.32</v>
      </c>
      <c r="O2309" s="248">
        <v>50.39</v>
      </c>
      <c r="P2309" s="247" t="s">
        <v>1427</v>
      </c>
      <c r="Q2309" s="247" t="s">
        <v>85</v>
      </c>
    </row>
    <row r="2310" spans="1:17" x14ac:dyDescent="0.25">
      <c r="A2310" s="247" t="s">
        <v>646</v>
      </c>
      <c r="B2310" s="247" t="s">
        <v>265</v>
      </c>
      <c r="C2310" s="247" t="s">
        <v>1343</v>
      </c>
      <c r="D2310" s="247" t="s">
        <v>946</v>
      </c>
      <c r="E2310" s="247" t="s">
        <v>1314</v>
      </c>
      <c r="F2310" s="247" t="s">
        <v>2186</v>
      </c>
      <c r="G2310" s="247" t="s">
        <v>1359</v>
      </c>
      <c r="H2310" s="247" t="s">
        <v>2015</v>
      </c>
      <c r="I2310" s="247" t="s">
        <v>2187</v>
      </c>
      <c r="J2310" s="247">
        <v>90</v>
      </c>
      <c r="K2310" s="247">
        <v>90.2</v>
      </c>
      <c r="L2310" s="249" t="s">
        <v>652</v>
      </c>
      <c r="M2310" s="249" t="s">
        <v>933</v>
      </c>
      <c r="N2310" s="248">
        <v>25.52</v>
      </c>
      <c r="O2310" s="248">
        <v>75.91</v>
      </c>
      <c r="P2310" s="247" t="s">
        <v>1427</v>
      </c>
      <c r="Q2310" s="247" t="s">
        <v>86</v>
      </c>
    </row>
    <row r="2311" spans="1:17" x14ac:dyDescent="0.25">
      <c r="A2311" s="247" t="s">
        <v>646</v>
      </c>
      <c r="B2311" s="247" t="s">
        <v>265</v>
      </c>
      <c r="C2311" s="247" t="s">
        <v>1343</v>
      </c>
      <c r="D2311" s="247" t="s">
        <v>946</v>
      </c>
      <c r="E2311" s="247" t="s">
        <v>1314</v>
      </c>
      <c r="F2311" s="247" t="s">
        <v>2186</v>
      </c>
      <c r="G2311" s="247" t="s">
        <v>1359</v>
      </c>
      <c r="H2311" s="247" t="s">
        <v>2015</v>
      </c>
      <c r="I2311" s="247" t="s">
        <v>2187</v>
      </c>
      <c r="J2311" s="247">
        <v>90</v>
      </c>
      <c r="K2311" s="247">
        <v>90.2</v>
      </c>
      <c r="L2311" s="249" t="s">
        <v>789</v>
      </c>
      <c r="M2311" s="249" t="s">
        <v>929</v>
      </c>
      <c r="N2311" s="248">
        <v>54.94</v>
      </c>
      <c r="O2311" s="248">
        <v>54.94</v>
      </c>
      <c r="P2311" s="247" t="s">
        <v>1427</v>
      </c>
      <c r="Q2311" s="247" t="s">
        <v>87</v>
      </c>
    </row>
    <row r="2312" spans="1:17" x14ac:dyDescent="0.25">
      <c r="A2312" s="247" t="s">
        <v>646</v>
      </c>
      <c r="B2312" s="247" t="s">
        <v>265</v>
      </c>
      <c r="C2312" s="247" t="s">
        <v>1343</v>
      </c>
      <c r="D2312" s="247" t="s">
        <v>946</v>
      </c>
      <c r="E2312" s="247" t="s">
        <v>1314</v>
      </c>
      <c r="F2312" s="247" t="s">
        <v>2186</v>
      </c>
      <c r="G2312" s="247" t="s">
        <v>1359</v>
      </c>
      <c r="H2312" s="247" t="s">
        <v>2015</v>
      </c>
      <c r="I2312" s="247" t="s">
        <v>2187</v>
      </c>
      <c r="J2312" s="247">
        <v>90</v>
      </c>
      <c r="K2312" s="247">
        <v>90.2</v>
      </c>
      <c r="L2312" s="249" t="s">
        <v>791</v>
      </c>
      <c r="M2312" s="249" t="s">
        <v>929</v>
      </c>
      <c r="N2312" s="248">
        <v>52.14</v>
      </c>
      <c r="O2312" s="248">
        <v>107.08</v>
      </c>
      <c r="P2312" s="247" t="s">
        <v>1427</v>
      </c>
      <c r="Q2312" s="247" t="s">
        <v>88</v>
      </c>
    </row>
    <row r="2313" spans="1:17" x14ac:dyDescent="0.25">
      <c r="A2313" s="247" t="s">
        <v>646</v>
      </c>
      <c r="B2313" s="247" t="s">
        <v>265</v>
      </c>
      <c r="C2313" s="247" t="s">
        <v>1343</v>
      </c>
      <c r="D2313" s="247" t="s">
        <v>946</v>
      </c>
      <c r="E2313" s="247" t="s">
        <v>1314</v>
      </c>
      <c r="F2313" s="247" t="s">
        <v>2186</v>
      </c>
      <c r="G2313" s="247" t="s">
        <v>1359</v>
      </c>
      <c r="H2313" s="247" t="s">
        <v>2015</v>
      </c>
      <c r="I2313" s="247" t="s">
        <v>2187</v>
      </c>
      <c r="J2313" s="247">
        <v>90</v>
      </c>
      <c r="K2313" s="247">
        <v>90.2</v>
      </c>
      <c r="L2313" s="249" t="s">
        <v>935</v>
      </c>
      <c r="M2313" s="249" t="s">
        <v>929</v>
      </c>
      <c r="N2313" s="248">
        <v>52.14</v>
      </c>
      <c r="O2313" s="248">
        <v>159.22</v>
      </c>
      <c r="P2313" s="247" t="s">
        <v>1427</v>
      </c>
      <c r="Q2313" s="247" t="s">
        <v>89</v>
      </c>
    </row>
    <row r="2314" spans="1:17" x14ac:dyDescent="0.25">
      <c r="A2314" s="247" t="s">
        <v>646</v>
      </c>
      <c r="B2314" s="247" t="s">
        <v>265</v>
      </c>
      <c r="C2314" s="247" t="s">
        <v>1343</v>
      </c>
      <c r="D2314" s="247" t="s">
        <v>946</v>
      </c>
      <c r="E2314" s="247" t="s">
        <v>1314</v>
      </c>
      <c r="F2314" s="247" t="s">
        <v>2186</v>
      </c>
      <c r="G2314" s="247" t="s">
        <v>1359</v>
      </c>
      <c r="H2314" s="247" t="s">
        <v>2015</v>
      </c>
      <c r="I2314" s="247" t="s">
        <v>2187</v>
      </c>
      <c r="J2314" s="247">
        <v>90</v>
      </c>
      <c r="K2314" s="247">
        <v>90.2</v>
      </c>
      <c r="L2314" s="249" t="s">
        <v>936</v>
      </c>
      <c r="M2314" s="249" t="s">
        <v>929</v>
      </c>
      <c r="N2314" s="248">
        <v>78.209999999999994</v>
      </c>
      <c r="O2314" s="248">
        <v>237.43</v>
      </c>
      <c r="P2314" s="247" t="s">
        <v>1427</v>
      </c>
      <c r="Q2314" s="247" t="s">
        <v>90</v>
      </c>
    </row>
    <row r="2315" spans="1:17" x14ac:dyDescent="0.25">
      <c r="A2315" s="247" t="s">
        <v>646</v>
      </c>
      <c r="B2315" s="247" t="s">
        <v>265</v>
      </c>
      <c r="C2315" s="247" t="s">
        <v>1343</v>
      </c>
      <c r="D2315" s="247" t="s">
        <v>946</v>
      </c>
      <c r="E2315" s="247" t="s">
        <v>1314</v>
      </c>
      <c r="F2315" s="247" t="s">
        <v>2186</v>
      </c>
      <c r="G2315" s="247" t="s">
        <v>1359</v>
      </c>
      <c r="H2315" s="247" t="s">
        <v>2015</v>
      </c>
      <c r="I2315" s="247" t="s">
        <v>2187</v>
      </c>
      <c r="J2315" s="247">
        <v>90</v>
      </c>
      <c r="K2315" s="247">
        <v>90.2</v>
      </c>
      <c r="L2315" s="249" t="s">
        <v>937</v>
      </c>
      <c r="M2315" s="249" t="s">
        <v>929</v>
      </c>
      <c r="N2315" s="248">
        <v>38.369999999999997</v>
      </c>
      <c r="O2315" s="248">
        <v>275.8</v>
      </c>
      <c r="P2315" s="247" t="s">
        <v>1427</v>
      </c>
      <c r="Q2315" s="247" t="s">
        <v>91</v>
      </c>
    </row>
    <row r="2316" spans="1:17" x14ac:dyDescent="0.25">
      <c r="A2316" s="247" t="s">
        <v>646</v>
      </c>
      <c r="B2316" s="247" t="s">
        <v>265</v>
      </c>
      <c r="C2316" s="247" t="s">
        <v>1343</v>
      </c>
      <c r="D2316" s="247" t="s">
        <v>946</v>
      </c>
      <c r="E2316" s="247" t="s">
        <v>1314</v>
      </c>
      <c r="F2316" s="247" t="s">
        <v>2186</v>
      </c>
      <c r="G2316" s="247" t="s">
        <v>1359</v>
      </c>
      <c r="H2316" s="247" t="s">
        <v>2015</v>
      </c>
      <c r="I2316" s="247" t="s">
        <v>2187</v>
      </c>
      <c r="J2316" s="247">
        <v>90</v>
      </c>
      <c r="K2316" s="247">
        <v>90.2</v>
      </c>
      <c r="L2316" s="249" t="s">
        <v>938</v>
      </c>
      <c r="M2316" s="249" t="s">
        <v>929</v>
      </c>
      <c r="N2316" s="248">
        <v>49.04</v>
      </c>
      <c r="O2316" s="248">
        <v>324.83999999999997</v>
      </c>
      <c r="P2316" s="247" t="s">
        <v>1427</v>
      </c>
      <c r="Q2316" s="247" t="s">
        <v>92</v>
      </c>
    </row>
    <row r="2317" spans="1:17" x14ac:dyDescent="0.25">
      <c r="A2317" s="247" t="s">
        <v>646</v>
      </c>
      <c r="B2317" s="247" t="s">
        <v>265</v>
      </c>
      <c r="C2317" s="247" t="s">
        <v>1343</v>
      </c>
      <c r="D2317" s="247" t="s">
        <v>946</v>
      </c>
      <c r="E2317" s="247" t="s">
        <v>1314</v>
      </c>
      <c r="F2317" s="247" t="s">
        <v>2186</v>
      </c>
      <c r="G2317" s="247" t="s">
        <v>1359</v>
      </c>
      <c r="H2317" s="247" t="s">
        <v>2015</v>
      </c>
      <c r="I2317" s="247" t="s">
        <v>2187</v>
      </c>
      <c r="J2317" s="247">
        <v>90</v>
      </c>
      <c r="K2317" s="247">
        <v>90.2</v>
      </c>
      <c r="L2317" s="249" t="s">
        <v>939</v>
      </c>
      <c r="M2317" s="249" t="s">
        <v>929</v>
      </c>
      <c r="N2317" s="248">
        <v>64.77</v>
      </c>
      <c r="O2317" s="248">
        <v>389.61</v>
      </c>
      <c r="P2317" s="247" t="s">
        <v>1427</v>
      </c>
      <c r="Q2317" s="247" t="s">
        <v>93</v>
      </c>
    </row>
    <row r="2318" spans="1:17" x14ac:dyDescent="0.25">
      <c r="A2318" s="247" t="s">
        <v>646</v>
      </c>
      <c r="B2318" s="247" t="s">
        <v>265</v>
      </c>
      <c r="C2318" s="247" t="s">
        <v>1343</v>
      </c>
      <c r="D2318" s="247" t="s">
        <v>946</v>
      </c>
      <c r="E2318" s="247" t="s">
        <v>1314</v>
      </c>
      <c r="F2318" s="247" t="s">
        <v>2186</v>
      </c>
      <c r="G2318" s="247" t="s">
        <v>1359</v>
      </c>
      <c r="H2318" s="247" t="s">
        <v>2015</v>
      </c>
      <c r="I2318" s="247" t="s">
        <v>2187</v>
      </c>
      <c r="J2318" s="247">
        <v>90</v>
      </c>
      <c r="K2318" s="247">
        <v>90.2</v>
      </c>
      <c r="L2318" s="249" t="s">
        <v>940</v>
      </c>
      <c r="M2318" s="249" t="s">
        <v>929</v>
      </c>
      <c r="N2318" s="248">
        <v>69.94</v>
      </c>
      <c r="O2318" s="248">
        <v>459.55</v>
      </c>
      <c r="P2318" s="247" t="s">
        <v>1427</v>
      </c>
      <c r="Q2318" s="247" t="s">
        <v>94</v>
      </c>
    </row>
    <row r="2319" spans="1:17" x14ac:dyDescent="0.25">
      <c r="A2319" s="247" t="s">
        <v>646</v>
      </c>
      <c r="B2319" s="247" t="s">
        <v>265</v>
      </c>
      <c r="C2319" s="247" t="s">
        <v>1343</v>
      </c>
      <c r="D2319" s="247" t="s">
        <v>946</v>
      </c>
      <c r="E2319" s="247" t="s">
        <v>1314</v>
      </c>
      <c r="F2319" s="247" t="s">
        <v>2186</v>
      </c>
      <c r="G2319" s="247" t="s">
        <v>1359</v>
      </c>
      <c r="H2319" s="247" t="s">
        <v>2015</v>
      </c>
      <c r="I2319" s="247" t="s">
        <v>2187</v>
      </c>
      <c r="J2319" s="247">
        <v>90</v>
      </c>
      <c r="K2319" s="247">
        <v>90.2</v>
      </c>
      <c r="L2319" s="249" t="s">
        <v>642</v>
      </c>
      <c r="M2319" s="249" t="s">
        <v>929</v>
      </c>
      <c r="N2319" s="248">
        <v>77.709999999999994</v>
      </c>
      <c r="O2319" s="248">
        <v>537.26</v>
      </c>
      <c r="P2319" s="247" t="s">
        <v>1427</v>
      </c>
      <c r="Q2319" s="247" t="s">
        <v>95</v>
      </c>
    </row>
    <row r="2320" spans="1:17" x14ac:dyDescent="0.25">
      <c r="A2320" s="247" t="s">
        <v>646</v>
      </c>
      <c r="B2320" s="247" t="s">
        <v>265</v>
      </c>
      <c r="C2320" s="247" t="s">
        <v>1343</v>
      </c>
      <c r="D2320" s="247" t="s">
        <v>1361</v>
      </c>
      <c r="E2320" s="247" t="s">
        <v>1314</v>
      </c>
      <c r="F2320" s="247" t="s">
        <v>2188</v>
      </c>
      <c r="G2320" s="247" t="s">
        <v>1396</v>
      </c>
      <c r="H2320" s="247" t="s">
        <v>2015</v>
      </c>
      <c r="I2320" s="247" t="s">
        <v>2189</v>
      </c>
      <c r="J2320" s="247">
        <v>88</v>
      </c>
      <c r="K2320" s="247">
        <v>90.2</v>
      </c>
      <c r="L2320" s="249" t="s">
        <v>646</v>
      </c>
      <c r="M2320" s="249" t="s">
        <v>933</v>
      </c>
      <c r="N2320" s="248">
        <v>33.35</v>
      </c>
      <c r="O2320" s="248">
        <v>33.35</v>
      </c>
      <c r="P2320" s="247" t="s">
        <v>1428</v>
      </c>
      <c r="Q2320" s="247" t="s">
        <v>84</v>
      </c>
    </row>
    <row r="2321" spans="1:17" x14ac:dyDescent="0.25">
      <c r="A2321" s="247" t="s">
        <v>646</v>
      </c>
      <c r="B2321" s="247" t="s">
        <v>265</v>
      </c>
      <c r="C2321" s="247" t="s">
        <v>1343</v>
      </c>
      <c r="D2321" s="247" t="s">
        <v>1361</v>
      </c>
      <c r="E2321" s="247" t="s">
        <v>1314</v>
      </c>
      <c r="F2321" s="247" t="s">
        <v>2188</v>
      </c>
      <c r="G2321" s="247" t="s">
        <v>1396</v>
      </c>
      <c r="H2321" s="247" t="s">
        <v>2015</v>
      </c>
      <c r="I2321" s="247" t="s">
        <v>2189</v>
      </c>
      <c r="J2321" s="247">
        <v>88</v>
      </c>
      <c r="K2321" s="247">
        <v>90.2</v>
      </c>
      <c r="L2321" s="249" t="s">
        <v>650</v>
      </c>
      <c r="M2321" s="249" t="s">
        <v>933</v>
      </c>
      <c r="N2321" s="248">
        <v>24.48</v>
      </c>
      <c r="O2321" s="248">
        <v>57.83</v>
      </c>
      <c r="P2321" s="247" t="s">
        <v>1428</v>
      </c>
      <c r="Q2321" s="247" t="s">
        <v>85</v>
      </c>
    </row>
    <row r="2322" spans="1:17" x14ac:dyDescent="0.25">
      <c r="A2322" s="247" t="s">
        <v>646</v>
      </c>
      <c r="B2322" s="247" t="s">
        <v>265</v>
      </c>
      <c r="C2322" s="247" t="s">
        <v>1343</v>
      </c>
      <c r="D2322" s="247" t="s">
        <v>1361</v>
      </c>
      <c r="E2322" s="247" t="s">
        <v>1314</v>
      </c>
      <c r="F2322" s="247" t="s">
        <v>2188</v>
      </c>
      <c r="G2322" s="247" t="s">
        <v>1396</v>
      </c>
      <c r="H2322" s="247" t="s">
        <v>2015</v>
      </c>
      <c r="I2322" s="247" t="s">
        <v>2189</v>
      </c>
      <c r="J2322" s="247">
        <v>88</v>
      </c>
      <c r="K2322" s="247">
        <v>90.2</v>
      </c>
      <c r="L2322" s="249" t="s">
        <v>652</v>
      </c>
      <c r="M2322" s="249" t="s">
        <v>933</v>
      </c>
      <c r="N2322" s="248">
        <v>23.24</v>
      </c>
      <c r="O2322" s="248">
        <v>81.069999999999993</v>
      </c>
      <c r="P2322" s="247" t="s">
        <v>1428</v>
      </c>
      <c r="Q2322" s="247" t="s">
        <v>86</v>
      </c>
    </row>
    <row r="2323" spans="1:17" x14ac:dyDescent="0.25">
      <c r="A2323" s="247" t="s">
        <v>646</v>
      </c>
      <c r="B2323" s="247" t="s">
        <v>265</v>
      </c>
      <c r="C2323" s="247" t="s">
        <v>1343</v>
      </c>
      <c r="D2323" s="247" t="s">
        <v>1361</v>
      </c>
      <c r="E2323" s="247" t="s">
        <v>1314</v>
      </c>
      <c r="F2323" s="247" t="s">
        <v>2188</v>
      </c>
      <c r="G2323" s="247" t="s">
        <v>1396</v>
      </c>
      <c r="H2323" s="247" t="s">
        <v>2015</v>
      </c>
      <c r="I2323" s="247" t="s">
        <v>2189</v>
      </c>
      <c r="J2323" s="247">
        <v>88</v>
      </c>
      <c r="K2323" s="247">
        <v>90.2</v>
      </c>
      <c r="L2323" s="249" t="s">
        <v>789</v>
      </c>
      <c r="M2323" s="249" t="s">
        <v>929</v>
      </c>
      <c r="N2323" s="248">
        <v>18.53</v>
      </c>
      <c r="O2323" s="248">
        <v>18.53</v>
      </c>
      <c r="P2323" s="247" t="s">
        <v>1428</v>
      </c>
      <c r="Q2323" s="247" t="s">
        <v>87</v>
      </c>
    </row>
    <row r="2324" spans="1:17" x14ac:dyDescent="0.25">
      <c r="A2324" s="247" t="s">
        <v>646</v>
      </c>
      <c r="B2324" s="247" t="s">
        <v>265</v>
      </c>
      <c r="C2324" s="247" t="s">
        <v>1343</v>
      </c>
      <c r="D2324" s="247" t="s">
        <v>1361</v>
      </c>
      <c r="E2324" s="247" t="s">
        <v>1314</v>
      </c>
      <c r="F2324" s="247" t="s">
        <v>2188</v>
      </c>
      <c r="G2324" s="247" t="s">
        <v>1396</v>
      </c>
      <c r="H2324" s="247" t="s">
        <v>2015</v>
      </c>
      <c r="I2324" s="247" t="s">
        <v>2189</v>
      </c>
      <c r="J2324" s="247">
        <v>88</v>
      </c>
      <c r="K2324" s="247">
        <v>90.2</v>
      </c>
      <c r="L2324" s="249" t="s">
        <v>791</v>
      </c>
      <c r="M2324" s="249" t="s">
        <v>929</v>
      </c>
      <c r="N2324" s="248">
        <v>25.56</v>
      </c>
      <c r="O2324" s="248">
        <v>44.09</v>
      </c>
      <c r="P2324" s="247" t="s">
        <v>1428</v>
      </c>
      <c r="Q2324" s="247" t="s">
        <v>88</v>
      </c>
    </row>
    <row r="2325" spans="1:17" x14ac:dyDescent="0.25">
      <c r="A2325" s="247" t="s">
        <v>646</v>
      </c>
      <c r="B2325" s="247" t="s">
        <v>265</v>
      </c>
      <c r="C2325" s="247" t="s">
        <v>1343</v>
      </c>
      <c r="D2325" s="247" t="s">
        <v>1361</v>
      </c>
      <c r="E2325" s="247" t="s">
        <v>1314</v>
      </c>
      <c r="F2325" s="247" t="s">
        <v>2188</v>
      </c>
      <c r="G2325" s="247" t="s">
        <v>1396</v>
      </c>
      <c r="H2325" s="247" t="s">
        <v>2015</v>
      </c>
      <c r="I2325" s="247" t="s">
        <v>2189</v>
      </c>
      <c r="J2325" s="247">
        <v>88</v>
      </c>
      <c r="K2325" s="247">
        <v>90.2</v>
      </c>
      <c r="L2325" s="249" t="s">
        <v>935</v>
      </c>
      <c r="M2325" s="249" t="s">
        <v>929</v>
      </c>
      <c r="N2325" s="248">
        <v>23.4</v>
      </c>
      <c r="O2325" s="248">
        <v>67.489999999999995</v>
      </c>
      <c r="P2325" s="247" t="s">
        <v>1428</v>
      </c>
      <c r="Q2325" s="247" t="s">
        <v>89</v>
      </c>
    </row>
    <row r="2326" spans="1:17" x14ac:dyDescent="0.25">
      <c r="A2326" s="247" t="s">
        <v>646</v>
      </c>
      <c r="B2326" s="247" t="s">
        <v>265</v>
      </c>
      <c r="C2326" s="247" t="s">
        <v>1343</v>
      </c>
      <c r="D2326" s="247" t="s">
        <v>1361</v>
      </c>
      <c r="E2326" s="247" t="s">
        <v>1314</v>
      </c>
      <c r="F2326" s="247" t="s">
        <v>2188</v>
      </c>
      <c r="G2326" s="247" t="s">
        <v>1396</v>
      </c>
      <c r="H2326" s="247" t="s">
        <v>2015</v>
      </c>
      <c r="I2326" s="247" t="s">
        <v>2189</v>
      </c>
      <c r="J2326" s="247">
        <v>88</v>
      </c>
      <c r="K2326" s="247">
        <v>90.2</v>
      </c>
      <c r="L2326" s="249" t="s">
        <v>936</v>
      </c>
      <c r="M2326" s="249" t="s">
        <v>929</v>
      </c>
      <c r="N2326" s="248">
        <v>38.26</v>
      </c>
      <c r="O2326" s="248">
        <v>105.75</v>
      </c>
      <c r="P2326" s="247" t="s">
        <v>1428</v>
      </c>
      <c r="Q2326" s="247" t="s">
        <v>90</v>
      </c>
    </row>
    <row r="2327" spans="1:17" x14ac:dyDescent="0.25">
      <c r="A2327" s="247" t="s">
        <v>646</v>
      </c>
      <c r="B2327" s="247" t="s">
        <v>265</v>
      </c>
      <c r="C2327" s="247" t="s">
        <v>1343</v>
      </c>
      <c r="D2327" s="247" t="s">
        <v>1361</v>
      </c>
      <c r="E2327" s="247" t="s">
        <v>1314</v>
      </c>
      <c r="F2327" s="247" t="s">
        <v>2188</v>
      </c>
      <c r="G2327" s="247" t="s">
        <v>1396</v>
      </c>
      <c r="H2327" s="247" t="s">
        <v>2015</v>
      </c>
      <c r="I2327" s="247" t="s">
        <v>2189</v>
      </c>
      <c r="J2327" s="247">
        <v>88</v>
      </c>
      <c r="K2327" s="247">
        <v>90.2</v>
      </c>
      <c r="L2327" s="249" t="s">
        <v>937</v>
      </c>
      <c r="M2327" s="249" t="s">
        <v>929</v>
      </c>
      <c r="N2327" s="248">
        <v>28.75</v>
      </c>
      <c r="O2327" s="248">
        <v>134.5</v>
      </c>
      <c r="P2327" s="247" t="s">
        <v>1428</v>
      </c>
      <c r="Q2327" s="247" t="s">
        <v>91</v>
      </c>
    </row>
    <row r="2328" spans="1:17" x14ac:dyDescent="0.25">
      <c r="A2328" s="247" t="s">
        <v>646</v>
      </c>
      <c r="B2328" s="247" t="s">
        <v>265</v>
      </c>
      <c r="C2328" s="247" t="s">
        <v>1343</v>
      </c>
      <c r="D2328" s="247" t="s">
        <v>1361</v>
      </c>
      <c r="E2328" s="247" t="s">
        <v>1314</v>
      </c>
      <c r="F2328" s="247" t="s">
        <v>2188</v>
      </c>
      <c r="G2328" s="247" t="s">
        <v>1396</v>
      </c>
      <c r="H2328" s="247" t="s">
        <v>2015</v>
      </c>
      <c r="I2328" s="247" t="s">
        <v>2189</v>
      </c>
      <c r="J2328" s="247">
        <v>88</v>
      </c>
      <c r="K2328" s="247">
        <v>90.2</v>
      </c>
      <c r="L2328" s="249" t="s">
        <v>938</v>
      </c>
      <c r="M2328" s="249" t="s">
        <v>929</v>
      </c>
      <c r="N2328" s="248">
        <v>43</v>
      </c>
      <c r="O2328" s="248">
        <v>177.5</v>
      </c>
      <c r="P2328" s="247" t="s">
        <v>1428</v>
      </c>
      <c r="Q2328" s="247" t="s">
        <v>92</v>
      </c>
    </row>
    <row r="2329" spans="1:17" x14ac:dyDescent="0.25">
      <c r="A2329" s="247" t="s">
        <v>646</v>
      </c>
      <c r="B2329" s="247" t="s">
        <v>265</v>
      </c>
      <c r="C2329" s="247" t="s">
        <v>1343</v>
      </c>
      <c r="D2329" s="247" t="s">
        <v>1361</v>
      </c>
      <c r="E2329" s="247" t="s">
        <v>1314</v>
      </c>
      <c r="F2329" s="247" t="s">
        <v>2188</v>
      </c>
      <c r="G2329" s="247" t="s">
        <v>1396</v>
      </c>
      <c r="H2329" s="247" t="s">
        <v>2015</v>
      </c>
      <c r="I2329" s="247" t="s">
        <v>2189</v>
      </c>
      <c r="J2329" s="247">
        <v>88</v>
      </c>
      <c r="K2329" s="247">
        <v>90.2</v>
      </c>
      <c r="L2329" s="249" t="s">
        <v>939</v>
      </c>
      <c r="M2329" s="249" t="s">
        <v>929</v>
      </c>
      <c r="N2329" s="248">
        <v>51.56</v>
      </c>
      <c r="O2329" s="248">
        <v>229.06</v>
      </c>
      <c r="P2329" s="247" t="s">
        <v>1428</v>
      </c>
      <c r="Q2329" s="247" t="s">
        <v>93</v>
      </c>
    </row>
    <row r="2330" spans="1:17" x14ac:dyDescent="0.25">
      <c r="A2330" s="247" t="s">
        <v>646</v>
      </c>
      <c r="B2330" s="247" t="s">
        <v>265</v>
      </c>
      <c r="C2330" s="247" t="s">
        <v>1343</v>
      </c>
      <c r="D2330" s="247" t="s">
        <v>1361</v>
      </c>
      <c r="E2330" s="247" t="s">
        <v>1314</v>
      </c>
      <c r="F2330" s="247" t="s">
        <v>2188</v>
      </c>
      <c r="G2330" s="247" t="s">
        <v>1396</v>
      </c>
      <c r="H2330" s="247" t="s">
        <v>2015</v>
      </c>
      <c r="I2330" s="247" t="s">
        <v>2189</v>
      </c>
      <c r="J2330" s="247">
        <v>88</v>
      </c>
      <c r="K2330" s="247">
        <v>90.2</v>
      </c>
      <c r="L2330" s="249" t="s">
        <v>940</v>
      </c>
      <c r="M2330" s="249" t="s">
        <v>929</v>
      </c>
      <c r="N2330" s="248">
        <v>61.58</v>
      </c>
      <c r="O2330" s="248">
        <v>290.64</v>
      </c>
      <c r="P2330" s="247" t="s">
        <v>1428</v>
      </c>
      <c r="Q2330" s="247" t="s">
        <v>94</v>
      </c>
    </row>
    <row r="2331" spans="1:17" x14ac:dyDescent="0.25">
      <c r="A2331" s="247" t="s">
        <v>646</v>
      </c>
      <c r="B2331" s="247" t="s">
        <v>265</v>
      </c>
      <c r="C2331" s="247" t="s">
        <v>1343</v>
      </c>
      <c r="D2331" s="247" t="s">
        <v>1361</v>
      </c>
      <c r="E2331" s="247" t="s">
        <v>1314</v>
      </c>
      <c r="F2331" s="247" t="s">
        <v>2188</v>
      </c>
      <c r="G2331" s="247" t="s">
        <v>1396</v>
      </c>
      <c r="H2331" s="247" t="s">
        <v>2015</v>
      </c>
      <c r="I2331" s="247" t="s">
        <v>2189</v>
      </c>
      <c r="J2331" s="247">
        <v>88</v>
      </c>
      <c r="K2331" s="247">
        <v>90.2</v>
      </c>
      <c r="L2331" s="249" t="s">
        <v>642</v>
      </c>
      <c r="M2331" s="249" t="s">
        <v>929</v>
      </c>
      <c r="N2331" s="248">
        <v>90.01</v>
      </c>
      <c r="O2331" s="248">
        <v>380.65</v>
      </c>
      <c r="P2331" s="247" t="s">
        <v>1428</v>
      </c>
      <c r="Q2331" s="247" t="s">
        <v>95</v>
      </c>
    </row>
    <row r="2332" spans="1:17" x14ac:dyDescent="0.25">
      <c r="A2332" s="247" t="s">
        <v>646</v>
      </c>
      <c r="B2332" s="247" t="s">
        <v>265</v>
      </c>
      <c r="C2332" s="247" t="s">
        <v>1343</v>
      </c>
      <c r="D2332" s="247" t="s">
        <v>1172</v>
      </c>
      <c r="E2332" s="247" t="s">
        <v>1314</v>
      </c>
      <c r="F2332" s="247" t="s">
        <v>2190</v>
      </c>
      <c r="G2332" s="247" t="s">
        <v>1364</v>
      </c>
      <c r="H2332" s="247" t="s">
        <v>2015</v>
      </c>
      <c r="I2332" s="247" t="s">
        <v>2191</v>
      </c>
      <c r="J2332" s="247">
        <v>91</v>
      </c>
      <c r="K2332" s="247">
        <v>91.2</v>
      </c>
      <c r="L2332" s="249" t="s">
        <v>642</v>
      </c>
      <c r="M2332" s="249" t="s">
        <v>929</v>
      </c>
      <c r="N2332" s="248">
        <v>225</v>
      </c>
      <c r="O2332" s="248">
        <v>225</v>
      </c>
      <c r="P2332" s="247" t="s">
        <v>1429</v>
      </c>
      <c r="Q2332" s="247" t="s">
        <v>95</v>
      </c>
    </row>
    <row r="2333" spans="1:17" x14ac:dyDescent="0.25">
      <c r="A2333" s="247" t="s">
        <v>646</v>
      </c>
      <c r="B2333" s="247" t="s">
        <v>265</v>
      </c>
      <c r="C2333" s="247" t="s">
        <v>1343</v>
      </c>
      <c r="D2333" s="247" t="s">
        <v>926</v>
      </c>
      <c r="E2333" s="247" t="s">
        <v>1320</v>
      </c>
      <c r="F2333" s="247" t="s">
        <v>2192</v>
      </c>
      <c r="G2333" s="247" t="s">
        <v>1344</v>
      </c>
      <c r="H2333" s="247" t="s">
        <v>2022</v>
      </c>
      <c r="I2333" s="247" t="s">
        <v>2193</v>
      </c>
      <c r="J2333" s="247">
        <v>80</v>
      </c>
      <c r="K2333" s="247">
        <v>80</v>
      </c>
      <c r="L2333" s="249" t="s">
        <v>646</v>
      </c>
      <c r="M2333" s="249" t="s">
        <v>933</v>
      </c>
      <c r="N2333" s="248">
        <v>508.48</v>
      </c>
      <c r="O2333" s="248">
        <v>5036.08</v>
      </c>
      <c r="P2333" s="247" t="s">
        <v>1430</v>
      </c>
      <c r="Q2333" s="247" t="s">
        <v>84</v>
      </c>
    </row>
    <row r="2334" spans="1:17" x14ac:dyDescent="0.25">
      <c r="A2334" s="247" t="s">
        <v>646</v>
      </c>
      <c r="B2334" s="247" t="s">
        <v>265</v>
      </c>
      <c r="C2334" s="247" t="s">
        <v>1343</v>
      </c>
      <c r="D2334" s="247" t="s">
        <v>926</v>
      </c>
      <c r="E2334" s="247" t="s">
        <v>1320</v>
      </c>
      <c r="F2334" s="247" t="s">
        <v>2192</v>
      </c>
      <c r="G2334" s="247" t="s">
        <v>1344</v>
      </c>
      <c r="H2334" s="247" t="s">
        <v>2022</v>
      </c>
      <c r="I2334" s="247" t="s">
        <v>2193</v>
      </c>
      <c r="J2334" s="247">
        <v>80</v>
      </c>
      <c r="K2334" s="247">
        <v>80</v>
      </c>
      <c r="L2334" s="249" t="s">
        <v>650</v>
      </c>
      <c r="M2334" s="249" t="s">
        <v>933</v>
      </c>
      <c r="N2334" s="248">
        <v>367.24</v>
      </c>
      <c r="O2334" s="248">
        <v>5403.32</v>
      </c>
      <c r="P2334" s="247" t="s">
        <v>1430</v>
      </c>
      <c r="Q2334" s="247" t="s">
        <v>85</v>
      </c>
    </row>
    <row r="2335" spans="1:17" x14ac:dyDescent="0.25">
      <c r="A2335" s="247" t="s">
        <v>646</v>
      </c>
      <c r="B2335" s="247" t="s">
        <v>265</v>
      </c>
      <c r="C2335" s="247" t="s">
        <v>1343</v>
      </c>
      <c r="D2335" s="247" t="s">
        <v>926</v>
      </c>
      <c r="E2335" s="247" t="s">
        <v>1320</v>
      </c>
      <c r="F2335" s="247" t="s">
        <v>2192</v>
      </c>
      <c r="G2335" s="247" t="s">
        <v>1344</v>
      </c>
      <c r="H2335" s="247" t="s">
        <v>2022</v>
      </c>
      <c r="I2335" s="247" t="s">
        <v>2193</v>
      </c>
      <c r="J2335" s="247">
        <v>80</v>
      </c>
      <c r="K2335" s="247">
        <v>80</v>
      </c>
      <c r="L2335" s="249" t="s">
        <v>652</v>
      </c>
      <c r="M2335" s="249" t="s">
        <v>933</v>
      </c>
      <c r="N2335" s="248">
        <v>1092.71</v>
      </c>
      <c r="O2335" s="248">
        <v>6496.03</v>
      </c>
      <c r="P2335" s="247" t="s">
        <v>1430</v>
      </c>
      <c r="Q2335" s="247" t="s">
        <v>86</v>
      </c>
    </row>
    <row r="2336" spans="1:17" x14ac:dyDescent="0.25">
      <c r="A2336" s="247" t="s">
        <v>646</v>
      </c>
      <c r="B2336" s="247" t="s">
        <v>265</v>
      </c>
      <c r="C2336" s="247" t="s">
        <v>1343</v>
      </c>
      <c r="D2336" s="247" t="s">
        <v>926</v>
      </c>
      <c r="E2336" s="247" t="s">
        <v>1320</v>
      </c>
      <c r="F2336" s="247" t="s">
        <v>2192</v>
      </c>
      <c r="G2336" s="247" t="s">
        <v>1344</v>
      </c>
      <c r="H2336" s="247" t="s">
        <v>2022</v>
      </c>
      <c r="I2336" s="247" t="s">
        <v>2193</v>
      </c>
      <c r="J2336" s="247">
        <v>80</v>
      </c>
      <c r="K2336" s="247">
        <v>80</v>
      </c>
      <c r="L2336" s="249" t="s">
        <v>789</v>
      </c>
      <c r="M2336" s="249" t="s">
        <v>929</v>
      </c>
      <c r="N2336" s="248">
        <v>557.55999999999995</v>
      </c>
      <c r="O2336" s="248">
        <v>557.55999999999995</v>
      </c>
      <c r="P2336" s="247" t="s">
        <v>1430</v>
      </c>
      <c r="Q2336" s="247" t="s">
        <v>87</v>
      </c>
    </row>
    <row r="2337" spans="1:17" x14ac:dyDescent="0.25">
      <c r="A2337" s="247" t="s">
        <v>646</v>
      </c>
      <c r="B2337" s="247" t="s">
        <v>265</v>
      </c>
      <c r="C2337" s="247" t="s">
        <v>1343</v>
      </c>
      <c r="D2337" s="247" t="s">
        <v>926</v>
      </c>
      <c r="E2337" s="247" t="s">
        <v>1320</v>
      </c>
      <c r="F2337" s="247" t="s">
        <v>2192</v>
      </c>
      <c r="G2337" s="247" t="s">
        <v>1344</v>
      </c>
      <c r="H2337" s="247" t="s">
        <v>2022</v>
      </c>
      <c r="I2337" s="247" t="s">
        <v>2193</v>
      </c>
      <c r="J2337" s="247">
        <v>80</v>
      </c>
      <c r="K2337" s="247">
        <v>80</v>
      </c>
      <c r="L2337" s="249" t="s">
        <v>791</v>
      </c>
      <c r="M2337" s="249" t="s">
        <v>929</v>
      </c>
      <c r="N2337" s="248">
        <v>557.55999999999995</v>
      </c>
      <c r="O2337" s="248">
        <v>1115.1199999999999</v>
      </c>
      <c r="P2337" s="247" t="s">
        <v>1430</v>
      </c>
      <c r="Q2337" s="247" t="s">
        <v>88</v>
      </c>
    </row>
    <row r="2338" spans="1:17" x14ac:dyDescent="0.25">
      <c r="A2338" s="247" t="s">
        <v>646</v>
      </c>
      <c r="B2338" s="247" t="s">
        <v>265</v>
      </c>
      <c r="C2338" s="247" t="s">
        <v>1343</v>
      </c>
      <c r="D2338" s="247" t="s">
        <v>926</v>
      </c>
      <c r="E2338" s="247" t="s">
        <v>1320</v>
      </c>
      <c r="F2338" s="247" t="s">
        <v>2192</v>
      </c>
      <c r="G2338" s="247" t="s">
        <v>1344</v>
      </c>
      <c r="H2338" s="247" t="s">
        <v>2022</v>
      </c>
      <c r="I2338" s="247" t="s">
        <v>2193</v>
      </c>
      <c r="J2338" s="247">
        <v>80</v>
      </c>
      <c r="K2338" s="247">
        <v>80</v>
      </c>
      <c r="L2338" s="249" t="s">
        <v>935</v>
      </c>
      <c r="M2338" s="249" t="s">
        <v>929</v>
      </c>
      <c r="N2338" s="248">
        <v>557.55999999999995</v>
      </c>
      <c r="O2338" s="248">
        <v>1672.68</v>
      </c>
      <c r="P2338" s="247" t="s">
        <v>1430</v>
      </c>
      <c r="Q2338" s="247" t="s">
        <v>89</v>
      </c>
    </row>
    <row r="2339" spans="1:17" x14ac:dyDescent="0.25">
      <c r="A2339" s="247" t="s">
        <v>646</v>
      </c>
      <c r="B2339" s="247" t="s">
        <v>265</v>
      </c>
      <c r="C2339" s="247" t="s">
        <v>1343</v>
      </c>
      <c r="D2339" s="247" t="s">
        <v>926</v>
      </c>
      <c r="E2339" s="247" t="s">
        <v>1320</v>
      </c>
      <c r="F2339" s="247" t="s">
        <v>2192</v>
      </c>
      <c r="G2339" s="247" t="s">
        <v>1344</v>
      </c>
      <c r="H2339" s="247" t="s">
        <v>2022</v>
      </c>
      <c r="I2339" s="247" t="s">
        <v>2193</v>
      </c>
      <c r="J2339" s="247">
        <v>80</v>
      </c>
      <c r="K2339" s="247">
        <v>80</v>
      </c>
      <c r="L2339" s="249" t="s">
        <v>936</v>
      </c>
      <c r="M2339" s="249" t="s">
        <v>929</v>
      </c>
      <c r="N2339" s="248">
        <v>557.55999999999995</v>
      </c>
      <c r="O2339" s="248">
        <v>2230.2399999999998</v>
      </c>
      <c r="P2339" s="247" t="s">
        <v>1430</v>
      </c>
      <c r="Q2339" s="247" t="s">
        <v>90</v>
      </c>
    </row>
    <row r="2340" spans="1:17" x14ac:dyDescent="0.25">
      <c r="A2340" s="247" t="s">
        <v>646</v>
      </c>
      <c r="B2340" s="247" t="s">
        <v>265</v>
      </c>
      <c r="C2340" s="247" t="s">
        <v>1343</v>
      </c>
      <c r="D2340" s="247" t="s">
        <v>926</v>
      </c>
      <c r="E2340" s="247" t="s">
        <v>1320</v>
      </c>
      <c r="F2340" s="247" t="s">
        <v>2192</v>
      </c>
      <c r="G2340" s="247" t="s">
        <v>1344</v>
      </c>
      <c r="H2340" s="247" t="s">
        <v>2022</v>
      </c>
      <c r="I2340" s="247" t="s">
        <v>2193</v>
      </c>
      <c r="J2340" s="247">
        <v>80</v>
      </c>
      <c r="K2340" s="247">
        <v>80</v>
      </c>
      <c r="L2340" s="249" t="s">
        <v>937</v>
      </c>
      <c r="M2340" s="249" t="s">
        <v>929</v>
      </c>
      <c r="N2340" s="248">
        <v>557.55999999999995</v>
      </c>
      <c r="O2340" s="248">
        <v>2787.8</v>
      </c>
      <c r="P2340" s="247" t="s">
        <v>1430</v>
      </c>
      <c r="Q2340" s="247" t="s">
        <v>91</v>
      </c>
    </row>
    <row r="2341" spans="1:17" x14ac:dyDescent="0.25">
      <c r="A2341" s="247" t="s">
        <v>646</v>
      </c>
      <c r="B2341" s="247" t="s">
        <v>265</v>
      </c>
      <c r="C2341" s="247" t="s">
        <v>1343</v>
      </c>
      <c r="D2341" s="247" t="s">
        <v>926</v>
      </c>
      <c r="E2341" s="247" t="s">
        <v>1320</v>
      </c>
      <c r="F2341" s="247" t="s">
        <v>2192</v>
      </c>
      <c r="G2341" s="247" t="s">
        <v>1344</v>
      </c>
      <c r="H2341" s="247" t="s">
        <v>2022</v>
      </c>
      <c r="I2341" s="247" t="s">
        <v>2193</v>
      </c>
      <c r="J2341" s="247">
        <v>80</v>
      </c>
      <c r="K2341" s="247">
        <v>80</v>
      </c>
      <c r="L2341" s="249" t="s">
        <v>938</v>
      </c>
      <c r="M2341" s="249" t="s">
        <v>929</v>
      </c>
      <c r="N2341" s="248">
        <v>557.55999999999995</v>
      </c>
      <c r="O2341" s="248">
        <v>3345.36</v>
      </c>
      <c r="P2341" s="247" t="s">
        <v>1430</v>
      </c>
      <c r="Q2341" s="247" t="s">
        <v>92</v>
      </c>
    </row>
    <row r="2342" spans="1:17" x14ac:dyDescent="0.25">
      <c r="A2342" s="247" t="s">
        <v>646</v>
      </c>
      <c r="B2342" s="247" t="s">
        <v>265</v>
      </c>
      <c r="C2342" s="247" t="s">
        <v>1343</v>
      </c>
      <c r="D2342" s="247" t="s">
        <v>926</v>
      </c>
      <c r="E2342" s="247" t="s">
        <v>1320</v>
      </c>
      <c r="F2342" s="247" t="s">
        <v>2192</v>
      </c>
      <c r="G2342" s="247" t="s">
        <v>1344</v>
      </c>
      <c r="H2342" s="247" t="s">
        <v>2022</v>
      </c>
      <c r="I2342" s="247" t="s">
        <v>2193</v>
      </c>
      <c r="J2342" s="247">
        <v>80</v>
      </c>
      <c r="K2342" s="247">
        <v>80</v>
      </c>
      <c r="L2342" s="249" t="s">
        <v>939</v>
      </c>
      <c r="M2342" s="249" t="s">
        <v>929</v>
      </c>
      <c r="N2342" s="248">
        <v>557.55999999999995</v>
      </c>
      <c r="O2342" s="248">
        <v>3902.92</v>
      </c>
      <c r="P2342" s="247" t="s">
        <v>1430</v>
      </c>
      <c r="Q2342" s="247" t="s">
        <v>93</v>
      </c>
    </row>
    <row r="2343" spans="1:17" x14ac:dyDescent="0.25">
      <c r="A2343" s="247" t="s">
        <v>646</v>
      </c>
      <c r="B2343" s="247" t="s">
        <v>265</v>
      </c>
      <c r="C2343" s="247" t="s">
        <v>1343</v>
      </c>
      <c r="D2343" s="247" t="s">
        <v>926</v>
      </c>
      <c r="E2343" s="247" t="s">
        <v>1320</v>
      </c>
      <c r="F2343" s="247" t="s">
        <v>2192</v>
      </c>
      <c r="G2343" s="247" t="s">
        <v>1344</v>
      </c>
      <c r="H2343" s="247" t="s">
        <v>2022</v>
      </c>
      <c r="I2343" s="247" t="s">
        <v>2193</v>
      </c>
      <c r="J2343" s="247">
        <v>80</v>
      </c>
      <c r="K2343" s="247">
        <v>80</v>
      </c>
      <c r="L2343" s="249" t="s">
        <v>940</v>
      </c>
      <c r="M2343" s="249" t="s">
        <v>929</v>
      </c>
      <c r="N2343" s="248">
        <v>557.55999999999995</v>
      </c>
      <c r="O2343" s="248">
        <v>4460.4799999999996</v>
      </c>
      <c r="P2343" s="247" t="s">
        <v>1430</v>
      </c>
      <c r="Q2343" s="247" t="s">
        <v>94</v>
      </c>
    </row>
    <row r="2344" spans="1:17" x14ac:dyDescent="0.25">
      <c r="A2344" s="247" t="s">
        <v>646</v>
      </c>
      <c r="B2344" s="247" t="s">
        <v>265</v>
      </c>
      <c r="C2344" s="247" t="s">
        <v>1343</v>
      </c>
      <c r="D2344" s="247" t="s">
        <v>926</v>
      </c>
      <c r="E2344" s="247" t="s">
        <v>1320</v>
      </c>
      <c r="F2344" s="247" t="s">
        <v>2192</v>
      </c>
      <c r="G2344" s="247" t="s">
        <v>1344</v>
      </c>
      <c r="H2344" s="247" t="s">
        <v>2022</v>
      </c>
      <c r="I2344" s="247" t="s">
        <v>2193</v>
      </c>
      <c r="J2344" s="247">
        <v>80</v>
      </c>
      <c r="K2344" s="247">
        <v>80</v>
      </c>
      <c r="L2344" s="249" t="s">
        <v>642</v>
      </c>
      <c r="M2344" s="249" t="s">
        <v>929</v>
      </c>
      <c r="N2344" s="248">
        <v>557.55999999999995</v>
      </c>
      <c r="O2344" s="248">
        <v>5018.04</v>
      </c>
      <c r="P2344" s="247" t="s">
        <v>1430</v>
      </c>
      <c r="Q2344" s="247" t="s">
        <v>95</v>
      </c>
    </row>
    <row r="2345" spans="1:17" x14ac:dyDescent="0.25">
      <c r="A2345" s="247" t="s">
        <v>646</v>
      </c>
      <c r="B2345" s="247" t="s">
        <v>265</v>
      </c>
      <c r="C2345" s="247" t="s">
        <v>1343</v>
      </c>
      <c r="D2345" s="247" t="s">
        <v>711</v>
      </c>
      <c r="E2345" s="247" t="s">
        <v>1320</v>
      </c>
      <c r="F2345" s="247" t="s">
        <v>2194</v>
      </c>
      <c r="G2345" s="247" t="s">
        <v>1346</v>
      </c>
      <c r="H2345" s="247" t="s">
        <v>2022</v>
      </c>
      <c r="I2345" s="247" t="s">
        <v>2195</v>
      </c>
      <c r="J2345" s="247">
        <v>82</v>
      </c>
      <c r="K2345" s="247">
        <v>82</v>
      </c>
      <c r="L2345" s="249" t="s">
        <v>646</v>
      </c>
      <c r="M2345" s="249" t="s">
        <v>933</v>
      </c>
      <c r="N2345" s="248">
        <v>145.54</v>
      </c>
      <c r="O2345" s="248">
        <v>6701.12</v>
      </c>
      <c r="P2345" s="247" t="s">
        <v>1431</v>
      </c>
      <c r="Q2345" s="247" t="s">
        <v>84</v>
      </c>
    </row>
    <row r="2346" spans="1:17" x14ac:dyDescent="0.25">
      <c r="A2346" s="247" t="s">
        <v>646</v>
      </c>
      <c r="B2346" s="247" t="s">
        <v>265</v>
      </c>
      <c r="C2346" s="247" t="s">
        <v>1343</v>
      </c>
      <c r="D2346" s="247" t="s">
        <v>711</v>
      </c>
      <c r="E2346" s="247" t="s">
        <v>1320</v>
      </c>
      <c r="F2346" s="247" t="s">
        <v>2194</v>
      </c>
      <c r="G2346" s="247" t="s">
        <v>1346</v>
      </c>
      <c r="H2346" s="247" t="s">
        <v>2022</v>
      </c>
      <c r="I2346" s="247" t="s">
        <v>2195</v>
      </c>
      <c r="J2346" s="247">
        <v>82</v>
      </c>
      <c r="K2346" s="247">
        <v>82</v>
      </c>
      <c r="L2346" s="249" t="s">
        <v>650</v>
      </c>
      <c r="M2346" s="249" t="s">
        <v>933</v>
      </c>
      <c r="N2346" s="248">
        <v>0</v>
      </c>
      <c r="O2346" s="248">
        <v>6701.12</v>
      </c>
      <c r="P2346" s="247" t="s">
        <v>1431</v>
      </c>
      <c r="Q2346" s="247" t="s">
        <v>85</v>
      </c>
    </row>
    <row r="2347" spans="1:17" x14ac:dyDescent="0.25">
      <c r="A2347" s="247" t="s">
        <v>646</v>
      </c>
      <c r="B2347" s="247" t="s">
        <v>265</v>
      </c>
      <c r="C2347" s="247" t="s">
        <v>1343</v>
      </c>
      <c r="D2347" s="247" t="s">
        <v>711</v>
      </c>
      <c r="E2347" s="247" t="s">
        <v>1320</v>
      </c>
      <c r="F2347" s="247" t="s">
        <v>2194</v>
      </c>
      <c r="G2347" s="247" t="s">
        <v>1346</v>
      </c>
      <c r="H2347" s="247" t="s">
        <v>2022</v>
      </c>
      <c r="I2347" s="247" t="s">
        <v>2195</v>
      </c>
      <c r="J2347" s="247">
        <v>82</v>
      </c>
      <c r="K2347" s="247">
        <v>82</v>
      </c>
      <c r="L2347" s="249" t="s">
        <v>652</v>
      </c>
      <c r="M2347" s="249" t="s">
        <v>933</v>
      </c>
      <c r="N2347" s="248">
        <v>0</v>
      </c>
      <c r="O2347" s="248">
        <v>6701.12</v>
      </c>
      <c r="P2347" s="247" t="s">
        <v>1431</v>
      </c>
      <c r="Q2347" s="247" t="s">
        <v>86</v>
      </c>
    </row>
    <row r="2348" spans="1:17" x14ac:dyDescent="0.25">
      <c r="A2348" s="247" t="s">
        <v>646</v>
      </c>
      <c r="B2348" s="247" t="s">
        <v>265</v>
      </c>
      <c r="C2348" s="247" t="s">
        <v>1343</v>
      </c>
      <c r="D2348" s="247" t="s">
        <v>711</v>
      </c>
      <c r="E2348" s="247" t="s">
        <v>1320</v>
      </c>
      <c r="F2348" s="247" t="s">
        <v>2194</v>
      </c>
      <c r="G2348" s="247" t="s">
        <v>1346</v>
      </c>
      <c r="H2348" s="247" t="s">
        <v>2022</v>
      </c>
      <c r="I2348" s="247" t="s">
        <v>2195</v>
      </c>
      <c r="J2348" s="247">
        <v>82</v>
      </c>
      <c r="K2348" s="247">
        <v>82</v>
      </c>
      <c r="L2348" s="249" t="s">
        <v>789</v>
      </c>
      <c r="M2348" s="249" t="s">
        <v>929</v>
      </c>
      <c r="N2348" s="248">
        <v>2267.66</v>
      </c>
      <c r="O2348" s="248">
        <v>2267.66</v>
      </c>
      <c r="P2348" s="247" t="s">
        <v>1431</v>
      </c>
      <c r="Q2348" s="247" t="s">
        <v>87</v>
      </c>
    </row>
    <row r="2349" spans="1:17" x14ac:dyDescent="0.25">
      <c r="A2349" s="247" t="s">
        <v>646</v>
      </c>
      <c r="B2349" s="247" t="s">
        <v>265</v>
      </c>
      <c r="C2349" s="247" t="s">
        <v>1343</v>
      </c>
      <c r="D2349" s="247" t="s">
        <v>711</v>
      </c>
      <c r="E2349" s="247" t="s">
        <v>1320</v>
      </c>
      <c r="F2349" s="247" t="s">
        <v>2194</v>
      </c>
      <c r="G2349" s="247" t="s">
        <v>1346</v>
      </c>
      <c r="H2349" s="247" t="s">
        <v>2022</v>
      </c>
      <c r="I2349" s="247" t="s">
        <v>2195</v>
      </c>
      <c r="J2349" s="247">
        <v>82</v>
      </c>
      <c r="K2349" s="247">
        <v>82</v>
      </c>
      <c r="L2349" s="249" t="s">
        <v>791</v>
      </c>
      <c r="M2349" s="249" t="s">
        <v>929</v>
      </c>
      <c r="N2349" s="248">
        <v>2267.66</v>
      </c>
      <c r="O2349" s="248">
        <v>4535.32</v>
      </c>
      <c r="P2349" s="247" t="s">
        <v>1431</v>
      </c>
      <c r="Q2349" s="247" t="s">
        <v>88</v>
      </c>
    </row>
    <row r="2350" spans="1:17" x14ac:dyDescent="0.25">
      <c r="A2350" s="247" t="s">
        <v>646</v>
      </c>
      <c r="B2350" s="247" t="s">
        <v>265</v>
      </c>
      <c r="C2350" s="247" t="s">
        <v>1343</v>
      </c>
      <c r="D2350" s="247" t="s">
        <v>711</v>
      </c>
      <c r="E2350" s="247" t="s">
        <v>1320</v>
      </c>
      <c r="F2350" s="247" t="s">
        <v>2194</v>
      </c>
      <c r="G2350" s="247" t="s">
        <v>1346</v>
      </c>
      <c r="H2350" s="247" t="s">
        <v>2022</v>
      </c>
      <c r="I2350" s="247" t="s">
        <v>2195</v>
      </c>
      <c r="J2350" s="247">
        <v>82</v>
      </c>
      <c r="K2350" s="247">
        <v>82</v>
      </c>
      <c r="L2350" s="249" t="s">
        <v>935</v>
      </c>
      <c r="M2350" s="249" t="s">
        <v>929</v>
      </c>
      <c r="N2350" s="248">
        <v>2267.66</v>
      </c>
      <c r="O2350" s="248">
        <v>6802.98</v>
      </c>
      <c r="P2350" s="247" t="s">
        <v>1431</v>
      </c>
      <c r="Q2350" s="247" t="s">
        <v>89</v>
      </c>
    </row>
    <row r="2351" spans="1:17" x14ac:dyDescent="0.25">
      <c r="A2351" s="247" t="s">
        <v>646</v>
      </c>
      <c r="B2351" s="247" t="s">
        <v>265</v>
      </c>
      <c r="C2351" s="247" t="s">
        <v>1343</v>
      </c>
      <c r="D2351" s="247" t="s">
        <v>711</v>
      </c>
      <c r="E2351" s="247" t="s">
        <v>1320</v>
      </c>
      <c r="F2351" s="247" t="s">
        <v>2194</v>
      </c>
      <c r="G2351" s="247" t="s">
        <v>1346</v>
      </c>
      <c r="H2351" s="247" t="s">
        <v>2022</v>
      </c>
      <c r="I2351" s="247" t="s">
        <v>2195</v>
      </c>
      <c r="J2351" s="247">
        <v>82</v>
      </c>
      <c r="K2351" s="247">
        <v>82</v>
      </c>
      <c r="L2351" s="249" t="s">
        <v>936</v>
      </c>
      <c r="M2351" s="249" t="s">
        <v>929</v>
      </c>
      <c r="N2351" s="248">
        <v>1147.02</v>
      </c>
      <c r="O2351" s="248">
        <v>7950</v>
      </c>
      <c r="P2351" s="247" t="s">
        <v>1431</v>
      </c>
      <c r="Q2351" s="247" t="s">
        <v>90</v>
      </c>
    </row>
    <row r="2352" spans="1:17" x14ac:dyDescent="0.25">
      <c r="A2352" s="247" t="s">
        <v>646</v>
      </c>
      <c r="B2352" s="247" t="s">
        <v>265</v>
      </c>
      <c r="C2352" s="247" t="s">
        <v>1343</v>
      </c>
      <c r="D2352" s="247" t="s">
        <v>711</v>
      </c>
      <c r="E2352" s="247" t="s">
        <v>1320</v>
      </c>
      <c r="F2352" s="247" t="s">
        <v>2194</v>
      </c>
      <c r="G2352" s="247" t="s">
        <v>1346</v>
      </c>
      <c r="H2352" s="247" t="s">
        <v>2022</v>
      </c>
      <c r="I2352" s="247" t="s">
        <v>2195</v>
      </c>
      <c r="J2352" s="247">
        <v>82</v>
      </c>
      <c r="K2352" s="247">
        <v>82</v>
      </c>
      <c r="L2352" s="249" t="s">
        <v>937</v>
      </c>
      <c r="M2352" s="249" t="s">
        <v>929</v>
      </c>
      <c r="N2352" s="248">
        <v>0</v>
      </c>
      <c r="O2352" s="248">
        <v>7950</v>
      </c>
      <c r="P2352" s="247" t="s">
        <v>1431</v>
      </c>
      <c r="Q2352" s="247" t="s">
        <v>91</v>
      </c>
    </row>
    <row r="2353" spans="1:17" x14ac:dyDescent="0.25">
      <c r="A2353" s="247" t="s">
        <v>646</v>
      </c>
      <c r="B2353" s="247" t="s">
        <v>265</v>
      </c>
      <c r="C2353" s="247" t="s">
        <v>1343</v>
      </c>
      <c r="D2353" s="247" t="s">
        <v>711</v>
      </c>
      <c r="E2353" s="247" t="s">
        <v>1320</v>
      </c>
      <c r="F2353" s="247" t="s">
        <v>2194</v>
      </c>
      <c r="G2353" s="247" t="s">
        <v>1346</v>
      </c>
      <c r="H2353" s="247" t="s">
        <v>2022</v>
      </c>
      <c r="I2353" s="247" t="s">
        <v>2195</v>
      </c>
      <c r="J2353" s="247">
        <v>82</v>
      </c>
      <c r="K2353" s="247">
        <v>82</v>
      </c>
      <c r="L2353" s="249" t="s">
        <v>938</v>
      </c>
      <c r="M2353" s="249" t="s">
        <v>929</v>
      </c>
      <c r="N2353" s="248">
        <v>0</v>
      </c>
      <c r="O2353" s="248">
        <v>7950</v>
      </c>
      <c r="P2353" s="247" t="s">
        <v>1431</v>
      </c>
      <c r="Q2353" s="247" t="s">
        <v>92</v>
      </c>
    </row>
    <row r="2354" spans="1:17" x14ac:dyDescent="0.25">
      <c r="A2354" s="247" t="s">
        <v>646</v>
      </c>
      <c r="B2354" s="247" t="s">
        <v>265</v>
      </c>
      <c r="C2354" s="247" t="s">
        <v>1343</v>
      </c>
      <c r="D2354" s="247" t="s">
        <v>711</v>
      </c>
      <c r="E2354" s="247" t="s">
        <v>1320</v>
      </c>
      <c r="F2354" s="247" t="s">
        <v>2194</v>
      </c>
      <c r="G2354" s="247" t="s">
        <v>1346</v>
      </c>
      <c r="H2354" s="247" t="s">
        <v>2022</v>
      </c>
      <c r="I2354" s="247" t="s">
        <v>2195</v>
      </c>
      <c r="J2354" s="247">
        <v>82</v>
      </c>
      <c r="K2354" s="247">
        <v>82</v>
      </c>
      <c r="L2354" s="249" t="s">
        <v>939</v>
      </c>
      <c r="M2354" s="249" t="s">
        <v>929</v>
      </c>
      <c r="N2354" s="248">
        <v>0</v>
      </c>
      <c r="O2354" s="248">
        <v>7950</v>
      </c>
      <c r="P2354" s="247" t="s">
        <v>1431</v>
      </c>
      <c r="Q2354" s="247" t="s">
        <v>93</v>
      </c>
    </row>
    <row r="2355" spans="1:17" x14ac:dyDescent="0.25">
      <c r="A2355" s="247" t="s">
        <v>646</v>
      </c>
      <c r="B2355" s="247" t="s">
        <v>265</v>
      </c>
      <c r="C2355" s="247" t="s">
        <v>1343</v>
      </c>
      <c r="D2355" s="247" t="s">
        <v>711</v>
      </c>
      <c r="E2355" s="247" t="s">
        <v>1320</v>
      </c>
      <c r="F2355" s="247" t="s">
        <v>2194</v>
      </c>
      <c r="G2355" s="247" t="s">
        <v>1346</v>
      </c>
      <c r="H2355" s="247" t="s">
        <v>2022</v>
      </c>
      <c r="I2355" s="247" t="s">
        <v>2195</v>
      </c>
      <c r="J2355" s="247">
        <v>82</v>
      </c>
      <c r="K2355" s="247">
        <v>82</v>
      </c>
      <c r="L2355" s="249" t="s">
        <v>940</v>
      </c>
      <c r="M2355" s="249" t="s">
        <v>929</v>
      </c>
      <c r="N2355" s="248">
        <v>0</v>
      </c>
      <c r="O2355" s="248">
        <v>7950</v>
      </c>
      <c r="P2355" s="247" t="s">
        <v>1431</v>
      </c>
      <c r="Q2355" s="247" t="s">
        <v>94</v>
      </c>
    </row>
    <row r="2356" spans="1:17" x14ac:dyDescent="0.25">
      <c r="A2356" s="247" t="s">
        <v>646</v>
      </c>
      <c r="B2356" s="247" t="s">
        <v>265</v>
      </c>
      <c r="C2356" s="247" t="s">
        <v>1343</v>
      </c>
      <c r="D2356" s="247" t="s">
        <v>711</v>
      </c>
      <c r="E2356" s="247" t="s">
        <v>1320</v>
      </c>
      <c r="F2356" s="247" t="s">
        <v>2194</v>
      </c>
      <c r="G2356" s="247" t="s">
        <v>1346</v>
      </c>
      <c r="H2356" s="247" t="s">
        <v>2022</v>
      </c>
      <c r="I2356" s="247" t="s">
        <v>2195</v>
      </c>
      <c r="J2356" s="247">
        <v>82</v>
      </c>
      <c r="K2356" s="247">
        <v>82</v>
      </c>
      <c r="L2356" s="249" t="s">
        <v>642</v>
      </c>
      <c r="M2356" s="249" t="s">
        <v>929</v>
      </c>
      <c r="N2356" s="248">
        <v>0</v>
      </c>
      <c r="O2356" s="248">
        <v>7950</v>
      </c>
      <c r="P2356" s="247" t="s">
        <v>1431</v>
      </c>
      <c r="Q2356" s="247" t="s">
        <v>95</v>
      </c>
    </row>
    <row r="2357" spans="1:17" x14ac:dyDescent="0.25">
      <c r="A2357" s="247" t="s">
        <v>646</v>
      </c>
      <c r="B2357" s="247" t="s">
        <v>265</v>
      </c>
      <c r="C2357" s="247" t="s">
        <v>1343</v>
      </c>
      <c r="D2357" s="247" t="s">
        <v>755</v>
      </c>
      <c r="E2357" s="247" t="s">
        <v>1320</v>
      </c>
      <c r="F2357" s="247" t="s">
        <v>2196</v>
      </c>
      <c r="G2357" s="247" t="s">
        <v>1348</v>
      </c>
      <c r="H2357" s="247" t="s">
        <v>2022</v>
      </c>
      <c r="I2357" s="247" t="s">
        <v>2197</v>
      </c>
      <c r="J2357" s="247">
        <v>82</v>
      </c>
      <c r="K2357" s="247">
        <v>82</v>
      </c>
      <c r="L2357" s="249" t="s">
        <v>646</v>
      </c>
      <c r="M2357" s="249" t="s">
        <v>933</v>
      </c>
      <c r="N2357" s="248">
        <v>43</v>
      </c>
      <c r="O2357" s="248">
        <v>7065</v>
      </c>
      <c r="P2357" s="247" t="s">
        <v>1432</v>
      </c>
      <c r="Q2357" s="247" t="s">
        <v>84</v>
      </c>
    </row>
    <row r="2358" spans="1:17" x14ac:dyDescent="0.25">
      <c r="A2358" s="247" t="s">
        <v>646</v>
      </c>
      <c r="B2358" s="247" t="s">
        <v>265</v>
      </c>
      <c r="C2358" s="247" t="s">
        <v>1343</v>
      </c>
      <c r="D2358" s="247" t="s">
        <v>755</v>
      </c>
      <c r="E2358" s="247" t="s">
        <v>1320</v>
      </c>
      <c r="F2358" s="247" t="s">
        <v>2196</v>
      </c>
      <c r="G2358" s="247" t="s">
        <v>1348</v>
      </c>
      <c r="H2358" s="247" t="s">
        <v>2022</v>
      </c>
      <c r="I2358" s="247" t="s">
        <v>2197</v>
      </c>
      <c r="J2358" s="247">
        <v>82</v>
      </c>
      <c r="K2358" s="247">
        <v>82</v>
      </c>
      <c r="L2358" s="249" t="s">
        <v>650</v>
      </c>
      <c r="M2358" s="249" t="s">
        <v>933</v>
      </c>
      <c r="N2358" s="248">
        <v>1876</v>
      </c>
      <c r="O2358" s="248">
        <v>8941</v>
      </c>
      <c r="P2358" s="247" t="s">
        <v>1432</v>
      </c>
      <c r="Q2358" s="247" t="s">
        <v>85</v>
      </c>
    </row>
    <row r="2359" spans="1:17" x14ac:dyDescent="0.25">
      <c r="A2359" s="247" t="s">
        <v>646</v>
      </c>
      <c r="B2359" s="247" t="s">
        <v>265</v>
      </c>
      <c r="C2359" s="247" t="s">
        <v>1343</v>
      </c>
      <c r="D2359" s="247" t="s">
        <v>755</v>
      </c>
      <c r="E2359" s="247" t="s">
        <v>1320</v>
      </c>
      <c r="F2359" s="247" t="s">
        <v>2196</v>
      </c>
      <c r="G2359" s="247" t="s">
        <v>1348</v>
      </c>
      <c r="H2359" s="247" t="s">
        <v>2022</v>
      </c>
      <c r="I2359" s="247" t="s">
        <v>2197</v>
      </c>
      <c r="J2359" s="247">
        <v>82</v>
      </c>
      <c r="K2359" s="247">
        <v>82</v>
      </c>
      <c r="L2359" s="249" t="s">
        <v>652</v>
      </c>
      <c r="M2359" s="249" t="s">
        <v>933</v>
      </c>
      <c r="N2359" s="248">
        <v>43</v>
      </c>
      <c r="O2359" s="248">
        <v>8984</v>
      </c>
      <c r="P2359" s="247" t="s">
        <v>1432</v>
      </c>
      <c r="Q2359" s="247" t="s">
        <v>86</v>
      </c>
    </row>
    <row r="2360" spans="1:17" x14ac:dyDescent="0.25">
      <c r="A2360" s="247" t="s">
        <v>646</v>
      </c>
      <c r="B2360" s="247" t="s">
        <v>265</v>
      </c>
      <c r="C2360" s="247" t="s">
        <v>1343</v>
      </c>
      <c r="D2360" s="247" t="s">
        <v>755</v>
      </c>
      <c r="E2360" s="247" t="s">
        <v>1320</v>
      </c>
      <c r="F2360" s="247" t="s">
        <v>2196</v>
      </c>
      <c r="G2360" s="247" t="s">
        <v>1348</v>
      </c>
      <c r="H2360" s="247" t="s">
        <v>2022</v>
      </c>
      <c r="I2360" s="247" t="s">
        <v>2197</v>
      </c>
      <c r="J2360" s="247">
        <v>82</v>
      </c>
      <c r="K2360" s="247">
        <v>82</v>
      </c>
      <c r="L2360" s="249" t="s">
        <v>789</v>
      </c>
      <c r="M2360" s="249" t="s">
        <v>929</v>
      </c>
      <c r="N2360" s="248">
        <v>43</v>
      </c>
      <c r="O2360" s="248">
        <v>43</v>
      </c>
      <c r="P2360" s="247" t="s">
        <v>1432</v>
      </c>
      <c r="Q2360" s="247" t="s">
        <v>87</v>
      </c>
    </row>
    <row r="2361" spans="1:17" x14ac:dyDescent="0.25">
      <c r="A2361" s="247" t="s">
        <v>646</v>
      </c>
      <c r="B2361" s="247" t="s">
        <v>265</v>
      </c>
      <c r="C2361" s="247" t="s">
        <v>1343</v>
      </c>
      <c r="D2361" s="247" t="s">
        <v>755</v>
      </c>
      <c r="E2361" s="247" t="s">
        <v>1320</v>
      </c>
      <c r="F2361" s="247" t="s">
        <v>2196</v>
      </c>
      <c r="G2361" s="247" t="s">
        <v>1348</v>
      </c>
      <c r="H2361" s="247" t="s">
        <v>2022</v>
      </c>
      <c r="I2361" s="247" t="s">
        <v>2197</v>
      </c>
      <c r="J2361" s="247">
        <v>82</v>
      </c>
      <c r="K2361" s="247">
        <v>82</v>
      </c>
      <c r="L2361" s="249" t="s">
        <v>791</v>
      </c>
      <c r="M2361" s="249" t="s">
        <v>929</v>
      </c>
      <c r="N2361" s="248">
        <v>1876</v>
      </c>
      <c r="O2361" s="248">
        <v>1919</v>
      </c>
      <c r="P2361" s="247" t="s">
        <v>1432</v>
      </c>
      <c r="Q2361" s="247" t="s">
        <v>88</v>
      </c>
    </row>
    <row r="2362" spans="1:17" x14ac:dyDescent="0.25">
      <c r="A2362" s="247" t="s">
        <v>646</v>
      </c>
      <c r="B2362" s="247" t="s">
        <v>265</v>
      </c>
      <c r="C2362" s="247" t="s">
        <v>1343</v>
      </c>
      <c r="D2362" s="247" t="s">
        <v>755</v>
      </c>
      <c r="E2362" s="247" t="s">
        <v>1320</v>
      </c>
      <c r="F2362" s="247" t="s">
        <v>2196</v>
      </c>
      <c r="G2362" s="247" t="s">
        <v>1348</v>
      </c>
      <c r="H2362" s="247" t="s">
        <v>2022</v>
      </c>
      <c r="I2362" s="247" t="s">
        <v>2197</v>
      </c>
      <c r="J2362" s="247">
        <v>82</v>
      </c>
      <c r="K2362" s="247">
        <v>82</v>
      </c>
      <c r="L2362" s="249" t="s">
        <v>935</v>
      </c>
      <c r="M2362" s="249" t="s">
        <v>929</v>
      </c>
      <c r="N2362" s="248">
        <v>43</v>
      </c>
      <c r="O2362" s="248">
        <v>1962</v>
      </c>
      <c r="P2362" s="247" t="s">
        <v>1432</v>
      </c>
      <c r="Q2362" s="247" t="s">
        <v>89</v>
      </c>
    </row>
    <row r="2363" spans="1:17" x14ac:dyDescent="0.25">
      <c r="A2363" s="247" t="s">
        <v>646</v>
      </c>
      <c r="B2363" s="247" t="s">
        <v>265</v>
      </c>
      <c r="C2363" s="247" t="s">
        <v>1343</v>
      </c>
      <c r="D2363" s="247" t="s">
        <v>755</v>
      </c>
      <c r="E2363" s="247" t="s">
        <v>1320</v>
      </c>
      <c r="F2363" s="247" t="s">
        <v>2196</v>
      </c>
      <c r="G2363" s="247" t="s">
        <v>1348</v>
      </c>
      <c r="H2363" s="247" t="s">
        <v>2022</v>
      </c>
      <c r="I2363" s="247" t="s">
        <v>2197</v>
      </c>
      <c r="J2363" s="247">
        <v>82</v>
      </c>
      <c r="K2363" s="247">
        <v>82</v>
      </c>
      <c r="L2363" s="249" t="s">
        <v>936</v>
      </c>
      <c r="M2363" s="249" t="s">
        <v>929</v>
      </c>
      <c r="N2363" s="248">
        <v>43</v>
      </c>
      <c r="O2363" s="248">
        <v>2005</v>
      </c>
      <c r="P2363" s="247" t="s">
        <v>1432</v>
      </c>
      <c r="Q2363" s="247" t="s">
        <v>90</v>
      </c>
    </row>
    <row r="2364" spans="1:17" x14ac:dyDescent="0.25">
      <c r="A2364" s="247" t="s">
        <v>646</v>
      </c>
      <c r="B2364" s="247" t="s">
        <v>265</v>
      </c>
      <c r="C2364" s="247" t="s">
        <v>1343</v>
      </c>
      <c r="D2364" s="247" t="s">
        <v>755</v>
      </c>
      <c r="E2364" s="247" t="s">
        <v>1320</v>
      </c>
      <c r="F2364" s="247" t="s">
        <v>2196</v>
      </c>
      <c r="G2364" s="247" t="s">
        <v>1348</v>
      </c>
      <c r="H2364" s="247" t="s">
        <v>2022</v>
      </c>
      <c r="I2364" s="247" t="s">
        <v>2197</v>
      </c>
      <c r="J2364" s="247">
        <v>82</v>
      </c>
      <c r="K2364" s="247">
        <v>82</v>
      </c>
      <c r="L2364" s="249" t="s">
        <v>937</v>
      </c>
      <c r="M2364" s="249" t="s">
        <v>929</v>
      </c>
      <c r="N2364" s="248">
        <v>1876</v>
      </c>
      <c r="O2364" s="248">
        <v>3881</v>
      </c>
      <c r="P2364" s="247" t="s">
        <v>1432</v>
      </c>
      <c r="Q2364" s="247" t="s">
        <v>91</v>
      </c>
    </row>
    <row r="2365" spans="1:17" x14ac:dyDescent="0.25">
      <c r="A2365" s="247" t="s">
        <v>646</v>
      </c>
      <c r="B2365" s="247" t="s">
        <v>265</v>
      </c>
      <c r="C2365" s="247" t="s">
        <v>1343</v>
      </c>
      <c r="D2365" s="247" t="s">
        <v>755</v>
      </c>
      <c r="E2365" s="247" t="s">
        <v>1320</v>
      </c>
      <c r="F2365" s="247" t="s">
        <v>2196</v>
      </c>
      <c r="G2365" s="247" t="s">
        <v>1348</v>
      </c>
      <c r="H2365" s="247" t="s">
        <v>2022</v>
      </c>
      <c r="I2365" s="247" t="s">
        <v>2197</v>
      </c>
      <c r="J2365" s="247">
        <v>82</v>
      </c>
      <c r="K2365" s="247">
        <v>82</v>
      </c>
      <c r="L2365" s="249" t="s">
        <v>938</v>
      </c>
      <c r="M2365" s="249" t="s">
        <v>929</v>
      </c>
      <c r="N2365" s="248">
        <v>43</v>
      </c>
      <c r="O2365" s="248">
        <v>3924</v>
      </c>
      <c r="P2365" s="247" t="s">
        <v>1432</v>
      </c>
      <c r="Q2365" s="247" t="s">
        <v>92</v>
      </c>
    </row>
    <row r="2366" spans="1:17" x14ac:dyDescent="0.25">
      <c r="A2366" s="247" t="s">
        <v>646</v>
      </c>
      <c r="B2366" s="247" t="s">
        <v>265</v>
      </c>
      <c r="C2366" s="247" t="s">
        <v>1343</v>
      </c>
      <c r="D2366" s="247" t="s">
        <v>755</v>
      </c>
      <c r="E2366" s="247" t="s">
        <v>1320</v>
      </c>
      <c r="F2366" s="247" t="s">
        <v>2196</v>
      </c>
      <c r="G2366" s="247" t="s">
        <v>1348</v>
      </c>
      <c r="H2366" s="247" t="s">
        <v>2022</v>
      </c>
      <c r="I2366" s="247" t="s">
        <v>2197</v>
      </c>
      <c r="J2366" s="247">
        <v>82</v>
      </c>
      <c r="K2366" s="247">
        <v>82</v>
      </c>
      <c r="L2366" s="249" t="s">
        <v>939</v>
      </c>
      <c r="M2366" s="249" t="s">
        <v>929</v>
      </c>
      <c r="N2366" s="248">
        <v>43</v>
      </c>
      <c r="O2366" s="248">
        <v>3967</v>
      </c>
      <c r="P2366" s="247" t="s">
        <v>1432</v>
      </c>
      <c r="Q2366" s="247" t="s">
        <v>93</v>
      </c>
    </row>
    <row r="2367" spans="1:17" x14ac:dyDescent="0.25">
      <c r="A2367" s="247" t="s">
        <v>646</v>
      </c>
      <c r="B2367" s="247" t="s">
        <v>265</v>
      </c>
      <c r="C2367" s="247" t="s">
        <v>1343</v>
      </c>
      <c r="D2367" s="247" t="s">
        <v>755</v>
      </c>
      <c r="E2367" s="247" t="s">
        <v>1320</v>
      </c>
      <c r="F2367" s="247" t="s">
        <v>2196</v>
      </c>
      <c r="G2367" s="247" t="s">
        <v>1348</v>
      </c>
      <c r="H2367" s="247" t="s">
        <v>2022</v>
      </c>
      <c r="I2367" s="247" t="s">
        <v>2197</v>
      </c>
      <c r="J2367" s="247">
        <v>82</v>
      </c>
      <c r="K2367" s="247">
        <v>82</v>
      </c>
      <c r="L2367" s="249" t="s">
        <v>940</v>
      </c>
      <c r="M2367" s="249" t="s">
        <v>929</v>
      </c>
      <c r="N2367" s="248">
        <v>1876</v>
      </c>
      <c r="O2367" s="248">
        <v>5843</v>
      </c>
      <c r="P2367" s="247" t="s">
        <v>1432</v>
      </c>
      <c r="Q2367" s="247" t="s">
        <v>94</v>
      </c>
    </row>
    <row r="2368" spans="1:17" x14ac:dyDescent="0.25">
      <c r="A2368" s="247" t="s">
        <v>646</v>
      </c>
      <c r="B2368" s="247" t="s">
        <v>265</v>
      </c>
      <c r="C2368" s="247" t="s">
        <v>1343</v>
      </c>
      <c r="D2368" s="247" t="s">
        <v>755</v>
      </c>
      <c r="E2368" s="247" t="s">
        <v>1320</v>
      </c>
      <c r="F2368" s="247" t="s">
        <v>2196</v>
      </c>
      <c r="G2368" s="247" t="s">
        <v>1348</v>
      </c>
      <c r="H2368" s="247" t="s">
        <v>2022</v>
      </c>
      <c r="I2368" s="247" t="s">
        <v>2197</v>
      </c>
      <c r="J2368" s="247">
        <v>82</v>
      </c>
      <c r="K2368" s="247">
        <v>82</v>
      </c>
      <c r="L2368" s="249" t="s">
        <v>642</v>
      </c>
      <c r="M2368" s="249" t="s">
        <v>929</v>
      </c>
      <c r="N2368" s="248">
        <v>43</v>
      </c>
      <c r="O2368" s="248">
        <v>5886</v>
      </c>
      <c r="P2368" s="247" t="s">
        <v>1432</v>
      </c>
      <c r="Q2368" s="247" t="s">
        <v>95</v>
      </c>
    </row>
    <row r="2369" spans="1:17" x14ac:dyDescent="0.25">
      <c r="A2369" s="247" t="s">
        <v>646</v>
      </c>
      <c r="B2369" s="247" t="s">
        <v>265</v>
      </c>
      <c r="C2369" s="247" t="s">
        <v>1343</v>
      </c>
      <c r="D2369" s="247" t="s">
        <v>569</v>
      </c>
      <c r="E2369" s="247" t="s">
        <v>1320</v>
      </c>
      <c r="F2369" s="247" t="s">
        <v>2198</v>
      </c>
      <c r="G2369" s="247" t="s">
        <v>1352</v>
      </c>
      <c r="H2369" s="247" t="s">
        <v>2022</v>
      </c>
      <c r="I2369" s="247" t="s">
        <v>2199</v>
      </c>
      <c r="J2369" s="247">
        <v>83</v>
      </c>
      <c r="K2369" s="247">
        <v>83</v>
      </c>
      <c r="L2369" s="249" t="s">
        <v>646</v>
      </c>
      <c r="M2369" s="249" t="s">
        <v>933</v>
      </c>
      <c r="N2369" s="248">
        <v>0</v>
      </c>
      <c r="O2369" s="248">
        <v>8401.4</v>
      </c>
      <c r="P2369" s="247" t="s">
        <v>1433</v>
      </c>
      <c r="Q2369" s="247" t="s">
        <v>84</v>
      </c>
    </row>
    <row r="2370" spans="1:17" x14ac:dyDescent="0.25">
      <c r="A2370" s="247" t="s">
        <v>646</v>
      </c>
      <c r="B2370" s="247" t="s">
        <v>265</v>
      </c>
      <c r="C2370" s="247" t="s">
        <v>1343</v>
      </c>
      <c r="D2370" s="247" t="s">
        <v>569</v>
      </c>
      <c r="E2370" s="247" t="s">
        <v>1320</v>
      </c>
      <c r="F2370" s="247" t="s">
        <v>2198</v>
      </c>
      <c r="G2370" s="247" t="s">
        <v>1352</v>
      </c>
      <c r="H2370" s="247" t="s">
        <v>2022</v>
      </c>
      <c r="I2370" s="247" t="s">
        <v>2199</v>
      </c>
      <c r="J2370" s="247">
        <v>83</v>
      </c>
      <c r="K2370" s="247">
        <v>83</v>
      </c>
      <c r="L2370" s="249" t="s">
        <v>650</v>
      </c>
      <c r="M2370" s="249" t="s">
        <v>933</v>
      </c>
      <c r="N2370" s="248">
        <v>0</v>
      </c>
      <c r="O2370" s="248">
        <v>8401.4</v>
      </c>
      <c r="P2370" s="247" t="s">
        <v>1433</v>
      </c>
      <c r="Q2370" s="247" t="s">
        <v>85</v>
      </c>
    </row>
    <row r="2371" spans="1:17" x14ac:dyDescent="0.25">
      <c r="A2371" s="247" t="s">
        <v>646</v>
      </c>
      <c r="B2371" s="247" t="s">
        <v>265</v>
      </c>
      <c r="C2371" s="247" t="s">
        <v>1343</v>
      </c>
      <c r="D2371" s="247" t="s">
        <v>569</v>
      </c>
      <c r="E2371" s="247" t="s">
        <v>1320</v>
      </c>
      <c r="F2371" s="247" t="s">
        <v>2198</v>
      </c>
      <c r="G2371" s="247" t="s">
        <v>1352</v>
      </c>
      <c r="H2371" s="247" t="s">
        <v>2022</v>
      </c>
      <c r="I2371" s="247" t="s">
        <v>2199</v>
      </c>
      <c r="J2371" s="247">
        <v>83</v>
      </c>
      <c r="K2371" s="247">
        <v>83</v>
      </c>
      <c r="L2371" s="249" t="s">
        <v>652</v>
      </c>
      <c r="M2371" s="249" t="s">
        <v>933</v>
      </c>
      <c r="N2371" s="248">
        <v>0</v>
      </c>
      <c r="O2371" s="248">
        <v>8401.4</v>
      </c>
      <c r="P2371" s="247" t="s">
        <v>1433</v>
      </c>
      <c r="Q2371" s="247" t="s">
        <v>86</v>
      </c>
    </row>
    <row r="2372" spans="1:17" x14ac:dyDescent="0.25">
      <c r="A2372" s="247" t="s">
        <v>646</v>
      </c>
      <c r="B2372" s="247" t="s">
        <v>265</v>
      </c>
      <c r="C2372" s="247" t="s">
        <v>1343</v>
      </c>
      <c r="D2372" s="247" t="s">
        <v>569</v>
      </c>
      <c r="E2372" s="247" t="s">
        <v>1320</v>
      </c>
      <c r="F2372" s="247" t="s">
        <v>2198</v>
      </c>
      <c r="G2372" s="247" t="s">
        <v>1352</v>
      </c>
      <c r="H2372" s="247" t="s">
        <v>2022</v>
      </c>
      <c r="I2372" s="247" t="s">
        <v>2199</v>
      </c>
      <c r="J2372" s="247">
        <v>83</v>
      </c>
      <c r="K2372" s="247">
        <v>83</v>
      </c>
      <c r="L2372" s="249" t="s">
        <v>789</v>
      </c>
      <c r="M2372" s="249" t="s">
        <v>929</v>
      </c>
      <c r="N2372" s="248">
        <v>2811.9</v>
      </c>
      <c r="O2372" s="248">
        <v>2811.9</v>
      </c>
      <c r="P2372" s="247" t="s">
        <v>1433</v>
      </c>
      <c r="Q2372" s="247" t="s">
        <v>87</v>
      </c>
    </row>
    <row r="2373" spans="1:17" x14ac:dyDescent="0.25">
      <c r="A2373" s="247" t="s">
        <v>646</v>
      </c>
      <c r="B2373" s="247" t="s">
        <v>265</v>
      </c>
      <c r="C2373" s="247" t="s">
        <v>1343</v>
      </c>
      <c r="D2373" s="247" t="s">
        <v>569</v>
      </c>
      <c r="E2373" s="247" t="s">
        <v>1320</v>
      </c>
      <c r="F2373" s="247" t="s">
        <v>2198</v>
      </c>
      <c r="G2373" s="247" t="s">
        <v>1352</v>
      </c>
      <c r="H2373" s="247" t="s">
        <v>2022</v>
      </c>
      <c r="I2373" s="247" t="s">
        <v>2199</v>
      </c>
      <c r="J2373" s="247">
        <v>83</v>
      </c>
      <c r="K2373" s="247">
        <v>83</v>
      </c>
      <c r="L2373" s="249" t="s">
        <v>791</v>
      </c>
      <c r="M2373" s="249" t="s">
        <v>929</v>
      </c>
      <c r="N2373" s="248">
        <v>2811.89</v>
      </c>
      <c r="O2373" s="248">
        <v>5623.79</v>
      </c>
      <c r="P2373" s="247" t="s">
        <v>1433</v>
      </c>
      <c r="Q2373" s="247" t="s">
        <v>88</v>
      </c>
    </row>
    <row r="2374" spans="1:17" x14ac:dyDescent="0.25">
      <c r="A2374" s="247" t="s">
        <v>646</v>
      </c>
      <c r="B2374" s="247" t="s">
        <v>265</v>
      </c>
      <c r="C2374" s="247" t="s">
        <v>1343</v>
      </c>
      <c r="D2374" s="247" t="s">
        <v>569</v>
      </c>
      <c r="E2374" s="247" t="s">
        <v>1320</v>
      </c>
      <c r="F2374" s="247" t="s">
        <v>2198</v>
      </c>
      <c r="G2374" s="247" t="s">
        <v>1352</v>
      </c>
      <c r="H2374" s="247" t="s">
        <v>2022</v>
      </c>
      <c r="I2374" s="247" t="s">
        <v>2199</v>
      </c>
      <c r="J2374" s="247">
        <v>83</v>
      </c>
      <c r="K2374" s="247">
        <v>83</v>
      </c>
      <c r="L2374" s="249" t="s">
        <v>935</v>
      </c>
      <c r="M2374" s="249" t="s">
        <v>929</v>
      </c>
      <c r="N2374" s="248">
        <v>1723.21</v>
      </c>
      <c r="O2374" s="248">
        <v>7347</v>
      </c>
      <c r="P2374" s="247" t="s">
        <v>1433</v>
      </c>
      <c r="Q2374" s="247" t="s">
        <v>89</v>
      </c>
    </row>
    <row r="2375" spans="1:17" x14ac:dyDescent="0.25">
      <c r="A2375" s="247" t="s">
        <v>646</v>
      </c>
      <c r="B2375" s="247" t="s">
        <v>265</v>
      </c>
      <c r="C2375" s="247" t="s">
        <v>1343</v>
      </c>
      <c r="D2375" s="247" t="s">
        <v>569</v>
      </c>
      <c r="E2375" s="247" t="s">
        <v>1320</v>
      </c>
      <c r="F2375" s="247" t="s">
        <v>2198</v>
      </c>
      <c r="G2375" s="247" t="s">
        <v>1352</v>
      </c>
      <c r="H2375" s="247" t="s">
        <v>2022</v>
      </c>
      <c r="I2375" s="247" t="s">
        <v>2199</v>
      </c>
      <c r="J2375" s="247">
        <v>83</v>
      </c>
      <c r="K2375" s="247">
        <v>83</v>
      </c>
      <c r="L2375" s="249" t="s">
        <v>936</v>
      </c>
      <c r="M2375" s="249" t="s">
        <v>929</v>
      </c>
      <c r="N2375" s="248">
        <v>0</v>
      </c>
      <c r="O2375" s="248">
        <v>7347</v>
      </c>
      <c r="P2375" s="247" t="s">
        <v>1433</v>
      </c>
      <c r="Q2375" s="247" t="s">
        <v>90</v>
      </c>
    </row>
    <row r="2376" spans="1:17" x14ac:dyDescent="0.25">
      <c r="A2376" s="247" t="s">
        <v>646</v>
      </c>
      <c r="B2376" s="247" t="s">
        <v>265</v>
      </c>
      <c r="C2376" s="247" t="s">
        <v>1343</v>
      </c>
      <c r="D2376" s="247" t="s">
        <v>569</v>
      </c>
      <c r="E2376" s="247" t="s">
        <v>1320</v>
      </c>
      <c r="F2376" s="247" t="s">
        <v>2198</v>
      </c>
      <c r="G2376" s="247" t="s">
        <v>1352</v>
      </c>
      <c r="H2376" s="247" t="s">
        <v>2022</v>
      </c>
      <c r="I2376" s="247" t="s">
        <v>2199</v>
      </c>
      <c r="J2376" s="247">
        <v>83</v>
      </c>
      <c r="K2376" s="247">
        <v>83</v>
      </c>
      <c r="L2376" s="249" t="s">
        <v>937</v>
      </c>
      <c r="M2376" s="249" t="s">
        <v>929</v>
      </c>
      <c r="N2376" s="248">
        <v>0</v>
      </c>
      <c r="O2376" s="248">
        <v>7347</v>
      </c>
      <c r="P2376" s="247" t="s">
        <v>1433</v>
      </c>
      <c r="Q2376" s="247" t="s">
        <v>91</v>
      </c>
    </row>
    <row r="2377" spans="1:17" x14ac:dyDescent="0.25">
      <c r="A2377" s="247" t="s">
        <v>646</v>
      </c>
      <c r="B2377" s="247" t="s">
        <v>265</v>
      </c>
      <c r="C2377" s="247" t="s">
        <v>1343</v>
      </c>
      <c r="D2377" s="247" t="s">
        <v>569</v>
      </c>
      <c r="E2377" s="247" t="s">
        <v>1320</v>
      </c>
      <c r="F2377" s="247" t="s">
        <v>2198</v>
      </c>
      <c r="G2377" s="247" t="s">
        <v>1352</v>
      </c>
      <c r="H2377" s="247" t="s">
        <v>2022</v>
      </c>
      <c r="I2377" s="247" t="s">
        <v>2199</v>
      </c>
      <c r="J2377" s="247">
        <v>83</v>
      </c>
      <c r="K2377" s="247">
        <v>83</v>
      </c>
      <c r="L2377" s="249" t="s">
        <v>938</v>
      </c>
      <c r="M2377" s="249" t="s">
        <v>929</v>
      </c>
      <c r="N2377" s="248">
        <v>0</v>
      </c>
      <c r="O2377" s="248">
        <v>7347</v>
      </c>
      <c r="P2377" s="247" t="s">
        <v>1433</v>
      </c>
      <c r="Q2377" s="247" t="s">
        <v>92</v>
      </c>
    </row>
    <row r="2378" spans="1:17" x14ac:dyDescent="0.25">
      <c r="A2378" s="247" t="s">
        <v>646</v>
      </c>
      <c r="B2378" s="247" t="s">
        <v>265</v>
      </c>
      <c r="C2378" s="247" t="s">
        <v>1343</v>
      </c>
      <c r="D2378" s="247" t="s">
        <v>569</v>
      </c>
      <c r="E2378" s="247" t="s">
        <v>1320</v>
      </c>
      <c r="F2378" s="247" t="s">
        <v>2198</v>
      </c>
      <c r="G2378" s="247" t="s">
        <v>1352</v>
      </c>
      <c r="H2378" s="247" t="s">
        <v>2022</v>
      </c>
      <c r="I2378" s="247" t="s">
        <v>2199</v>
      </c>
      <c r="J2378" s="247">
        <v>83</v>
      </c>
      <c r="K2378" s="247">
        <v>83</v>
      </c>
      <c r="L2378" s="249" t="s">
        <v>939</v>
      </c>
      <c r="M2378" s="249" t="s">
        <v>929</v>
      </c>
      <c r="N2378" s="248">
        <v>0</v>
      </c>
      <c r="O2378" s="248">
        <v>7347</v>
      </c>
      <c r="P2378" s="247" t="s">
        <v>1433</v>
      </c>
      <c r="Q2378" s="247" t="s">
        <v>93</v>
      </c>
    </row>
    <row r="2379" spans="1:17" x14ac:dyDescent="0.25">
      <c r="A2379" s="247" t="s">
        <v>646</v>
      </c>
      <c r="B2379" s="247" t="s">
        <v>265</v>
      </c>
      <c r="C2379" s="247" t="s">
        <v>1343</v>
      </c>
      <c r="D2379" s="247" t="s">
        <v>569</v>
      </c>
      <c r="E2379" s="247" t="s">
        <v>1320</v>
      </c>
      <c r="F2379" s="247" t="s">
        <v>2198</v>
      </c>
      <c r="G2379" s="247" t="s">
        <v>1352</v>
      </c>
      <c r="H2379" s="247" t="s">
        <v>2022</v>
      </c>
      <c r="I2379" s="247" t="s">
        <v>2199</v>
      </c>
      <c r="J2379" s="247">
        <v>83</v>
      </c>
      <c r="K2379" s="247">
        <v>83</v>
      </c>
      <c r="L2379" s="249" t="s">
        <v>940</v>
      </c>
      <c r="M2379" s="249" t="s">
        <v>929</v>
      </c>
      <c r="N2379" s="248">
        <v>0</v>
      </c>
      <c r="O2379" s="248">
        <v>7347</v>
      </c>
      <c r="P2379" s="247" t="s">
        <v>1433</v>
      </c>
      <c r="Q2379" s="247" t="s">
        <v>94</v>
      </c>
    </row>
    <row r="2380" spans="1:17" x14ac:dyDescent="0.25">
      <c r="A2380" s="247" t="s">
        <v>646</v>
      </c>
      <c r="B2380" s="247" t="s">
        <v>265</v>
      </c>
      <c r="C2380" s="247" t="s">
        <v>1343</v>
      </c>
      <c r="D2380" s="247" t="s">
        <v>569</v>
      </c>
      <c r="E2380" s="247" t="s">
        <v>1320</v>
      </c>
      <c r="F2380" s="247" t="s">
        <v>2198</v>
      </c>
      <c r="G2380" s="247" t="s">
        <v>1352</v>
      </c>
      <c r="H2380" s="247" t="s">
        <v>2022</v>
      </c>
      <c r="I2380" s="247" t="s">
        <v>2199</v>
      </c>
      <c r="J2380" s="247">
        <v>83</v>
      </c>
      <c r="K2380" s="247">
        <v>83</v>
      </c>
      <c r="L2380" s="249" t="s">
        <v>642</v>
      </c>
      <c r="M2380" s="249" t="s">
        <v>929</v>
      </c>
      <c r="N2380" s="248">
        <v>0</v>
      </c>
      <c r="O2380" s="248">
        <v>7347</v>
      </c>
      <c r="P2380" s="247" t="s">
        <v>1433</v>
      </c>
      <c r="Q2380" s="247" t="s">
        <v>95</v>
      </c>
    </row>
    <row r="2381" spans="1:17" x14ac:dyDescent="0.25">
      <c r="A2381" s="247" t="s">
        <v>646</v>
      </c>
      <c r="B2381" s="247" t="s">
        <v>265</v>
      </c>
      <c r="C2381" s="247" t="s">
        <v>1343</v>
      </c>
      <c r="D2381" s="247" t="s">
        <v>575</v>
      </c>
      <c r="E2381" s="247" t="s">
        <v>1320</v>
      </c>
      <c r="F2381" s="247" t="s">
        <v>2200</v>
      </c>
      <c r="G2381" s="247" t="s">
        <v>1354</v>
      </c>
      <c r="H2381" s="247" t="s">
        <v>2022</v>
      </c>
      <c r="I2381" s="247" t="s">
        <v>2201</v>
      </c>
      <c r="J2381" s="247">
        <v>83</v>
      </c>
      <c r="K2381" s="247">
        <v>83</v>
      </c>
      <c r="L2381" s="249" t="s">
        <v>646</v>
      </c>
      <c r="M2381" s="249" t="s">
        <v>933</v>
      </c>
      <c r="N2381" s="248">
        <v>986.43</v>
      </c>
      <c r="O2381" s="248">
        <v>7225.81</v>
      </c>
      <c r="P2381" s="247" t="s">
        <v>1434</v>
      </c>
      <c r="Q2381" s="247" t="s">
        <v>84</v>
      </c>
    </row>
    <row r="2382" spans="1:17" x14ac:dyDescent="0.25">
      <c r="A2382" s="247" t="s">
        <v>646</v>
      </c>
      <c r="B2382" s="247" t="s">
        <v>265</v>
      </c>
      <c r="C2382" s="247" t="s">
        <v>1343</v>
      </c>
      <c r="D2382" s="247" t="s">
        <v>575</v>
      </c>
      <c r="E2382" s="247" t="s">
        <v>1320</v>
      </c>
      <c r="F2382" s="247" t="s">
        <v>2200</v>
      </c>
      <c r="G2382" s="247" t="s">
        <v>1354</v>
      </c>
      <c r="H2382" s="247" t="s">
        <v>2022</v>
      </c>
      <c r="I2382" s="247" t="s">
        <v>2201</v>
      </c>
      <c r="J2382" s="247">
        <v>83</v>
      </c>
      <c r="K2382" s="247">
        <v>83</v>
      </c>
      <c r="L2382" s="249" t="s">
        <v>650</v>
      </c>
      <c r="M2382" s="249" t="s">
        <v>933</v>
      </c>
      <c r="N2382" s="248">
        <v>657.62</v>
      </c>
      <c r="O2382" s="248">
        <v>7883.43</v>
      </c>
      <c r="P2382" s="247" t="s">
        <v>1434</v>
      </c>
      <c r="Q2382" s="247" t="s">
        <v>85</v>
      </c>
    </row>
    <row r="2383" spans="1:17" x14ac:dyDescent="0.25">
      <c r="A2383" s="247" t="s">
        <v>646</v>
      </c>
      <c r="B2383" s="247" t="s">
        <v>265</v>
      </c>
      <c r="C2383" s="247" t="s">
        <v>1343</v>
      </c>
      <c r="D2383" s="247" t="s">
        <v>575</v>
      </c>
      <c r="E2383" s="247" t="s">
        <v>1320</v>
      </c>
      <c r="F2383" s="247" t="s">
        <v>2200</v>
      </c>
      <c r="G2383" s="247" t="s">
        <v>1354</v>
      </c>
      <c r="H2383" s="247" t="s">
        <v>2022</v>
      </c>
      <c r="I2383" s="247" t="s">
        <v>2201</v>
      </c>
      <c r="J2383" s="247">
        <v>83</v>
      </c>
      <c r="K2383" s="247">
        <v>83</v>
      </c>
      <c r="L2383" s="249" t="s">
        <v>652</v>
      </c>
      <c r="M2383" s="249" t="s">
        <v>933</v>
      </c>
      <c r="N2383" s="248">
        <v>657.62</v>
      </c>
      <c r="O2383" s="248">
        <v>8541.0499999999993</v>
      </c>
      <c r="P2383" s="247" t="s">
        <v>1434</v>
      </c>
      <c r="Q2383" s="247" t="s">
        <v>86</v>
      </c>
    </row>
    <row r="2384" spans="1:17" x14ac:dyDescent="0.25">
      <c r="A2384" s="247" t="s">
        <v>646</v>
      </c>
      <c r="B2384" s="247" t="s">
        <v>265</v>
      </c>
      <c r="C2384" s="247" t="s">
        <v>1343</v>
      </c>
      <c r="D2384" s="247" t="s">
        <v>575</v>
      </c>
      <c r="E2384" s="247" t="s">
        <v>1320</v>
      </c>
      <c r="F2384" s="247" t="s">
        <v>2200</v>
      </c>
      <c r="G2384" s="247" t="s">
        <v>1354</v>
      </c>
      <c r="H2384" s="247" t="s">
        <v>2022</v>
      </c>
      <c r="I2384" s="247" t="s">
        <v>2201</v>
      </c>
      <c r="J2384" s="247">
        <v>83</v>
      </c>
      <c r="K2384" s="247">
        <v>83</v>
      </c>
      <c r="L2384" s="249" t="s">
        <v>789</v>
      </c>
      <c r="M2384" s="249" t="s">
        <v>929</v>
      </c>
      <c r="N2384" s="248">
        <v>657.62</v>
      </c>
      <c r="O2384" s="248">
        <v>657.62</v>
      </c>
      <c r="P2384" s="247" t="s">
        <v>1434</v>
      </c>
      <c r="Q2384" s="247" t="s">
        <v>87</v>
      </c>
    </row>
    <row r="2385" spans="1:17" x14ac:dyDescent="0.25">
      <c r="A2385" s="247" t="s">
        <v>646</v>
      </c>
      <c r="B2385" s="247" t="s">
        <v>265</v>
      </c>
      <c r="C2385" s="247" t="s">
        <v>1343</v>
      </c>
      <c r="D2385" s="247" t="s">
        <v>575</v>
      </c>
      <c r="E2385" s="247" t="s">
        <v>1320</v>
      </c>
      <c r="F2385" s="247" t="s">
        <v>2200</v>
      </c>
      <c r="G2385" s="247" t="s">
        <v>1354</v>
      </c>
      <c r="H2385" s="247" t="s">
        <v>2022</v>
      </c>
      <c r="I2385" s="247" t="s">
        <v>2201</v>
      </c>
      <c r="J2385" s="247">
        <v>83</v>
      </c>
      <c r="K2385" s="247">
        <v>83</v>
      </c>
      <c r="L2385" s="249" t="s">
        <v>791</v>
      </c>
      <c r="M2385" s="249" t="s">
        <v>929</v>
      </c>
      <c r="N2385" s="248">
        <v>657.62</v>
      </c>
      <c r="O2385" s="248">
        <v>1315.24</v>
      </c>
      <c r="P2385" s="247" t="s">
        <v>1434</v>
      </c>
      <c r="Q2385" s="247" t="s">
        <v>88</v>
      </c>
    </row>
    <row r="2386" spans="1:17" x14ac:dyDescent="0.25">
      <c r="A2386" s="247" t="s">
        <v>646</v>
      </c>
      <c r="B2386" s="247" t="s">
        <v>265</v>
      </c>
      <c r="C2386" s="247" t="s">
        <v>1343</v>
      </c>
      <c r="D2386" s="247" t="s">
        <v>575</v>
      </c>
      <c r="E2386" s="247" t="s">
        <v>1320</v>
      </c>
      <c r="F2386" s="247" t="s">
        <v>2200</v>
      </c>
      <c r="G2386" s="247" t="s">
        <v>1354</v>
      </c>
      <c r="H2386" s="247" t="s">
        <v>2022</v>
      </c>
      <c r="I2386" s="247" t="s">
        <v>2201</v>
      </c>
      <c r="J2386" s="247">
        <v>83</v>
      </c>
      <c r="K2386" s="247">
        <v>83</v>
      </c>
      <c r="L2386" s="249" t="s">
        <v>935</v>
      </c>
      <c r="M2386" s="249" t="s">
        <v>929</v>
      </c>
      <c r="N2386" s="248">
        <v>657.62</v>
      </c>
      <c r="O2386" s="248">
        <v>1972.86</v>
      </c>
      <c r="P2386" s="247" t="s">
        <v>1434</v>
      </c>
      <c r="Q2386" s="247" t="s">
        <v>89</v>
      </c>
    </row>
    <row r="2387" spans="1:17" x14ac:dyDescent="0.25">
      <c r="A2387" s="247" t="s">
        <v>646</v>
      </c>
      <c r="B2387" s="247" t="s">
        <v>265</v>
      </c>
      <c r="C2387" s="247" t="s">
        <v>1343</v>
      </c>
      <c r="D2387" s="247" t="s">
        <v>575</v>
      </c>
      <c r="E2387" s="247" t="s">
        <v>1320</v>
      </c>
      <c r="F2387" s="247" t="s">
        <v>2200</v>
      </c>
      <c r="G2387" s="247" t="s">
        <v>1354</v>
      </c>
      <c r="H2387" s="247" t="s">
        <v>2022</v>
      </c>
      <c r="I2387" s="247" t="s">
        <v>2201</v>
      </c>
      <c r="J2387" s="247">
        <v>83</v>
      </c>
      <c r="K2387" s="247">
        <v>83</v>
      </c>
      <c r="L2387" s="249" t="s">
        <v>936</v>
      </c>
      <c r="M2387" s="249" t="s">
        <v>929</v>
      </c>
      <c r="N2387" s="248">
        <v>1436.66</v>
      </c>
      <c r="O2387" s="248">
        <v>3409.52</v>
      </c>
      <c r="P2387" s="247" t="s">
        <v>1434</v>
      </c>
      <c r="Q2387" s="247" t="s">
        <v>90</v>
      </c>
    </row>
    <row r="2388" spans="1:17" x14ac:dyDescent="0.25">
      <c r="A2388" s="247" t="s">
        <v>646</v>
      </c>
      <c r="B2388" s="247" t="s">
        <v>265</v>
      </c>
      <c r="C2388" s="247" t="s">
        <v>1343</v>
      </c>
      <c r="D2388" s="247" t="s">
        <v>575</v>
      </c>
      <c r="E2388" s="247" t="s">
        <v>1320</v>
      </c>
      <c r="F2388" s="247" t="s">
        <v>2200</v>
      </c>
      <c r="G2388" s="247" t="s">
        <v>1354</v>
      </c>
      <c r="H2388" s="247" t="s">
        <v>2022</v>
      </c>
      <c r="I2388" s="247" t="s">
        <v>2201</v>
      </c>
      <c r="J2388" s="247">
        <v>83</v>
      </c>
      <c r="K2388" s="247">
        <v>83</v>
      </c>
      <c r="L2388" s="249" t="s">
        <v>937</v>
      </c>
      <c r="M2388" s="249" t="s">
        <v>929</v>
      </c>
      <c r="N2388" s="248">
        <v>957.77</v>
      </c>
      <c r="O2388" s="248">
        <v>4367.29</v>
      </c>
      <c r="P2388" s="247" t="s">
        <v>1434</v>
      </c>
      <c r="Q2388" s="247" t="s">
        <v>91</v>
      </c>
    </row>
    <row r="2389" spans="1:17" x14ac:dyDescent="0.25">
      <c r="A2389" s="247" t="s">
        <v>646</v>
      </c>
      <c r="B2389" s="247" t="s">
        <v>265</v>
      </c>
      <c r="C2389" s="247" t="s">
        <v>1343</v>
      </c>
      <c r="D2389" s="247" t="s">
        <v>575</v>
      </c>
      <c r="E2389" s="247" t="s">
        <v>1320</v>
      </c>
      <c r="F2389" s="247" t="s">
        <v>2200</v>
      </c>
      <c r="G2389" s="247" t="s">
        <v>1354</v>
      </c>
      <c r="H2389" s="247" t="s">
        <v>2022</v>
      </c>
      <c r="I2389" s="247" t="s">
        <v>2201</v>
      </c>
      <c r="J2389" s="247">
        <v>83</v>
      </c>
      <c r="K2389" s="247">
        <v>83</v>
      </c>
      <c r="L2389" s="249" t="s">
        <v>938</v>
      </c>
      <c r="M2389" s="249" t="s">
        <v>929</v>
      </c>
      <c r="N2389" s="248">
        <v>957.77</v>
      </c>
      <c r="O2389" s="248">
        <v>5325.06</v>
      </c>
      <c r="P2389" s="247" t="s">
        <v>1434</v>
      </c>
      <c r="Q2389" s="247" t="s">
        <v>92</v>
      </c>
    </row>
    <row r="2390" spans="1:17" x14ac:dyDescent="0.25">
      <c r="A2390" s="247" t="s">
        <v>646</v>
      </c>
      <c r="B2390" s="247" t="s">
        <v>265</v>
      </c>
      <c r="C2390" s="247" t="s">
        <v>1343</v>
      </c>
      <c r="D2390" s="247" t="s">
        <v>575</v>
      </c>
      <c r="E2390" s="247" t="s">
        <v>1320</v>
      </c>
      <c r="F2390" s="247" t="s">
        <v>2200</v>
      </c>
      <c r="G2390" s="247" t="s">
        <v>1354</v>
      </c>
      <c r="H2390" s="247" t="s">
        <v>2022</v>
      </c>
      <c r="I2390" s="247" t="s">
        <v>2201</v>
      </c>
      <c r="J2390" s="247">
        <v>83</v>
      </c>
      <c r="K2390" s="247">
        <v>83</v>
      </c>
      <c r="L2390" s="249" t="s">
        <v>939</v>
      </c>
      <c r="M2390" s="249" t="s">
        <v>929</v>
      </c>
      <c r="N2390" s="248">
        <v>0</v>
      </c>
      <c r="O2390" s="248">
        <v>5325.06</v>
      </c>
      <c r="P2390" s="247" t="s">
        <v>1434</v>
      </c>
      <c r="Q2390" s="247" t="s">
        <v>93</v>
      </c>
    </row>
    <row r="2391" spans="1:17" x14ac:dyDescent="0.25">
      <c r="A2391" s="247" t="s">
        <v>646</v>
      </c>
      <c r="B2391" s="247" t="s">
        <v>265</v>
      </c>
      <c r="C2391" s="247" t="s">
        <v>1343</v>
      </c>
      <c r="D2391" s="247" t="s">
        <v>575</v>
      </c>
      <c r="E2391" s="247" t="s">
        <v>1320</v>
      </c>
      <c r="F2391" s="247" t="s">
        <v>2200</v>
      </c>
      <c r="G2391" s="247" t="s">
        <v>1354</v>
      </c>
      <c r="H2391" s="247" t="s">
        <v>2022</v>
      </c>
      <c r="I2391" s="247" t="s">
        <v>2201</v>
      </c>
      <c r="J2391" s="247">
        <v>83</v>
      </c>
      <c r="K2391" s="247">
        <v>83</v>
      </c>
      <c r="L2391" s="249" t="s">
        <v>940</v>
      </c>
      <c r="M2391" s="249" t="s">
        <v>929</v>
      </c>
      <c r="N2391" s="248">
        <v>0</v>
      </c>
      <c r="O2391" s="248">
        <v>5325.06</v>
      </c>
      <c r="P2391" s="247" t="s">
        <v>1434</v>
      </c>
      <c r="Q2391" s="247" t="s">
        <v>94</v>
      </c>
    </row>
    <row r="2392" spans="1:17" x14ac:dyDescent="0.25">
      <c r="A2392" s="247" t="s">
        <v>646</v>
      </c>
      <c r="B2392" s="247" t="s">
        <v>265</v>
      </c>
      <c r="C2392" s="247" t="s">
        <v>1343</v>
      </c>
      <c r="D2392" s="247" t="s">
        <v>575</v>
      </c>
      <c r="E2392" s="247" t="s">
        <v>1320</v>
      </c>
      <c r="F2392" s="247" t="s">
        <v>2200</v>
      </c>
      <c r="G2392" s="247" t="s">
        <v>1354</v>
      </c>
      <c r="H2392" s="247" t="s">
        <v>2022</v>
      </c>
      <c r="I2392" s="247" t="s">
        <v>2201</v>
      </c>
      <c r="J2392" s="247">
        <v>83</v>
      </c>
      <c r="K2392" s="247">
        <v>83</v>
      </c>
      <c r="L2392" s="249" t="s">
        <v>642</v>
      </c>
      <c r="M2392" s="249" t="s">
        <v>929</v>
      </c>
      <c r="N2392" s="248">
        <v>0</v>
      </c>
      <c r="O2392" s="248">
        <v>5325.06</v>
      </c>
      <c r="P2392" s="247" t="s">
        <v>1434</v>
      </c>
      <c r="Q2392" s="247" t="s">
        <v>95</v>
      </c>
    </row>
    <row r="2393" spans="1:17" x14ac:dyDescent="0.25">
      <c r="A2393" s="247" t="s">
        <v>646</v>
      </c>
      <c r="B2393" s="247" t="s">
        <v>265</v>
      </c>
      <c r="C2393" s="247" t="s">
        <v>1343</v>
      </c>
      <c r="D2393" s="247" t="s">
        <v>1356</v>
      </c>
      <c r="E2393" s="247" t="s">
        <v>1320</v>
      </c>
      <c r="F2393" s="247" t="s">
        <v>2202</v>
      </c>
      <c r="G2393" s="247" t="s">
        <v>1357</v>
      </c>
      <c r="H2393" s="247" t="s">
        <v>2022</v>
      </c>
      <c r="I2393" s="247" t="s">
        <v>2203</v>
      </c>
      <c r="J2393" s="247">
        <v>83</v>
      </c>
      <c r="K2393" s="247">
        <v>83</v>
      </c>
      <c r="L2393" s="249" t="s">
        <v>646</v>
      </c>
      <c r="M2393" s="249" t="s">
        <v>933</v>
      </c>
      <c r="N2393" s="248">
        <v>0</v>
      </c>
      <c r="O2393" s="248">
        <v>42</v>
      </c>
      <c r="P2393" s="247" t="s">
        <v>1435</v>
      </c>
      <c r="Q2393" s="247" t="s">
        <v>84</v>
      </c>
    </row>
    <row r="2394" spans="1:17" x14ac:dyDescent="0.25">
      <c r="A2394" s="247" t="s">
        <v>646</v>
      </c>
      <c r="B2394" s="247" t="s">
        <v>265</v>
      </c>
      <c r="C2394" s="247" t="s">
        <v>1343</v>
      </c>
      <c r="D2394" s="247" t="s">
        <v>1356</v>
      </c>
      <c r="E2394" s="247" t="s">
        <v>1320</v>
      </c>
      <c r="F2394" s="247" t="s">
        <v>2202</v>
      </c>
      <c r="G2394" s="247" t="s">
        <v>1357</v>
      </c>
      <c r="H2394" s="247" t="s">
        <v>2022</v>
      </c>
      <c r="I2394" s="247" t="s">
        <v>2203</v>
      </c>
      <c r="J2394" s="247">
        <v>83</v>
      </c>
      <c r="K2394" s="247">
        <v>83</v>
      </c>
      <c r="L2394" s="249" t="s">
        <v>650</v>
      </c>
      <c r="M2394" s="249" t="s">
        <v>933</v>
      </c>
      <c r="N2394" s="248">
        <v>0</v>
      </c>
      <c r="O2394" s="248">
        <v>42</v>
      </c>
      <c r="P2394" s="247" t="s">
        <v>1435</v>
      </c>
      <c r="Q2394" s="247" t="s">
        <v>85</v>
      </c>
    </row>
    <row r="2395" spans="1:17" x14ac:dyDescent="0.25">
      <c r="A2395" s="247" t="s">
        <v>646</v>
      </c>
      <c r="B2395" s="247" t="s">
        <v>265</v>
      </c>
      <c r="C2395" s="247" t="s">
        <v>1343</v>
      </c>
      <c r="D2395" s="247" t="s">
        <v>1356</v>
      </c>
      <c r="E2395" s="247" t="s">
        <v>1320</v>
      </c>
      <c r="F2395" s="247" t="s">
        <v>2202</v>
      </c>
      <c r="G2395" s="247" t="s">
        <v>1357</v>
      </c>
      <c r="H2395" s="247" t="s">
        <v>2022</v>
      </c>
      <c r="I2395" s="247" t="s">
        <v>2203</v>
      </c>
      <c r="J2395" s="247">
        <v>83</v>
      </c>
      <c r="K2395" s="247">
        <v>83</v>
      </c>
      <c r="L2395" s="249" t="s">
        <v>652</v>
      </c>
      <c r="M2395" s="249" t="s">
        <v>933</v>
      </c>
      <c r="N2395" s="248">
        <v>0</v>
      </c>
      <c r="O2395" s="248">
        <v>42</v>
      </c>
      <c r="P2395" s="247" t="s">
        <v>1435</v>
      </c>
      <c r="Q2395" s="247" t="s">
        <v>86</v>
      </c>
    </row>
    <row r="2396" spans="1:17" x14ac:dyDescent="0.25">
      <c r="A2396" s="247" t="s">
        <v>646</v>
      </c>
      <c r="B2396" s="247" t="s">
        <v>265</v>
      </c>
      <c r="C2396" s="247" t="s">
        <v>1343</v>
      </c>
      <c r="D2396" s="247" t="s">
        <v>1356</v>
      </c>
      <c r="E2396" s="247" t="s">
        <v>1320</v>
      </c>
      <c r="F2396" s="247" t="s">
        <v>2202</v>
      </c>
      <c r="G2396" s="247" t="s">
        <v>1357</v>
      </c>
      <c r="H2396" s="247" t="s">
        <v>2022</v>
      </c>
      <c r="I2396" s="247" t="s">
        <v>2203</v>
      </c>
      <c r="J2396" s="247">
        <v>83</v>
      </c>
      <c r="K2396" s="247">
        <v>83</v>
      </c>
      <c r="L2396" s="249" t="s">
        <v>789</v>
      </c>
      <c r="M2396" s="249" t="s">
        <v>929</v>
      </c>
      <c r="N2396" s="248">
        <v>42</v>
      </c>
      <c r="O2396" s="248">
        <v>42</v>
      </c>
      <c r="P2396" s="247" t="s">
        <v>1435</v>
      </c>
      <c r="Q2396" s="247" t="s">
        <v>87</v>
      </c>
    </row>
    <row r="2397" spans="1:17" x14ac:dyDescent="0.25">
      <c r="A2397" s="247" t="s">
        <v>646</v>
      </c>
      <c r="B2397" s="247" t="s">
        <v>265</v>
      </c>
      <c r="C2397" s="247" t="s">
        <v>1343</v>
      </c>
      <c r="D2397" s="247" t="s">
        <v>1356</v>
      </c>
      <c r="E2397" s="247" t="s">
        <v>1320</v>
      </c>
      <c r="F2397" s="247" t="s">
        <v>2202</v>
      </c>
      <c r="G2397" s="247" t="s">
        <v>1357</v>
      </c>
      <c r="H2397" s="247" t="s">
        <v>2022</v>
      </c>
      <c r="I2397" s="247" t="s">
        <v>2203</v>
      </c>
      <c r="J2397" s="247">
        <v>83</v>
      </c>
      <c r="K2397" s="247">
        <v>83</v>
      </c>
      <c r="L2397" s="249" t="s">
        <v>791</v>
      </c>
      <c r="M2397" s="249" t="s">
        <v>929</v>
      </c>
      <c r="N2397" s="248">
        <v>0</v>
      </c>
      <c r="O2397" s="248">
        <v>42</v>
      </c>
      <c r="P2397" s="247" t="s">
        <v>1435</v>
      </c>
      <c r="Q2397" s="247" t="s">
        <v>88</v>
      </c>
    </row>
    <row r="2398" spans="1:17" x14ac:dyDescent="0.25">
      <c r="A2398" s="247" t="s">
        <v>646</v>
      </c>
      <c r="B2398" s="247" t="s">
        <v>265</v>
      </c>
      <c r="C2398" s="247" t="s">
        <v>1343</v>
      </c>
      <c r="D2398" s="247" t="s">
        <v>1356</v>
      </c>
      <c r="E2398" s="247" t="s">
        <v>1320</v>
      </c>
      <c r="F2398" s="247" t="s">
        <v>2202</v>
      </c>
      <c r="G2398" s="247" t="s">
        <v>1357</v>
      </c>
      <c r="H2398" s="247" t="s">
        <v>2022</v>
      </c>
      <c r="I2398" s="247" t="s">
        <v>2203</v>
      </c>
      <c r="J2398" s="247">
        <v>83</v>
      </c>
      <c r="K2398" s="247">
        <v>83</v>
      </c>
      <c r="L2398" s="249" t="s">
        <v>935</v>
      </c>
      <c r="M2398" s="249" t="s">
        <v>929</v>
      </c>
      <c r="N2398" s="248">
        <v>0</v>
      </c>
      <c r="O2398" s="248">
        <v>42</v>
      </c>
      <c r="P2398" s="247" t="s">
        <v>1435</v>
      </c>
      <c r="Q2398" s="247" t="s">
        <v>89</v>
      </c>
    </row>
    <row r="2399" spans="1:17" x14ac:dyDescent="0.25">
      <c r="A2399" s="247" t="s">
        <v>646</v>
      </c>
      <c r="B2399" s="247" t="s">
        <v>265</v>
      </c>
      <c r="C2399" s="247" t="s">
        <v>1343</v>
      </c>
      <c r="D2399" s="247" t="s">
        <v>1356</v>
      </c>
      <c r="E2399" s="247" t="s">
        <v>1320</v>
      </c>
      <c r="F2399" s="247" t="s">
        <v>2202</v>
      </c>
      <c r="G2399" s="247" t="s">
        <v>1357</v>
      </c>
      <c r="H2399" s="247" t="s">
        <v>2022</v>
      </c>
      <c r="I2399" s="247" t="s">
        <v>2203</v>
      </c>
      <c r="J2399" s="247">
        <v>83</v>
      </c>
      <c r="K2399" s="247">
        <v>83</v>
      </c>
      <c r="L2399" s="249" t="s">
        <v>936</v>
      </c>
      <c r="M2399" s="249" t="s">
        <v>929</v>
      </c>
      <c r="N2399" s="248">
        <v>0</v>
      </c>
      <c r="O2399" s="248">
        <v>42</v>
      </c>
      <c r="P2399" s="247" t="s">
        <v>1435</v>
      </c>
      <c r="Q2399" s="247" t="s">
        <v>90</v>
      </c>
    </row>
    <row r="2400" spans="1:17" x14ac:dyDescent="0.25">
      <c r="A2400" s="247" t="s">
        <v>646</v>
      </c>
      <c r="B2400" s="247" t="s">
        <v>265</v>
      </c>
      <c r="C2400" s="247" t="s">
        <v>1343</v>
      </c>
      <c r="D2400" s="247" t="s">
        <v>1356</v>
      </c>
      <c r="E2400" s="247" t="s">
        <v>1320</v>
      </c>
      <c r="F2400" s="247" t="s">
        <v>2202</v>
      </c>
      <c r="G2400" s="247" t="s">
        <v>1357</v>
      </c>
      <c r="H2400" s="247" t="s">
        <v>2022</v>
      </c>
      <c r="I2400" s="247" t="s">
        <v>2203</v>
      </c>
      <c r="J2400" s="247">
        <v>83</v>
      </c>
      <c r="K2400" s="247">
        <v>83</v>
      </c>
      <c r="L2400" s="249" t="s">
        <v>937</v>
      </c>
      <c r="M2400" s="249" t="s">
        <v>929</v>
      </c>
      <c r="N2400" s="248">
        <v>0</v>
      </c>
      <c r="O2400" s="248">
        <v>42</v>
      </c>
      <c r="P2400" s="247" t="s">
        <v>1435</v>
      </c>
      <c r="Q2400" s="247" t="s">
        <v>91</v>
      </c>
    </row>
    <row r="2401" spans="1:17" x14ac:dyDescent="0.25">
      <c r="A2401" s="247" t="s">
        <v>646</v>
      </c>
      <c r="B2401" s="247" t="s">
        <v>265</v>
      </c>
      <c r="C2401" s="247" t="s">
        <v>1343</v>
      </c>
      <c r="D2401" s="247" t="s">
        <v>1356</v>
      </c>
      <c r="E2401" s="247" t="s">
        <v>1320</v>
      </c>
      <c r="F2401" s="247" t="s">
        <v>2202</v>
      </c>
      <c r="G2401" s="247" t="s">
        <v>1357</v>
      </c>
      <c r="H2401" s="247" t="s">
        <v>2022</v>
      </c>
      <c r="I2401" s="247" t="s">
        <v>2203</v>
      </c>
      <c r="J2401" s="247">
        <v>83</v>
      </c>
      <c r="K2401" s="247">
        <v>83</v>
      </c>
      <c r="L2401" s="249" t="s">
        <v>938</v>
      </c>
      <c r="M2401" s="249" t="s">
        <v>929</v>
      </c>
      <c r="N2401" s="248">
        <v>0</v>
      </c>
      <c r="O2401" s="248">
        <v>42</v>
      </c>
      <c r="P2401" s="247" t="s">
        <v>1435</v>
      </c>
      <c r="Q2401" s="247" t="s">
        <v>92</v>
      </c>
    </row>
    <row r="2402" spans="1:17" x14ac:dyDescent="0.25">
      <c r="A2402" s="247" t="s">
        <v>646</v>
      </c>
      <c r="B2402" s="247" t="s">
        <v>265</v>
      </c>
      <c r="C2402" s="247" t="s">
        <v>1343</v>
      </c>
      <c r="D2402" s="247" t="s">
        <v>1356</v>
      </c>
      <c r="E2402" s="247" t="s">
        <v>1320</v>
      </c>
      <c r="F2402" s="247" t="s">
        <v>2202</v>
      </c>
      <c r="G2402" s="247" t="s">
        <v>1357</v>
      </c>
      <c r="H2402" s="247" t="s">
        <v>2022</v>
      </c>
      <c r="I2402" s="247" t="s">
        <v>2203</v>
      </c>
      <c r="J2402" s="247">
        <v>83</v>
      </c>
      <c r="K2402" s="247">
        <v>83</v>
      </c>
      <c r="L2402" s="249" t="s">
        <v>939</v>
      </c>
      <c r="M2402" s="249" t="s">
        <v>929</v>
      </c>
      <c r="N2402" s="248">
        <v>0</v>
      </c>
      <c r="O2402" s="248">
        <v>42</v>
      </c>
      <c r="P2402" s="247" t="s">
        <v>1435</v>
      </c>
      <c r="Q2402" s="247" t="s">
        <v>93</v>
      </c>
    </row>
    <row r="2403" spans="1:17" x14ac:dyDescent="0.25">
      <c r="A2403" s="247" t="s">
        <v>646</v>
      </c>
      <c r="B2403" s="247" t="s">
        <v>265</v>
      </c>
      <c r="C2403" s="247" t="s">
        <v>1343</v>
      </c>
      <c r="D2403" s="247" t="s">
        <v>1356</v>
      </c>
      <c r="E2403" s="247" t="s">
        <v>1320</v>
      </c>
      <c r="F2403" s="247" t="s">
        <v>2202</v>
      </c>
      <c r="G2403" s="247" t="s">
        <v>1357</v>
      </c>
      <c r="H2403" s="247" t="s">
        <v>2022</v>
      </c>
      <c r="I2403" s="247" t="s">
        <v>2203</v>
      </c>
      <c r="J2403" s="247">
        <v>83</v>
      </c>
      <c r="K2403" s="247">
        <v>83</v>
      </c>
      <c r="L2403" s="249" t="s">
        <v>940</v>
      </c>
      <c r="M2403" s="249" t="s">
        <v>929</v>
      </c>
      <c r="N2403" s="248">
        <v>0</v>
      </c>
      <c r="O2403" s="248">
        <v>42</v>
      </c>
      <c r="P2403" s="247" t="s">
        <v>1435</v>
      </c>
      <c r="Q2403" s="247" t="s">
        <v>94</v>
      </c>
    </row>
    <row r="2404" spans="1:17" x14ac:dyDescent="0.25">
      <c r="A2404" s="247" t="s">
        <v>646</v>
      </c>
      <c r="B2404" s="247" t="s">
        <v>265</v>
      </c>
      <c r="C2404" s="247" t="s">
        <v>1343</v>
      </c>
      <c r="D2404" s="247" t="s">
        <v>1356</v>
      </c>
      <c r="E2404" s="247" t="s">
        <v>1320</v>
      </c>
      <c r="F2404" s="247" t="s">
        <v>2202</v>
      </c>
      <c r="G2404" s="247" t="s">
        <v>1357</v>
      </c>
      <c r="H2404" s="247" t="s">
        <v>2022</v>
      </c>
      <c r="I2404" s="247" t="s">
        <v>2203</v>
      </c>
      <c r="J2404" s="247">
        <v>83</v>
      </c>
      <c r="K2404" s="247">
        <v>83</v>
      </c>
      <c r="L2404" s="249" t="s">
        <v>642</v>
      </c>
      <c r="M2404" s="249" t="s">
        <v>929</v>
      </c>
      <c r="N2404" s="248">
        <v>0</v>
      </c>
      <c r="O2404" s="248">
        <v>42</v>
      </c>
      <c r="P2404" s="247" t="s">
        <v>1435</v>
      </c>
      <c r="Q2404" s="247" t="s">
        <v>95</v>
      </c>
    </row>
    <row r="2405" spans="1:17" x14ac:dyDescent="0.25">
      <c r="A2405" s="247" t="s">
        <v>646</v>
      </c>
      <c r="B2405" s="247" t="s">
        <v>265</v>
      </c>
      <c r="C2405" s="247" t="s">
        <v>1343</v>
      </c>
      <c r="D2405" s="247" t="s">
        <v>946</v>
      </c>
      <c r="E2405" s="247" t="s">
        <v>1320</v>
      </c>
      <c r="F2405" s="247" t="s">
        <v>2204</v>
      </c>
      <c r="G2405" s="247" t="s">
        <v>1359</v>
      </c>
      <c r="H2405" s="247" t="s">
        <v>2022</v>
      </c>
      <c r="I2405" s="247" t="s">
        <v>2205</v>
      </c>
      <c r="J2405" s="247">
        <v>83</v>
      </c>
      <c r="K2405" s="247">
        <v>83</v>
      </c>
      <c r="L2405" s="249" t="s">
        <v>646</v>
      </c>
      <c r="M2405" s="249" t="s">
        <v>933</v>
      </c>
      <c r="N2405" s="248">
        <v>0</v>
      </c>
      <c r="O2405" s="248">
        <v>176.82</v>
      </c>
      <c r="P2405" s="247" t="s">
        <v>1436</v>
      </c>
      <c r="Q2405" s="247" t="s">
        <v>84</v>
      </c>
    </row>
    <row r="2406" spans="1:17" x14ac:dyDescent="0.25">
      <c r="A2406" s="247" t="s">
        <v>646</v>
      </c>
      <c r="B2406" s="247" t="s">
        <v>265</v>
      </c>
      <c r="C2406" s="247" t="s">
        <v>1343</v>
      </c>
      <c r="D2406" s="247" t="s">
        <v>946</v>
      </c>
      <c r="E2406" s="247" t="s">
        <v>1320</v>
      </c>
      <c r="F2406" s="247" t="s">
        <v>2204</v>
      </c>
      <c r="G2406" s="247" t="s">
        <v>1359</v>
      </c>
      <c r="H2406" s="247" t="s">
        <v>2022</v>
      </c>
      <c r="I2406" s="247" t="s">
        <v>2205</v>
      </c>
      <c r="J2406" s="247">
        <v>83</v>
      </c>
      <c r="K2406" s="247">
        <v>83</v>
      </c>
      <c r="L2406" s="249" t="s">
        <v>650</v>
      </c>
      <c r="M2406" s="249" t="s">
        <v>933</v>
      </c>
      <c r="N2406" s="248">
        <v>0</v>
      </c>
      <c r="O2406" s="248">
        <v>176.82</v>
      </c>
      <c r="P2406" s="247" t="s">
        <v>1436</v>
      </c>
      <c r="Q2406" s="247" t="s">
        <v>85</v>
      </c>
    </row>
    <row r="2407" spans="1:17" x14ac:dyDescent="0.25">
      <c r="A2407" s="247" t="s">
        <v>646</v>
      </c>
      <c r="B2407" s="247" t="s">
        <v>265</v>
      </c>
      <c r="C2407" s="247" t="s">
        <v>1343</v>
      </c>
      <c r="D2407" s="247" t="s">
        <v>946</v>
      </c>
      <c r="E2407" s="247" t="s">
        <v>1320</v>
      </c>
      <c r="F2407" s="247" t="s">
        <v>2204</v>
      </c>
      <c r="G2407" s="247" t="s">
        <v>1359</v>
      </c>
      <c r="H2407" s="247" t="s">
        <v>2022</v>
      </c>
      <c r="I2407" s="247" t="s">
        <v>2205</v>
      </c>
      <c r="J2407" s="247">
        <v>83</v>
      </c>
      <c r="K2407" s="247">
        <v>83</v>
      </c>
      <c r="L2407" s="249" t="s">
        <v>652</v>
      </c>
      <c r="M2407" s="249" t="s">
        <v>933</v>
      </c>
      <c r="N2407" s="248">
        <v>0</v>
      </c>
      <c r="O2407" s="248">
        <v>176.82</v>
      </c>
      <c r="P2407" s="247" t="s">
        <v>1436</v>
      </c>
      <c r="Q2407" s="247" t="s">
        <v>86</v>
      </c>
    </row>
    <row r="2408" spans="1:17" x14ac:dyDescent="0.25">
      <c r="A2408" s="247" t="s">
        <v>646</v>
      </c>
      <c r="B2408" s="247" t="s">
        <v>265</v>
      </c>
      <c r="C2408" s="247" t="s">
        <v>1343</v>
      </c>
      <c r="D2408" s="247" t="s">
        <v>946</v>
      </c>
      <c r="E2408" s="247" t="s">
        <v>1320</v>
      </c>
      <c r="F2408" s="247" t="s">
        <v>2204</v>
      </c>
      <c r="G2408" s="247" t="s">
        <v>1359</v>
      </c>
      <c r="H2408" s="247" t="s">
        <v>2022</v>
      </c>
      <c r="I2408" s="247" t="s">
        <v>2205</v>
      </c>
      <c r="J2408" s="247">
        <v>83</v>
      </c>
      <c r="K2408" s="247">
        <v>83</v>
      </c>
      <c r="L2408" s="249" t="s">
        <v>789</v>
      </c>
      <c r="M2408" s="249" t="s">
        <v>929</v>
      </c>
      <c r="N2408" s="248">
        <v>174.14</v>
      </c>
      <c r="O2408" s="248">
        <v>174.14</v>
      </c>
      <c r="P2408" s="247" t="s">
        <v>1436</v>
      </c>
      <c r="Q2408" s="247" t="s">
        <v>87</v>
      </c>
    </row>
    <row r="2409" spans="1:17" x14ac:dyDescent="0.25">
      <c r="A2409" s="247" t="s">
        <v>646</v>
      </c>
      <c r="B2409" s="247" t="s">
        <v>265</v>
      </c>
      <c r="C2409" s="247" t="s">
        <v>1343</v>
      </c>
      <c r="D2409" s="247" t="s">
        <v>946</v>
      </c>
      <c r="E2409" s="247" t="s">
        <v>1320</v>
      </c>
      <c r="F2409" s="247" t="s">
        <v>2204</v>
      </c>
      <c r="G2409" s="247" t="s">
        <v>1359</v>
      </c>
      <c r="H2409" s="247" t="s">
        <v>2022</v>
      </c>
      <c r="I2409" s="247" t="s">
        <v>2205</v>
      </c>
      <c r="J2409" s="247">
        <v>83</v>
      </c>
      <c r="K2409" s="247">
        <v>83</v>
      </c>
      <c r="L2409" s="249" t="s">
        <v>791</v>
      </c>
      <c r="M2409" s="249" t="s">
        <v>929</v>
      </c>
      <c r="N2409" s="248">
        <v>0</v>
      </c>
      <c r="O2409" s="248">
        <v>174.14</v>
      </c>
      <c r="P2409" s="247" t="s">
        <v>1436</v>
      </c>
      <c r="Q2409" s="247" t="s">
        <v>88</v>
      </c>
    </row>
    <row r="2410" spans="1:17" x14ac:dyDescent="0.25">
      <c r="A2410" s="247" t="s">
        <v>646</v>
      </c>
      <c r="B2410" s="247" t="s">
        <v>265</v>
      </c>
      <c r="C2410" s="247" t="s">
        <v>1343</v>
      </c>
      <c r="D2410" s="247" t="s">
        <v>946</v>
      </c>
      <c r="E2410" s="247" t="s">
        <v>1320</v>
      </c>
      <c r="F2410" s="247" t="s">
        <v>2204</v>
      </c>
      <c r="G2410" s="247" t="s">
        <v>1359</v>
      </c>
      <c r="H2410" s="247" t="s">
        <v>2022</v>
      </c>
      <c r="I2410" s="247" t="s">
        <v>2205</v>
      </c>
      <c r="J2410" s="247">
        <v>83</v>
      </c>
      <c r="K2410" s="247">
        <v>83</v>
      </c>
      <c r="L2410" s="249" t="s">
        <v>935</v>
      </c>
      <c r="M2410" s="249" t="s">
        <v>929</v>
      </c>
      <c r="N2410" s="248">
        <v>0</v>
      </c>
      <c r="O2410" s="248">
        <v>174.14</v>
      </c>
      <c r="P2410" s="247" t="s">
        <v>1436</v>
      </c>
      <c r="Q2410" s="247" t="s">
        <v>89</v>
      </c>
    </row>
    <row r="2411" spans="1:17" x14ac:dyDescent="0.25">
      <c r="A2411" s="247" t="s">
        <v>646</v>
      </c>
      <c r="B2411" s="247" t="s">
        <v>265</v>
      </c>
      <c r="C2411" s="247" t="s">
        <v>1343</v>
      </c>
      <c r="D2411" s="247" t="s">
        <v>946</v>
      </c>
      <c r="E2411" s="247" t="s">
        <v>1320</v>
      </c>
      <c r="F2411" s="247" t="s">
        <v>2204</v>
      </c>
      <c r="G2411" s="247" t="s">
        <v>1359</v>
      </c>
      <c r="H2411" s="247" t="s">
        <v>2022</v>
      </c>
      <c r="I2411" s="247" t="s">
        <v>2205</v>
      </c>
      <c r="J2411" s="247">
        <v>83</v>
      </c>
      <c r="K2411" s="247">
        <v>83</v>
      </c>
      <c r="L2411" s="249" t="s">
        <v>936</v>
      </c>
      <c r="M2411" s="249" t="s">
        <v>929</v>
      </c>
      <c r="N2411" s="248">
        <v>0</v>
      </c>
      <c r="O2411" s="248">
        <v>174.14</v>
      </c>
      <c r="P2411" s="247" t="s">
        <v>1436</v>
      </c>
      <c r="Q2411" s="247" t="s">
        <v>90</v>
      </c>
    </row>
    <row r="2412" spans="1:17" x14ac:dyDescent="0.25">
      <c r="A2412" s="247" t="s">
        <v>646</v>
      </c>
      <c r="B2412" s="247" t="s">
        <v>265</v>
      </c>
      <c r="C2412" s="247" t="s">
        <v>1343</v>
      </c>
      <c r="D2412" s="247" t="s">
        <v>946</v>
      </c>
      <c r="E2412" s="247" t="s">
        <v>1320</v>
      </c>
      <c r="F2412" s="247" t="s">
        <v>2204</v>
      </c>
      <c r="G2412" s="247" t="s">
        <v>1359</v>
      </c>
      <c r="H2412" s="247" t="s">
        <v>2022</v>
      </c>
      <c r="I2412" s="247" t="s">
        <v>2205</v>
      </c>
      <c r="J2412" s="247">
        <v>83</v>
      </c>
      <c r="K2412" s="247">
        <v>83</v>
      </c>
      <c r="L2412" s="249" t="s">
        <v>937</v>
      </c>
      <c r="M2412" s="249" t="s">
        <v>929</v>
      </c>
      <c r="N2412" s="248">
        <v>0</v>
      </c>
      <c r="O2412" s="248">
        <v>174.14</v>
      </c>
      <c r="P2412" s="247" t="s">
        <v>1436</v>
      </c>
      <c r="Q2412" s="247" t="s">
        <v>91</v>
      </c>
    </row>
    <row r="2413" spans="1:17" x14ac:dyDescent="0.25">
      <c r="A2413" s="247" t="s">
        <v>646</v>
      </c>
      <c r="B2413" s="247" t="s">
        <v>265</v>
      </c>
      <c r="C2413" s="247" t="s">
        <v>1343</v>
      </c>
      <c r="D2413" s="247" t="s">
        <v>946</v>
      </c>
      <c r="E2413" s="247" t="s">
        <v>1320</v>
      </c>
      <c r="F2413" s="247" t="s">
        <v>2204</v>
      </c>
      <c r="G2413" s="247" t="s">
        <v>1359</v>
      </c>
      <c r="H2413" s="247" t="s">
        <v>2022</v>
      </c>
      <c r="I2413" s="247" t="s">
        <v>2205</v>
      </c>
      <c r="J2413" s="247">
        <v>83</v>
      </c>
      <c r="K2413" s="247">
        <v>83</v>
      </c>
      <c r="L2413" s="249" t="s">
        <v>938</v>
      </c>
      <c r="M2413" s="249" t="s">
        <v>929</v>
      </c>
      <c r="N2413" s="248">
        <v>0</v>
      </c>
      <c r="O2413" s="248">
        <v>174.14</v>
      </c>
      <c r="P2413" s="247" t="s">
        <v>1436</v>
      </c>
      <c r="Q2413" s="247" t="s">
        <v>92</v>
      </c>
    </row>
    <row r="2414" spans="1:17" x14ac:dyDescent="0.25">
      <c r="A2414" s="247" t="s">
        <v>646</v>
      </c>
      <c r="B2414" s="247" t="s">
        <v>265</v>
      </c>
      <c r="C2414" s="247" t="s">
        <v>1343</v>
      </c>
      <c r="D2414" s="247" t="s">
        <v>946</v>
      </c>
      <c r="E2414" s="247" t="s">
        <v>1320</v>
      </c>
      <c r="F2414" s="247" t="s">
        <v>2204</v>
      </c>
      <c r="G2414" s="247" t="s">
        <v>1359</v>
      </c>
      <c r="H2414" s="247" t="s">
        <v>2022</v>
      </c>
      <c r="I2414" s="247" t="s">
        <v>2205</v>
      </c>
      <c r="J2414" s="247">
        <v>83</v>
      </c>
      <c r="K2414" s="247">
        <v>83</v>
      </c>
      <c r="L2414" s="249" t="s">
        <v>939</v>
      </c>
      <c r="M2414" s="249" t="s">
        <v>929</v>
      </c>
      <c r="N2414" s="248">
        <v>0</v>
      </c>
      <c r="O2414" s="248">
        <v>174.14</v>
      </c>
      <c r="P2414" s="247" t="s">
        <v>1436</v>
      </c>
      <c r="Q2414" s="247" t="s">
        <v>93</v>
      </c>
    </row>
    <row r="2415" spans="1:17" x14ac:dyDescent="0.25">
      <c r="A2415" s="247" t="s">
        <v>646</v>
      </c>
      <c r="B2415" s="247" t="s">
        <v>265</v>
      </c>
      <c r="C2415" s="247" t="s">
        <v>1343</v>
      </c>
      <c r="D2415" s="247" t="s">
        <v>946</v>
      </c>
      <c r="E2415" s="247" t="s">
        <v>1320</v>
      </c>
      <c r="F2415" s="247" t="s">
        <v>2204</v>
      </c>
      <c r="G2415" s="247" t="s">
        <v>1359</v>
      </c>
      <c r="H2415" s="247" t="s">
        <v>2022</v>
      </c>
      <c r="I2415" s="247" t="s">
        <v>2205</v>
      </c>
      <c r="J2415" s="247">
        <v>83</v>
      </c>
      <c r="K2415" s="247">
        <v>83</v>
      </c>
      <c r="L2415" s="249" t="s">
        <v>940</v>
      </c>
      <c r="M2415" s="249" t="s">
        <v>929</v>
      </c>
      <c r="N2415" s="248">
        <v>0</v>
      </c>
      <c r="O2415" s="248">
        <v>174.14</v>
      </c>
      <c r="P2415" s="247" t="s">
        <v>1436</v>
      </c>
      <c r="Q2415" s="247" t="s">
        <v>94</v>
      </c>
    </row>
    <row r="2416" spans="1:17" x14ac:dyDescent="0.25">
      <c r="A2416" s="247" t="s">
        <v>646</v>
      </c>
      <c r="B2416" s="247" t="s">
        <v>265</v>
      </c>
      <c r="C2416" s="247" t="s">
        <v>1343</v>
      </c>
      <c r="D2416" s="247" t="s">
        <v>946</v>
      </c>
      <c r="E2416" s="247" t="s">
        <v>1320</v>
      </c>
      <c r="F2416" s="247" t="s">
        <v>2204</v>
      </c>
      <c r="G2416" s="247" t="s">
        <v>1359</v>
      </c>
      <c r="H2416" s="247" t="s">
        <v>2022</v>
      </c>
      <c r="I2416" s="247" t="s">
        <v>2205</v>
      </c>
      <c r="J2416" s="247">
        <v>83</v>
      </c>
      <c r="K2416" s="247">
        <v>83</v>
      </c>
      <c r="L2416" s="249" t="s">
        <v>642</v>
      </c>
      <c r="M2416" s="249" t="s">
        <v>929</v>
      </c>
      <c r="N2416" s="248">
        <v>0</v>
      </c>
      <c r="O2416" s="248">
        <v>174.14</v>
      </c>
      <c r="P2416" s="247" t="s">
        <v>1436</v>
      </c>
      <c r="Q2416" s="247" t="s">
        <v>95</v>
      </c>
    </row>
    <row r="2417" spans="1:17" x14ac:dyDescent="0.25">
      <c r="A2417" s="247" t="s">
        <v>646</v>
      </c>
      <c r="B2417" s="247" t="s">
        <v>265</v>
      </c>
      <c r="C2417" s="247" t="s">
        <v>1343</v>
      </c>
      <c r="D2417" s="247" t="s">
        <v>1361</v>
      </c>
      <c r="E2417" s="247" t="s">
        <v>1320</v>
      </c>
      <c r="F2417" s="247" t="s">
        <v>2206</v>
      </c>
      <c r="G2417" s="247" t="s">
        <v>1362</v>
      </c>
      <c r="H2417" s="247" t="s">
        <v>2022</v>
      </c>
      <c r="I2417" s="247" t="s">
        <v>2207</v>
      </c>
      <c r="J2417" s="247">
        <v>81</v>
      </c>
      <c r="K2417" s="247">
        <v>81</v>
      </c>
      <c r="L2417" s="249" t="s">
        <v>646</v>
      </c>
      <c r="M2417" s="249" t="s">
        <v>933</v>
      </c>
      <c r="N2417" s="248">
        <v>18.36</v>
      </c>
      <c r="O2417" s="248">
        <v>131.55000000000001</v>
      </c>
      <c r="P2417" s="247" t="s">
        <v>1437</v>
      </c>
      <c r="Q2417" s="247" t="s">
        <v>84</v>
      </c>
    </row>
    <row r="2418" spans="1:17" x14ac:dyDescent="0.25">
      <c r="A2418" s="247" t="s">
        <v>646</v>
      </c>
      <c r="B2418" s="247" t="s">
        <v>265</v>
      </c>
      <c r="C2418" s="247" t="s">
        <v>1343</v>
      </c>
      <c r="D2418" s="247" t="s">
        <v>1361</v>
      </c>
      <c r="E2418" s="247" t="s">
        <v>1320</v>
      </c>
      <c r="F2418" s="247" t="s">
        <v>2206</v>
      </c>
      <c r="G2418" s="247" t="s">
        <v>1362</v>
      </c>
      <c r="H2418" s="247" t="s">
        <v>2022</v>
      </c>
      <c r="I2418" s="247" t="s">
        <v>2207</v>
      </c>
      <c r="J2418" s="247">
        <v>81</v>
      </c>
      <c r="K2418" s="247">
        <v>81</v>
      </c>
      <c r="L2418" s="249" t="s">
        <v>650</v>
      </c>
      <c r="M2418" s="249" t="s">
        <v>933</v>
      </c>
      <c r="N2418" s="248">
        <v>12.24</v>
      </c>
      <c r="O2418" s="248">
        <v>143.79</v>
      </c>
      <c r="P2418" s="247" t="s">
        <v>1437</v>
      </c>
      <c r="Q2418" s="247" t="s">
        <v>85</v>
      </c>
    </row>
    <row r="2419" spans="1:17" x14ac:dyDescent="0.25">
      <c r="A2419" s="247" t="s">
        <v>646</v>
      </c>
      <c r="B2419" s="247" t="s">
        <v>265</v>
      </c>
      <c r="C2419" s="247" t="s">
        <v>1343</v>
      </c>
      <c r="D2419" s="247" t="s">
        <v>1361</v>
      </c>
      <c r="E2419" s="247" t="s">
        <v>1320</v>
      </c>
      <c r="F2419" s="247" t="s">
        <v>2206</v>
      </c>
      <c r="G2419" s="247" t="s">
        <v>1362</v>
      </c>
      <c r="H2419" s="247" t="s">
        <v>2022</v>
      </c>
      <c r="I2419" s="247" t="s">
        <v>2207</v>
      </c>
      <c r="J2419" s="247">
        <v>81</v>
      </c>
      <c r="K2419" s="247">
        <v>81</v>
      </c>
      <c r="L2419" s="249" t="s">
        <v>652</v>
      </c>
      <c r="M2419" s="249" t="s">
        <v>933</v>
      </c>
      <c r="N2419" s="248">
        <v>11.62</v>
      </c>
      <c r="O2419" s="248">
        <v>155.41</v>
      </c>
      <c r="P2419" s="247" t="s">
        <v>1437</v>
      </c>
      <c r="Q2419" s="247" t="s">
        <v>86</v>
      </c>
    </row>
    <row r="2420" spans="1:17" x14ac:dyDescent="0.25">
      <c r="A2420" s="247" t="s">
        <v>646</v>
      </c>
      <c r="B2420" s="247" t="s">
        <v>265</v>
      </c>
      <c r="C2420" s="247" t="s">
        <v>1343</v>
      </c>
      <c r="D2420" s="247" t="s">
        <v>1361</v>
      </c>
      <c r="E2420" s="247" t="s">
        <v>1320</v>
      </c>
      <c r="F2420" s="247" t="s">
        <v>2206</v>
      </c>
      <c r="G2420" s="247" t="s">
        <v>1362</v>
      </c>
      <c r="H2420" s="247" t="s">
        <v>2022</v>
      </c>
      <c r="I2420" s="247" t="s">
        <v>2207</v>
      </c>
      <c r="J2420" s="247">
        <v>81</v>
      </c>
      <c r="K2420" s="247">
        <v>81</v>
      </c>
      <c r="L2420" s="249" t="s">
        <v>789</v>
      </c>
      <c r="M2420" s="249" t="s">
        <v>929</v>
      </c>
      <c r="N2420" s="248">
        <v>11.5</v>
      </c>
      <c r="O2420" s="248">
        <v>11.5</v>
      </c>
      <c r="P2420" s="247" t="s">
        <v>1437</v>
      </c>
      <c r="Q2420" s="247" t="s">
        <v>87</v>
      </c>
    </row>
    <row r="2421" spans="1:17" x14ac:dyDescent="0.25">
      <c r="A2421" s="247" t="s">
        <v>646</v>
      </c>
      <c r="B2421" s="247" t="s">
        <v>265</v>
      </c>
      <c r="C2421" s="247" t="s">
        <v>1343</v>
      </c>
      <c r="D2421" s="247" t="s">
        <v>1361</v>
      </c>
      <c r="E2421" s="247" t="s">
        <v>1320</v>
      </c>
      <c r="F2421" s="247" t="s">
        <v>2206</v>
      </c>
      <c r="G2421" s="247" t="s">
        <v>1362</v>
      </c>
      <c r="H2421" s="247" t="s">
        <v>2022</v>
      </c>
      <c r="I2421" s="247" t="s">
        <v>2207</v>
      </c>
      <c r="J2421" s="247">
        <v>81</v>
      </c>
      <c r="K2421" s="247">
        <v>81</v>
      </c>
      <c r="L2421" s="249" t="s">
        <v>791</v>
      </c>
      <c r="M2421" s="249" t="s">
        <v>929</v>
      </c>
      <c r="N2421" s="248">
        <v>12.78</v>
      </c>
      <c r="O2421" s="248">
        <v>24.28</v>
      </c>
      <c r="P2421" s="247" t="s">
        <v>1437</v>
      </c>
      <c r="Q2421" s="247" t="s">
        <v>88</v>
      </c>
    </row>
    <row r="2422" spans="1:17" x14ac:dyDescent="0.25">
      <c r="A2422" s="247" t="s">
        <v>646</v>
      </c>
      <c r="B2422" s="247" t="s">
        <v>265</v>
      </c>
      <c r="C2422" s="247" t="s">
        <v>1343</v>
      </c>
      <c r="D2422" s="247" t="s">
        <v>1361</v>
      </c>
      <c r="E2422" s="247" t="s">
        <v>1320</v>
      </c>
      <c r="F2422" s="247" t="s">
        <v>2206</v>
      </c>
      <c r="G2422" s="247" t="s">
        <v>1362</v>
      </c>
      <c r="H2422" s="247" t="s">
        <v>2022</v>
      </c>
      <c r="I2422" s="247" t="s">
        <v>2207</v>
      </c>
      <c r="J2422" s="247">
        <v>81</v>
      </c>
      <c r="K2422" s="247">
        <v>81</v>
      </c>
      <c r="L2422" s="249" t="s">
        <v>935</v>
      </c>
      <c r="M2422" s="249" t="s">
        <v>929</v>
      </c>
      <c r="N2422" s="248">
        <v>12.78</v>
      </c>
      <c r="O2422" s="248">
        <v>37.06</v>
      </c>
      <c r="P2422" s="247" t="s">
        <v>1437</v>
      </c>
      <c r="Q2422" s="247" t="s">
        <v>89</v>
      </c>
    </row>
    <row r="2423" spans="1:17" x14ac:dyDescent="0.25">
      <c r="A2423" s="247" t="s">
        <v>646</v>
      </c>
      <c r="B2423" s="247" t="s">
        <v>265</v>
      </c>
      <c r="C2423" s="247" t="s">
        <v>1343</v>
      </c>
      <c r="D2423" s="247" t="s">
        <v>1361</v>
      </c>
      <c r="E2423" s="247" t="s">
        <v>1320</v>
      </c>
      <c r="F2423" s="247" t="s">
        <v>2206</v>
      </c>
      <c r="G2423" s="247" t="s">
        <v>1362</v>
      </c>
      <c r="H2423" s="247" t="s">
        <v>2022</v>
      </c>
      <c r="I2423" s="247" t="s">
        <v>2207</v>
      </c>
      <c r="J2423" s="247">
        <v>81</v>
      </c>
      <c r="K2423" s="247">
        <v>81</v>
      </c>
      <c r="L2423" s="249" t="s">
        <v>936</v>
      </c>
      <c r="M2423" s="249" t="s">
        <v>929</v>
      </c>
      <c r="N2423" s="248">
        <v>19.170000000000002</v>
      </c>
      <c r="O2423" s="248">
        <v>56.23</v>
      </c>
      <c r="P2423" s="247" t="s">
        <v>1437</v>
      </c>
      <c r="Q2423" s="247" t="s">
        <v>90</v>
      </c>
    </row>
    <row r="2424" spans="1:17" x14ac:dyDescent="0.25">
      <c r="A2424" s="247" t="s">
        <v>646</v>
      </c>
      <c r="B2424" s="247" t="s">
        <v>265</v>
      </c>
      <c r="C2424" s="247" t="s">
        <v>1343</v>
      </c>
      <c r="D2424" s="247" t="s">
        <v>1361</v>
      </c>
      <c r="E2424" s="247" t="s">
        <v>1320</v>
      </c>
      <c r="F2424" s="247" t="s">
        <v>2206</v>
      </c>
      <c r="G2424" s="247" t="s">
        <v>1362</v>
      </c>
      <c r="H2424" s="247" t="s">
        <v>2022</v>
      </c>
      <c r="I2424" s="247" t="s">
        <v>2207</v>
      </c>
      <c r="J2424" s="247">
        <v>81</v>
      </c>
      <c r="K2424" s="247">
        <v>81</v>
      </c>
      <c r="L2424" s="249" t="s">
        <v>937</v>
      </c>
      <c r="M2424" s="249" t="s">
        <v>929</v>
      </c>
      <c r="N2424" s="248">
        <v>12.78</v>
      </c>
      <c r="O2424" s="248">
        <v>69.010000000000005</v>
      </c>
      <c r="P2424" s="247" t="s">
        <v>1437</v>
      </c>
      <c r="Q2424" s="247" t="s">
        <v>91</v>
      </c>
    </row>
    <row r="2425" spans="1:17" x14ac:dyDescent="0.25">
      <c r="A2425" s="247" t="s">
        <v>646</v>
      </c>
      <c r="B2425" s="247" t="s">
        <v>265</v>
      </c>
      <c r="C2425" s="247" t="s">
        <v>1343</v>
      </c>
      <c r="D2425" s="247" t="s">
        <v>1361</v>
      </c>
      <c r="E2425" s="247" t="s">
        <v>1320</v>
      </c>
      <c r="F2425" s="247" t="s">
        <v>2206</v>
      </c>
      <c r="G2425" s="247" t="s">
        <v>1362</v>
      </c>
      <c r="H2425" s="247" t="s">
        <v>2022</v>
      </c>
      <c r="I2425" s="247" t="s">
        <v>2207</v>
      </c>
      <c r="J2425" s="247">
        <v>81</v>
      </c>
      <c r="K2425" s="247">
        <v>81</v>
      </c>
      <c r="L2425" s="249" t="s">
        <v>938</v>
      </c>
      <c r="M2425" s="249" t="s">
        <v>929</v>
      </c>
      <c r="N2425" s="248">
        <v>12.14</v>
      </c>
      <c r="O2425" s="248">
        <v>81.150000000000006</v>
      </c>
      <c r="P2425" s="247" t="s">
        <v>1437</v>
      </c>
      <c r="Q2425" s="247" t="s">
        <v>92</v>
      </c>
    </row>
    <row r="2426" spans="1:17" x14ac:dyDescent="0.25">
      <c r="A2426" s="247" t="s">
        <v>646</v>
      </c>
      <c r="B2426" s="247" t="s">
        <v>265</v>
      </c>
      <c r="C2426" s="247" t="s">
        <v>1343</v>
      </c>
      <c r="D2426" s="247" t="s">
        <v>1361</v>
      </c>
      <c r="E2426" s="247" t="s">
        <v>1320</v>
      </c>
      <c r="F2426" s="247" t="s">
        <v>2206</v>
      </c>
      <c r="G2426" s="247" t="s">
        <v>1362</v>
      </c>
      <c r="H2426" s="247" t="s">
        <v>2022</v>
      </c>
      <c r="I2426" s="247" t="s">
        <v>2207</v>
      </c>
      <c r="J2426" s="247">
        <v>81</v>
      </c>
      <c r="K2426" s="247">
        <v>81</v>
      </c>
      <c r="L2426" s="249" t="s">
        <v>939</v>
      </c>
      <c r="M2426" s="249" t="s">
        <v>929</v>
      </c>
      <c r="N2426" s="248">
        <v>0</v>
      </c>
      <c r="O2426" s="248">
        <v>81.150000000000006</v>
      </c>
      <c r="P2426" s="247" t="s">
        <v>1437</v>
      </c>
      <c r="Q2426" s="247" t="s">
        <v>93</v>
      </c>
    </row>
    <row r="2427" spans="1:17" x14ac:dyDescent="0.25">
      <c r="A2427" s="247" t="s">
        <v>646</v>
      </c>
      <c r="B2427" s="247" t="s">
        <v>265</v>
      </c>
      <c r="C2427" s="247" t="s">
        <v>1343</v>
      </c>
      <c r="D2427" s="247" t="s">
        <v>1361</v>
      </c>
      <c r="E2427" s="247" t="s">
        <v>1320</v>
      </c>
      <c r="F2427" s="247" t="s">
        <v>2206</v>
      </c>
      <c r="G2427" s="247" t="s">
        <v>1362</v>
      </c>
      <c r="H2427" s="247" t="s">
        <v>2022</v>
      </c>
      <c r="I2427" s="247" t="s">
        <v>2207</v>
      </c>
      <c r="J2427" s="247">
        <v>81</v>
      </c>
      <c r="K2427" s="247">
        <v>81</v>
      </c>
      <c r="L2427" s="249" t="s">
        <v>940</v>
      </c>
      <c r="M2427" s="249" t="s">
        <v>929</v>
      </c>
      <c r="N2427" s="248">
        <v>0</v>
      </c>
      <c r="O2427" s="248">
        <v>81.150000000000006</v>
      </c>
      <c r="P2427" s="247" t="s">
        <v>1437</v>
      </c>
      <c r="Q2427" s="247" t="s">
        <v>94</v>
      </c>
    </row>
    <row r="2428" spans="1:17" x14ac:dyDescent="0.25">
      <c r="A2428" s="247" t="s">
        <v>646</v>
      </c>
      <c r="B2428" s="247" t="s">
        <v>265</v>
      </c>
      <c r="C2428" s="247" t="s">
        <v>1343</v>
      </c>
      <c r="D2428" s="247" t="s">
        <v>1361</v>
      </c>
      <c r="E2428" s="247" t="s">
        <v>1320</v>
      </c>
      <c r="F2428" s="247" t="s">
        <v>2206</v>
      </c>
      <c r="G2428" s="247" t="s">
        <v>1362</v>
      </c>
      <c r="H2428" s="247" t="s">
        <v>2022</v>
      </c>
      <c r="I2428" s="247" t="s">
        <v>2207</v>
      </c>
      <c r="J2428" s="247">
        <v>81</v>
      </c>
      <c r="K2428" s="247">
        <v>81</v>
      </c>
      <c r="L2428" s="249" t="s">
        <v>642</v>
      </c>
      <c r="M2428" s="249" t="s">
        <v>929</v>
      </c>
      <c r="N2428" s="248">
        <v>0</v>
      </c>
      <c r="O2428" s="248">
        <v>81.150000000000006</v>
      </c>
      <c r="P2428" s="247" t="s">
        <v>1437</v>
      </c>
      <c r="Q2428" s="247" t="s">
        <v>95</v>
      </c>
    </row>
    <row r="2429" spans="1:17" x14ac:dyDescent="0.25">
      <c r="A2429" s="247" t="s">
        <v>646</v>
      </c>
      <c r="B2429" s="247" t="s">
        <v>265</v>
      </c>
      <c r="C2429" s="247" t="s">
        <v>1343</v>
      </c>
      <c r="D2429" s="247" t="s">
        <v>1049</v>
      </c>
      <c r="E2429" s="247" t="s">
        <v>1320</v>
      </c>
      <c r="F2429" s="247" t="s">
        <v>2208</v>
      </c>
      <c r="G2429" s="247" t="s">
        <v>1438</v>
      </c>
      <c r="H2429" s="247" t="s">
        <v>2022</v>
      </c>
      <c r="I2429" s="247" t="s">
        <v>2209</v>
      </c>
      <c r="J2429" s="247">
        <v>78</v>
      </c>
      <c r="K2429" s="247">
        <v>78</v>
      </c>
      <c r="L2429" s="249" t="s">
        <v>646</v>
      </c>
      <c r="M2429" s="249" t="s">
        <v>933</v>
      </c>
      <c r="N2429" s="248">
        <v>-5226.8500000000004</v>
      </c>
      <c r="O2429" s="248">
        <v>-38330.26</v>
      </c>
      <c r="P2429" s="247" t="s">
        <v>1439</v>
      </c>
      <c r="Q2429" s="247" t="s">
        <v>84</v>
      </c>
    </row>
    <row r="2430" spans="1:17" x14ac:dyDescent="0.25">
      <c r="A2430" s="247" t="s">
        <v>646</v>
      </c>
      <c r="B2430" s="247" t="s">
        <v>265</v>
      </c>
      <c r="C2430" s="247" t="s">
        <v>1343</v>
      </c>
      <c r="D2430" s="247" t="s">
        <v>1049</v>
      </c>
      <c r="E2430" s="247" t="s">
        <v>1320</v>
      </c>
      <c r="F2430" s="247" t="s">
        <v>2208</v>
      </c>
      <c r="G2430" s="247" t="s">
        <v>1438</v>
      </c>
      <c r="H2430" s="247" t="s">
        <v>2022</v>
      </c>
      <c r="I2430" s="247" t="s">
        <v>2209</v>
      </c>
      <c r="J2430" s="247">
        <v>78</v>
      </c>
      <c r="K2430" s="247">
        <v>78</v>
      </c>
      <c r="L2430" s="249" t="s">
        <v>650</v>
      </c>
      <c r="M2430" s="249" t="s">
        <v>933</v>
      </c>
      <c r="N2430" s="248">
        <v>-3484.57</v>
      </c>
      <c r="O2430" s="248">
        <v>-41814.83</v>
      </c>
      <c r="P2430" s="247" t="s">
        <v>1439</v>
      </c>
      <c r="Q2430" s="247" t="s">
        <v>85</v>
      </c>
    </row>
    <row r="2431" spans="1:17" x14ac:dyDescent="0.25">
      <c r="A2431" s="247" t="s">
        <v>646</v>
      </c>
      <c r="B2431" s="247" t="s">
        <v>265</v>
      </c>
      <c r="C2431" s="247" t="s">
        <v>1343</v>
      </c>
      <c r="D2431" s="247" t="s">
        <v>1049</v>
      </c>
      <c r="E2431" s="247" t="s">
        <v>1320</v>
      </c>
      <c r="F2431" s="247" t="s">
        <v>2208</v>
      </c>
      <c r="G2431" s="247" t="s">
        <v>1438</v>
      </c>
      <c r="H2431" s="247" t="s">
        <v>2022</v>
      </c>
      <c r="I2431" s="247" t="s">
        <v>2209</v>
      </c>
      <c r="J2431" s="247">
        <v>78</v>
      </c>
      <c r="K2431" s="247">
        <v>78</v>
      </c>
      <c r="L2431" s="249" t="s">
        <v>652</v>
      </c>
      <c r="M2431" s="249" t="s">
        <v>933</v>
      </c>
      <c r="N2431" s="248">
        <v>-3484.57</v>
      </c>
      <c r="O2431" s="248">
        <v>-45299.4</v>
      </c>
      <c r="P2431" s="247" t="s">
        <v>1439</v>
      </c>
      <c r="Q2431" s="247" t="s">
        <v>86</v>
      </c>
    </row>
    <row r="2432" spans="1:17" x14ac:dyDescent="0.25">
      <c r="A2432" s="247" t="s">
        <v>646</v>
      </c>
      <c r="B2432" s="247" t="s">
        <v>265</v>
      </c>
      <c r="C2432" s="247" t="s">
        <v>1343</v>
      </c>
      <c r="D2432" s="247" t="s">
        <v>1049</v>
      </c>
      <c r="E2432" s="247" t="s">
        <v>1320</v>
      </c>
      <c r="F2432" s="247" t="s">
        <v>2208</v>
      </c>
      <c r="G2432" s="247" t="s">
        <v>1438</v>
      </c>
      <c r="H2432" s="247" t="s">
        <v>2022</v>
      </c>
      <c r="I2432" s="247" t="s">
        <v>2209</v>
      </c>
      <c r="J2432" s="247">
        <v>78</v>
      </c>
      <c r="K2432" s="247">
        <v>78</v>
      </c>
      <c r="L2432" s="249" t="s">
        <v>789</v>
      </c>
      <c r="M2432" s="249" t="s">
        <v>929</v>
      </c>
      <c r="N2432" s="248">
        <v>-2323.04</v>
      </c>
      <c r="O2432" s="248">
        <v>-2323.04</v>
      </c>
      <c r="P2432" s="247" t="s">
        <v>1439</v>
      </c>
      <c r="Q2432" s="247" t="s">
        <v>87</v>
      </c>
    </row>
    <row r="2433" spans="1:17" x14ac:dyDescent="0.25">
      <c r="A2433" s="247" t="s">
        <v>646</v>
      </c>
      <c r="B2433" s="247" t="s">
        <v>265</v>
      </c>
      <c r="C2433" s="247" t="s">
        <v>1343</v>
      </c>
      <c r="D2433" s="247" t="s">
        <v>1049</v>
      </c>
      <c r="E2433" s="247" t="s">
        <v>1320</v>
      </c>
      <c r="F2433" s="247" t="s">
        <v>2208</v>
      </c>
      <c r="G2433" s="247" t="s">
        <v>1438</v>
      </c>
      <c r="H2433" s="247" t="s">
        <v>2022</v>
      </c>
      <c r="I2433" s="247" t="s">
        <v>2209</v>
      </c>
      <c r="J2433" s="247">
        <v>78</v>
      </c>
      <c r="K2433" s="247">
        <v>78</v>
      </c>
      <c r="L2433" s="249" t="s">
        <v>791</v>
      </c>
      <c r="M2433" s="249" t="s">
        <v>929</v>
      </c>
      <c r="N2433" s="248">
        <v>-2323.04</v>
      </c>
      <c r="O2433" s="248">
        <v>-4646.08</v>
      </c>
      <c r="P2433" s="247" t="s">
        <v>1439</v>
      </c>
      <c r="Q2433" s="247" t="s">
        <v>88</v>
      </c>
    </row>
    <row r="2434" spans="1:17" x14ac:dyDescent="0.25">
      <c r="A2434" s="247" t="s">
        <v>646</v>
      </c>
      <c r="B2434" s="247" t="s">
        <v>265</v>
      </c>
      <c r="C2434" s="247" t="s">
        <v>1343</v>
      </c>
      <c r="D2434" s="247" t="s">
        <v>1049</v>
      </c>
      <c r="E2434" s="247" t="s">
        <v>1320</v>
      </c>
      <c r="F2434" s="247" t="s">
        <v>2208</v>
      </c>
      <c r="G2434" s="247" t="s">
        <v>1438</v>
      </c>
      <c r="H2434" s="247" t="s">
        <v>2022</v>
      </c>
      <c r="I2434" s="247" t="s">
        <v>2209</v>
      </c>
      <c r="J2434" s="247">
        <v>78</v>
      </c>
      <c r="K2434" s="247">
        <v>78</v>
      </c>
      <c r="L2434" s="249" t="s">
        <v>935</v>
      </c>
      <c r="M2434" s="249" t="s">
        <v>929</v>
      </c>
      <c r="N2434" s="248">
        <v>-2323.04</v>
      </c>
      <c r="O2434" s="248">
        <v>-6969.12</v>
      </c>
      <c r="P2434" s="247" t="s">
        <v>1439</v>
      </c>
      <c r="Q2434" s="247" t="s">
        <v>89</v>
      </c>
    </row>
    <row r="2435" spans="1:17" x14ac:dyDescent="0.25">
      <c r="A2435" s="247" t="s">
        <v>646</v>
      </c>
      <c r="B2435" s="247" t="s">
        <v>265</v>
      </c>
      <c r="C2435" s="247" t="s">
        <v>1343</v>
      </c>
      <c r="D2435" s="247" t="s">
        <v>1049</v>
      </c>
      <c r="E2435" s="247" t="s">
        <v>1320</v>
      </c>
      <c r="F2435" s="247" t="s">
        <v>2208</v>
      </c>
      <c r="G2435" s="247" t="s">
        <v>1438</v>
      </c>
      <c r="H2435" s="247" t="s">
        <v>2022</v>
      </c>
      <c r="I2435" s="247" t="s">
        <v>2209</v>
      </c>
      <c r="J2435" s="247">
        <v>78</v>
      </c>
      <c r="K2435" s="247">
        <v>78</v>
      </c>
      <c r="L2435" s="249" t="s">
        <v>936</v>
      </c>
      <c r="M2435" s="249" t="s">
        <v>929</v>
      </c>
      <c r="N2435" s="248">
        <v>-2323.04</v>
      </c>
      <c r="O2435" s="248">
        <v>-9292.16</v>
      </c>
      <c r="P2435" s="247" t="s">
        <v>1439</v>
      </c>
      <c r="Q2435" s="247" t="s">
        <v>90</v>
      </c>
    </row>
    <row r="2436" spans="1:17" x14ac:dyDescent="0.25">
      <c r="A2436" s="247" t="s">
        <v>646</v>
      </c>
      <c r="B2436" s="247" t="s">
        <v>265</v>
      </c>
      <c r="C2436" s="247" t="s">
        <v>1343</v>
      </c>
      <c r="D2436" s="247" t="s">
        <v>1049</v>
      </c>
      <c r="E2436" s="247" t="s">
        <v>1320</v>
      </c>
      <c r="F2436" s="247" t="s">
        <v>2208</v>
      </c>
      <c r="G2436" s="247" t="s">
        <v>1438</v>
      </c>
      <c r="H2436" s="247" t="s">
        <v>2022</v>
      </c>
      <c r="I2436" s="247" t="s">
        <v>2209</v>
      </c>
      <c r="J2436" s="247">
        <v>78</v>
      </c>
      <c r="K2436" s="247">
        <v>78</v>
      </c>
      <c r="L2436" s="249" t="s">
        <v>937</v>
      </c>
      <c r="M2436" s="249" t="s">
        <v>929</v>
      </c>
      <c r="N2436" s="248">
        <v>-2323.04</v>
      </c>
      <c r="O2436" s="248">
        <v>-11615.2</v>
      </c>
      <c r="P2436" s="247" t="s">
        <v>1439</v>
      </c>
      <c r="Q2436" s="247" t="s">
        <v>91</v>
      </c>
    </row>
    <row r="2437" spans="1:17" x14ac:dyDescent="0.25">
      <c r="A2437" s="247" t="s">
        <v>646</v>
      </c>
      <c r="B2437" s="247" t="s">
        <v>265</v>
      </c>
      <c r="C2437" s="247" t="s">
        <v>1343</v>
      </c>
      <c r="D2437" s="247" t="s">
        <v>1049</v>
      </c>
      <c r="E2437" s="247" t="s">
        <v>1320</v>
      </c>
      <c r="F2437" s="247" t="s">
        <v>2208</v>
      </c>
      <c r="G2437" s="247" t="s">
        <v>1438</v>
      </c>
      <c r="H2437" s="247" t="s">
        <v>2022</v>
      </c>
      <c r="I2437" s="247" t="s">
        <v>2209</v>
      </c>
      <c r="J2437" s="247">
        <v>78</v>
      </c>
      <c r="K2437" s="247">
        <v>78</v>
      </c>
      <c r="L2437" s="249" t="s">
        <v>938</v>
      </c>
      <c r="M2437" s="249" t="s">
        <v>929</v>
      </c>
      <c r="N2437" s="248">
        <v>-2323.04</v>
      </c>
      <c r="O2437" s="248">
        <v>-13938.24</v>
      </c>
      <c r="P2437" s="247" t="s">
        <v>1439</v>
      </c>
      <c r="Q2437" s="247" t="s">
        <v>92</v>
      </c>
    </row>
    <row r="2438" spans="1:17" x14ac:dyDescent="0.25">
      <c r="A2438" s="247" t="s">
        <v>646</v>
      </c>
      <c r="B2438" s="247" t="s">
        <v>265</v>
      </c>
      <c r="C2438" s="247" t="s">
        <v>1343</v>
      </c>
      <c r="D2438" s="247" t="s">
        <v>1049</v>
      </c>
      <c r="E2438" s="247" t="s">
        <v>1320</v>
      </c>
      <c r="F2438" s="247" t="s">
        <v>2208</v>
      </c>
      <c r="G2438" s="247" t="s">
        <v>1438</v>
      </c>
      <c r="H2438" s="247" t="s">
        <v>2022</v>
      </c>
      <c r="I2438" s="247" t="s">
        <v>2209</v>
      </c>
      <c r="J2438" s="247">
        <v>78</v>
      </c>
      <c r="K2438" s="247">
        <v>78</v>
      </c>
      <c r="L2438" s="249" t="s">
        <v>939</v>
      </c>
      <c r="M2438" s="249" t="s">
        <v>929</v>
      </c>
      <c r="N2438" s="248">
        <v>0</v>
      </c>
      <c r="O2438" s="248">
        <v>-13938.24</v>
      </c>
      <c r="P2438" s="247" t="s">
        <v>1439</v>
      </c>
      <c r="Q2438" s="247" t="s">
        <v>93</v>
      </c>
    </row>
    <row r="2439" spans="1:17" x14ac:dyDescent="0.25">
      <c r="A2439" s="247" t="s">
        <v>646</v>
      </c>
      <c r="B2439" s="247" t="s">
        <v>265</v>
      </c>
      <c r="C2439" s="247" t="s">
        <v>1343</v>
      </c>
      <c r="D2439" s="247" t="s">
        <v>1049</v>
      </c>
      <c r="E2439" s="247" t="s">
        <v>1320</v>
      </c>
      <c r="F2439" s="247" t="s">
        <v>2208</v>
      </c>
      <c r="G2439" s="247" t="s">
        <v>1438</v>
      </c>
      <c r="H2439" s="247" t="s">
        <v>2022</v>
      </c>
      <c r="I2439" s="247" t="s">
        <v>2209</v>
      </c>
      <c r="J2439" s="247">
        <v>78</v>
      </c>
      <c r="K2439" s="247">
        <v>78</v>
      </c>
      <c r="L2439" s="249" t="s">
        <v>940</v>
      </c>
      <c r="M2439" s="249" t="s">
        <v>929</v>
      </c>
      <c r="N2439" s="248">
        <v>0</v>
      </c>
      <c r="O2439" s="248">
        <v>-13938.24</v>
      </c>
      <c r="P2439" s="247" t="s">
        <v>1439</v>
      </c>
      <c r="Q2439" s="247" t="s">
        <v>94</v>
      </c>
    </row>
    <row r="2440" spans="1:17" x14ac:dyDescent="0.25">
      <c r="A2440" s="247" t="s">
        <v>646</v>
      </c>
      <c r="B2440" s="247" t="s">
        <v>265</v>
      </c>
      <c r="C2440" s="247" t="s">
        <v>1343</v>
      </c>
      <c r="D2440" s="247" t="s">
        <v>1049</v>
      </c>
      <c r="E2440" s="247" t="s">
        <v>1320</v>
      </c>
      <c r="F2440" s="247" t="s">
        <v>2208</v>
      </c>
      <c r="G2440" s="247" t="s">
        <v>1438</v>
      </c>
      <c r="H2440" s="247" t="s">
        <v>2022</v>
      </c>
      <c r="I2440" s="247" t="s">
        <v>2209</v>
      </c>
      <c r="J2440" s="247">
        <v>78</v>
      </c>
      <c r="K2440" s="247">
        <v>78</v>
      </c>
      <c r="L2440" s="249" t="s">
        <v>642</v>
      </c>
      <c r="M2440" s="249" t="s">
        <v>929</v>
      </c>
      <c r="N2440" s="248">
        <v>0</v>
      </c>
      <c r="O2440" s="248">
        <v>-13938.24</v>
      </c>
      <c r="P2440" s="247" t="s">
        <v>1439</v>
      </c>
      <c r="Q2440" s="247" t="s">
        <v>95</v>
      </c>
    </row>
    <row r="2441" spans="1:17" x14ac:dyDescent="0.25">
      <c r="A2441" s="247" t="s">
        <v>646</v>
      </c>
      <c r="B2441" s="247" t="s">
        <v>265</v>
      </c>
      <c r="C2441" s="247" t="s">
        <v>1343</v>
      </c>
      <c r="D2441" s="247" t="s">
        <v>1172</v>
      </c>
      <c r="E2441" s="247" t="s">
        <v>1320</v>
      </c>
      <c r="F2441" s="247" t="s">
        <v>2210</v>
      </c>
      <c r="G2441" s="247" t="s">
        <v>1364</v>
      </c>
      <c r="H2441" s="247" t="s">
        <v>2022</v>
      </c>
      <c r="I2441" s="247" t="s">
        <v>2211</v>
      </c>
      <c r="J2441" s="247">
        <v>84</v>
      </c>
      <c r="K2441" s="247">
        <v>84</v>
      </c>
      <c r="L2441" s="249" t="s">
        <v>646</v>
      </c>
      <c r="M2441" s="249" t="s">
        <v>933</v>
      </c>
      <c r="N2441" s="248">
        <v>0</v>
      </c>
      <c r="O2441" s="248">
        <v>159.29</v>
      </c>
      <c r="P2441" s="247" t="s">
        <v>1440</v>
      </c>
      <c r="Q2441" s="247" t="s">
        <v>84</v>
      </c>
    </row>
    <row r="2442" spans="1:17" x14ac:dyDescent="0.25">
      <c r="A2442" s="247" t="s">
        <v>646</v>
      </c>
      <c r="B2442" s="247" t="s">
        <v>265</v>
      </c>
      <c r="C2442" s="247" t="s">
        <v>1343</v>
      </c>
      <c r="D2442" s="247" t="s">
        <v>1172</v>
      </c>
      <c r="E2442" s="247" t="s">
        <v>1320</v>
      </c>
      <c r="F2442" s="247" t="s">
        <v>2210</v>
      </c>
      <c r="G2442" s="247" t="s">
        <v>1364</v>
      </c>
      <c r="H2442" s="247" t="s">
        <v>2022</v>
      </c>
      <c r="I2442" s="247" t="s">
        <v>2211</v>
      </c>
      <c r="J2442" s="247">
        <v>84</v>
      </c>
      <c r="K2442" s="247">
        <v>84</v>
      </c>
      <c r="L2442" s="249" t="s">
        <v>650</v>
      </c>
      <c r="M2442" s="249" t="s">
        <v>933</v>
      </c>
      <c r="N2442" s="248">
        <v>0</v>
      </c>
      <c r="O2442" s="248">
        <v>159.29</v>
      </c>
      <c r="P2442" s="247" t="s">
        <v>1440</v>
      </c>
      <c r="Q2442" s="247" t="s">
        <v>85</v>
      </c>
    </row>
    <row r="2443" spans="1:17" x14ac:dyDescent="0.25">
      <c r="A2443" s="247" t="s">
        <v>646</v>
      </c>
      <c r="B2443" s="247" t="s">
        <v>265</v>
      </c>
      <c r="C2443" s="247" t="s">
        <v>1343</v>
      </c>
      <c r="D2443" s="247" t="s">
        <v>1172</v>
      </c>
      <c r="E2443" s="247" t="s">
        <v>1320</v>
      </c>
      <c r="F2443" s="247" t="s">
        <v>2210</v>
      </c>
      <c r="G2443" s="247" t="s">
        <v>1364</v>
      </c>
      <c r="H2443" s="247" t="s">
        <v>2022</v>
      </c>
      <c r="I2443" s="247" t="s">
        <v>2211</v>
      </c>
      <c r="J2443" s="247">
        <v>84</v>
      </c>
      <c r="K2443" s="247">
        <v>84</v>
      </c>
      <c r="L2443" s="249" t="s">
        <v>652</v>
      </c>
      <c r="M2443" s="249" t="s">
        <v>933</v>
      </c>
      <c r="N2443" s="248">
        <v>0</v>
      </c>
      <c r="O2443" s="248">
        <v>159.29</v>
      </c>
      <c r="P2443" s="247" t="s">
        <v>1440</v>
      </c>
      <c r="Q2443" s="247" t="s">
        <v>86</v>
      </c>
    </row>
    <row r="2444" spans="1:17" x14ac:dyDescent="0.25">
      <c r="A2444" s="247" t="s">
        <v>646</v>
      </c>
      <c r="B2444" s="247" t="s">
        <v>265</v>
      </c>
      <c r="C2444" s="247" t="s">
        <v>1343</v>
      </c>
      <c r="D2444" s="247" t="s">
        <v>926</v>
      </c>
      <c r="E2444" s="247" t="s">
        <v>1324</v>
      </c>
      <c r="F2444" s="247" t="s">
        <v>2212</v>
      </c>
      <c r="G2444" s="247" t="s">
        <v>1344</v>
      </c>
      <c r="H2444" s="247" t="s">
        <v>396</v>
      </c>
      <c r="I2444" s="247" t="s">
        <v>2213</v>
      </c>
      <c r="J2444" s="247" t="s">
        <v>171</v>
      </c>
      <c r="K2444" s="247" t="s">
        <v>171</v>
      </c>
      <c r="L2444" s="249" t="s">
        <v>646</v>
      </c>
      <c r="M2444" s="249" t="s">
        <v>933</v>
      </c>
      <c r="N2444" s="248">
        <v>535.02</v>
      </c>
      <c r="O2444" s="248">
        <v>535.02</v>
      </c>
      <c r="P2444" s="247" t="s">
        <v>1441</v>
      </c>
      <c r="Q2444" s="247" t="s">
        <v>84</v>
      </c>
    </row>
    <row r="2445" spans="1:17" x14ac:dyDescent="0.25">
      <c r="A2445" s="247" t="s">
        <v>646</v>
      </c>
      <c r="B2445" s="247" t="s">
        <v>265</v>
      </c>
      <c r="C2445" s="247" t="s">
        <v>1343</v>
      </c>
      <c r="D2445" s="247" t="s">
        <v>926</v>
      </c>
      <c r="E2445" s="247" t="s">
        <v>1324</v>
      </c>
      <c r="F2445" s="247" t="s">
        <v>2212</v>
      </c>
      <c r="G2445" s="247" t="s">
        <v>1344</v>
      </c>
      <c r="H2445" s="247" t="s">
        <v>396</v>
      </c>
      <c r="I2445" s="247" t="s">
        <v>2213</v>
      </c>
      <c r="J2445" s="247" t="s">
        <v>171</v>
      </c>
      <c r="K2445" s="247" t="s">
        <v>171</v>
      </c>
      <c r="L2445" s="249" t="s">
        <v>650</v>
      </c>
      <c r="M2445" s="249" t="s">
        <v>933</v>
      </c>
      <c r="N2445" s="248">
        <v>367.24</v>
      </c>
      <c r="O2445" s="248">
        <v>902.26</v>
      </c>
      <c r="P2445" s="247" t="s">
        <v>1441</v>
      </c>
      <c r="Q2445" s="247" t="s">
        <v>85</v>
      </c>
    </row>
    <row r="2446" spans="1:17" x14ac:dyDescent="0.25">
      <c r="A2446" s="247" t="s">
        <v>646</v>
      </c>
      <c r="B2446" s="247" t="s">
        <v>265</v>
      </c>
      <c r="C2446" s="247" t="s">
        <v>1343</v>
      </c>
      <c r="D2446" s="247" t="s">
        <v>926</v>
      </c>
      <c r="E2446" s="247" t="s">
        <v>1324</v>
      </c>
      <c r="F2446" s="247" t="s">
        <v>2212</v>
      </c>
      <c r="G2446" s="247" t="s">
        <v>1344</v>
      </c>
      <c r="H2446" s="247" t="s">
        <v>396</v>
      </c>
      <c r="I2446" s="247" t="s">
        <v>2213</v>
      </c>
      <c r="J2446" s="247" t="s">
        <v>171</v>
      </c>
      <c r="K2446" s="247" t="s">
        <v>171</v>
      </c>
      <c r="L2446" s="249" t="s">
        <v>652</v>
      </c>
      <c r="M2446" s="249" t="s">
        <v>933</v>
      </c>
      <c r="N2446" s="248">
        <v>1092.71</v>
      </c>
      <c r="O2446" s="248">
        <v>1994.97</v>
      </c>
      <c r="P2446" s="247" t="s">
        <v>1441</v>
      </c>
      <c r="Q2446" s="247" t="s">
        <v>86</v>
      </c>
    </row>
    <row r="2447" spans="1:17" x14ac:dyDescent="0.25">
      <c r="A2447" s="247" t="s">
        <v>646</v>
      </c>
      <c r="B2447" s="247" t="s">
        <v>265</v>
      </c>
      <c r="C2447" s="247" t="s">
        <v>1343</v>
      </c>
      <c r="D2447" s="247" t="s">
        <v>926</v>
      </c>
      <c r="E2447" s="247" t="s">
        <v>1324</v>
      </c>
      <c r="F2447" s="247" t="s">
        <v>2212</v>
      </c>
      <c r="G2447" s="247" t="s">
        <v>1344</v>
      </c>
      <c r="H2447" s="247" t="s">
        <v>396</v>
      </c>
      <c r="I2447" s="247" t="s">
        <v>2213</v>
      </c>
      <c r="J2447" s="247" t="s">
        <v>171</v>
      </c>
      <c r="K2447" s="247" t="s">
        <v>171</v>
      </c>
      <c r="L2447" s="249" t="s">
        <v>789</v>
      </c>
      <c r="M2447" s="249" t="s">
        <v>929</v>
      </c>
      <c r="N2447" s="248">
        <v>557.55999999999995</v>
      </c>
      <c r="O2447" s="248">
        <v>557.55999999999995</v>
      </c>
      <c r="P2447" s="247" t="s">
        <v>1441</v>
      </c>
      <c r="Q2447" s="247" t="s">
        <v>87</v>
      </c>
    </row>
    <row r="2448" spans="1:17" x14ac:dyDescent="0.25">
      <c r="A2448" s="247" t="s">
        <v>646</v>
      </c>
      <c r="B2448" s="247" t="s">
        <v>265</v>
      </c>
      <c r="C2448" s="247" t="s">
        <v>1343</v>
      </c>
      <c r="D2448" s="247" t="s">
        <v>926</v>
      </c>
      <c r="E2448" s="247" t="s">
        <v>1324</v>
      </c>
      <c r="F2448" s="247" t="s">
        <v>2212</v>
      </c>
      <c r="G2448" s="247" t="s">
        <v>1344</v>
      </c>
      <c r="H2448" s="247" t="s">
        <v>396</v>
      </c>
      <c r="I2448" s="247" t="s">
        <v>2213</v>
      </c>
      <c r="J2448" s="247" t="s">
        <v>171</v>
      </c>
      <c r="K2448" s="247" t="s">
        <v>171</v>
      </c>
      <c r="L2448" s="249" t="s">
        <v>791</v>
      </c>
      <c r="M2448" s="249" t="s">
        <v>929</v>
      </c>
      <c r="N2448" s="248">
        <v>557.55999999999995</v>
      </c>
      <c r="O2448" s="248">
        <v>1115.1199999999999</v>
      </c>
      <c r="P2448" s="247" t="s">
        <v>1441</v>
      </c>
      <c r="Q2448" s="247" t="s">
        <v>88</v>
      </c>
    </row>
    <row r="2449" spans="1:17" x14ac:dyDescent="0.25">
      <c r="A2449" s="247" t="s">
        <v>646</v>
      </c>
      <c r="B2449" s="247" t="s">
        <v>265</v>
      </c>
      <c r="C2449" s="247" t="s">
        <v>1343</v>
      </c>
      <c r="D2449" s="247" t="s">
        <v>926</v>
      </c>
      <c r="E2449" s="247" t="s">
        <v>1324</v>
      </c>
      <c r="F2449" s="247" t="s">
        <v>2212</v>
      </c>
      <c r="G2449" s="247" t="s">
        <v>1344</v>
      </c>
      <c r="H2449" s="247" t="s">
        <v>396</v>
      </c>
      <c r="I2449" s="247" t="s">
        <v>2213</v>
      </c>
      <c r="J2449" s="247" t="s">
        <v>171</v>
      </c>
      <c r="K2449" s="247" t="s">
        <v>171</v>
      </c>
      <c r="L2449" s="249" t="s">
        <v>935</v>
      </c>
      <c r="M2449" s="249" t="s">
        <v>929</v>
      </c>
      <c r="N2449" s="248">
        <v>1672.68</v>
      </c>
      <c r="O2449" s="248">
        <v>2787.8</v>
      </c>
      <c r="P2449" s="247" t="s">
        <v>1441</v>
      </c>
      <c r="Q2449" s="247" t="s">
        <v>89</v>
      </c>
    </row>
    <row r="2450" spans="1:17" x14ac:dyDescent="0.25">
      <c r="A2450" s="247" t="s">
        <v>646</v>
      </c>
      <c r="B2450" s="247" t="s">
        <v>265</v>
      </c>
      <c r="C2450" s="247" t="s">
        <v>1343</v>
      </c>
      <c r="D2450" s="247" t="s">
        <v>926</v>
      </c>
      <c r="E2450" s="247" t="s">
        <v>1324</v>
      </c>
      <c r="F2450" s="247" t="s">
        <v>2212</v>
      </c>
      <c r="G2450" s="247" t="s">
        <v>1344</v>
      </c>
      <c r="H2450" s="247" t="s">
        <v>396</v>
      </c>
      <c r="I2450" s="247" t="s">
        <v>2213</v>
      </c>
      <c r="J2450" s="247" t="s">
        <v>171</v>
      </c>
      <c r="K2450" s="247" t="s">
        <v>171</v>
      </c>
      <c r="L2450" s="249" t="s">
        <v>936</v>
      </c>
      <c r="M2450" s="249" t="s">
        <v>929</v>
      </c>
      <c r="N2450" s="248">
        <v>1672.68</v>
      </c>
      <c r="O2450" s="248">
        <v>4460.4799999999996</v>
      </c>
      <c r="P2450" s="247" t="s">
        <v>1441</v>
      </c>
      <c r="Q2450" s="247" t="s">
        <v>90</v>
      </c>
    </row>
    <row r="2451" spans="1:17" x14ac:dyDescent="0.25">
      <c r="A2451" s="247" t="s">
        <v>646</v>
      </c>
      <c r="B2451" s="247" t="s">
        <v>265</v>
      </c>
      <c r="C2451" s="247" t="s">
        <v>1343</v>
      </c>
      <c r="D2451" s="247" t="s">
        <v>926</v>
      </c>
      <c r="E2451" s="247" t="s">
        <v>1324</v>
      </c>
      <c r="F2451" s="247" t="s">
        <v>2212</v>
      </c>
      <c r="G2451" s="247" t="s">
        <v>1344</v>
      </c>
      <c r="H2451" s="247" t="s">
        <v>396</v>
      </c>
      <c r="I2451" s="247" t="s">
        <v>2213</v>
      </c>
      <c r="J2451" s="247" t="s">
        <v>171</v>
      </c>
      <c r="K2451" s="247" t="s">
        <v>171</v>
      </c>
      <c r="L2451" s="249" t="s">
        <v>937</v>
      </c>
      <c r="M2451" s="249" t="s">
        <v>929</v>
      </c>
      <c r="N2451" s="248">
        <v>1672.68</v>
      </c>
      <c r="O2451" s="248">
        <v>6133.16</v>
      </c>
      <c r="P2451" s="247" t="s">
        <v>1441</v>
      </c>
      <c r="Q2451" s="247" t="s">
        <v>91</v>
      </c>
    </row>
    <row r="2452" spans="1:17" x14ac:dyDescent="0.25">
      <c r="A2452" s="247" t="s">
        <v>646</v>
      </c>
      <c r="B2452" s="247" t="s">
        <v>265</v>
      </c>
      <c r="C2452" s="247" t="s">
        <v>1343</v>
      </c>
      <c r="D2452" s="247" t="s">
        <v>926</v>
      </c>
      <c r="E2452" s="247" t="s">
        <v>1324</v>
      </c>
      <c r="F2452" s="247" t="s">
        <v>2212</v>
      </c>
      <c r="G2452" s="247" t="s">
        <v>1344</v>
      </c>
      <c r="H2452" s="247" t="s">
        <v>396</v>
      </c>
      <c r="I2452" s="247" t="s">
        <v>2213</v>
      </c>
      <c r="J2452" s="247" t="s">
        <v>171</v>
      </c>
      <c r="K2452" s="247" t="s">
        <v>171</v>
      </c>
      <c r="L2452" s="249" t="s">
        <v>938</v>
      </c>
      <c r="M2452" s="249" t="s">
        <v>929</v>
      </c>
      <c r="N2452" s="248">
        <v>1115.1199999999999</v>
      </c>
      <c r="O2452" s="248">
        <v>7248.28</v>
      </c>
      <c r="P2452" s="247" t="s">
        <v>1441</v>
      </c>
      <c r="Q2452" s="247" t="s">
        <v>92</v>
      </c>
    </row>
    <row r="2453" spans="1:17" x14ac:dyDescent="0.25">
      <c r="A2453" s="247" t="s">
        <v>646</v>
      </c>
      <c r="B2453" s="247" t="s">
        <v>265</v>
      </c>
      <c r="C2453" s="247" t="s">
        <v>1343</v>
      </c>
      <c r="D2453" s="247" t="s">
        <v>926</v>
      </c>
      <c r="E2453" s="247" t="s">
        <v>1324</v>
      </c>
      <c r="F2453" s="247" t="s">
        <v>2212</v>
      </c>
      <c r="G2453" s="247" t="s">
        <v>1344</v>
      </c>
      <c r="H2453" s="247" t="s">
        <v>396</v>
      </c>
      <c r="I2453" s="247" t="s">
        <v>2213</v>
      </c>
      <c r="J2453" s="247" t="s">
        <v>171</v>
      </c>
      <c r="K2453" s="247" t="s">
        <v>171</v>
      </c>
      <c r="L2453" s="249" t="s">
        <v>939</v>
      </c>
      <c r="M2453" s="249" t="s">
        <v>929</v>
      </c>
      <c r="N2453" s="248">
        <v>1115.1199999999999</v>
      </c>
      <c r="O2453" s="248">
        <v>8363.4</v>
      </c>
      <c r="P2453" s="247" t="s">
        <v>1441</v>
      </c>
      <c r="Q2453" s="247" t="s">
        <v>93</v>
      </c>
    </row>
    <row r="2454" spans="1:17" x14ac:dyDescent="0.25">
      <c r="A2454" s="247" t="s">
        <v>646</v>
      </c>
      <c r="B2454" s="247" t="s">
        <v>265</v>
      </c>
      <c r="C2454" s="247" t="s">
        <v>1343</v>
      </c>
      <c r="D2454" s="247" t="s">
        <v>926</v>
      </c>
      <c r="E2454" s="247" t="s">
        <v>1324</v>
      </c>
      <c r="F2454" s="247" t="s">
        <v>2212</v>
      </c>
      <c r="G2454" s="247" t="s">
        <v>1344</v>
      </c>
      <c r="H2454" s="247" t="s">
        <v>396</v>
      </c>
      <c r="I2454" s="247" t="s">
        <v>2213</v>
      </c>
      <c r="J2454" s="247" t="s">
        <v>171</v>
      </c>
      <c r="K2454" s="247" t="s">
        <v>171</v>
      </c>
      <c r="L2454" s="249" t="s">
        <v>940</v>
      </c>
      <c r="M2454" s="249" t="s">
        <v>929</v>
      </c>
      <c r="N2454" s="248">
        <v>1672.68</v>
      </c>
      <c r="O2454" s="248">
        <v>10036.08</v>
      </c>
      <c r="P2454" s="247" t="s">
        <v>1441</v>
      </c>
      <c r="Q2454" s="247" t="s">
        <v>94</v>
      </c>
    </row>
    <row r="2455" spans="1:17" x14ac:dyDescent="0.25">
      <c r="A2455" s="247" t="s">
        <v>646</v>
      </c>
      <c r="B2455" s="247" t="s">
        <v>265</v>
      </c>
      <c r="C2455" s="247" t="s">
        <v>1343</v>
      </c>
      <c r="D2455" s="247" t="s">
        <v>926</v>
      </c>
      <c r="E2455" s="247" t="s">
        <v>1324</v>
      </c>
      <c r="F2455" s="247" t="s">
        <v>2212</v>
      </c>
      <c r="G2455" s="247" t="s">
        <v>1344</v>
      </c>
      <c r="H2455" s="247" t="s">
        <v>396</v>
      </c>
      <c r="I2455" s="247" t="s">
        <v>2213</v>
      </c>
      <c r="J2455" s="247" t="s">
        <v>171</v>
      </c>
      <c r="K2455" s="247" t="s">
        <v>171</v>
      </c>
      <c r="L2455" s="249" t="s">
        <v>642</v>
      </c>
      <c r="M2455" s="249" t="s">
        <v>929</v>
      </c>
      <c r="N2455" s="248">
        <v>1672.68</v>
      </c>
      <c r="O2455" s="248">
        <v>11708.76</v>
      </c>
      <c r="P2455" s="247" t="s">
        <v>1441</v>
      </c>
      <c r="Q2455" s="247" t="s">
        <v>95</v>
      </c>
    </row>
    <row r="2456" spans="1:17" x14ac:dyDescent="0.25">
      <c r="A2456" s="247" t="s">
        <v>646</v>
      </c>
      <c r="B2456" s="247" t="s">
        <v>265</v>
      </c>
      <c r="C2456" s="247" t="s">
        <v>1343</v>
      </c>
      <c r="D2456" s="247" t="s">
        <v>711</v>
      </c>
      <c r="E2456" s="247" t="s">
        <v>1324</v>
      </c>
      <c r="F2456" s="247" t="s">
        <v>2214</v>
      </c>
      <c r="G2456" s="247" t="s">
        <v>1346</v>
      </c>
      <c r="H2456" s="247" t="s">
        <v>396</v>
      </c>
      <c r="I2456" s="247" t="s">
        <v>2215</v>
      </c>
      <c r="J2456" s="247" t="s">
        <v>172</v>
      </c>
      <c r="K2456" s="247" t="s">
        <v>172</v>
      </c>
      <c r="L2456" s="249" t="s">
        <v>652</v>
      </c>
      <c r="M2456" s="249" t="s">
        <v>933</v>
      </c>
      <c r="N2456" s="248">
        <v>30.45</v>
      </c>
      <c r="O2456" s="248">
        <v>30.45</v>
      </c>
      <c r="P2456" s="247" t="s">
        <v>1442</v>
      </c>
      <c r="Q2456" s="247" t="s">
        <v>86</v>
      </c>
    </row>
    <row r="2457" spans="1:17" x14ac:dyDescent="0.25">
      <c r="A2457" s="247" t="s">
        <v>646</v>
      </c>
      <c r="B2457" s="247" t="s">
        <v>265</v>
      </c>
      <c r="C2457" s="247" t="s">
        <v>1343</v>
      </c>
      <c r="D2457" s="247" t="s">
        <v>755</v>
      </c>
      <c r="E2457" s="247" t="s">
        <v>1324</v>
      </c>
      <c r="F2457" s="247" t="s">
        <v>2216</v>
      </c>
      <c r="G2457" s="247" t="s">
        <v>1388</v>
      </c>
      <c r="H2457" s="247" t="s">
        <v>396</v>
      </c>
      <c r="I2457" s="247" t="s">
        <v>2217</v>
      </c>
      <c r="J2457" s="247" t="s">
        <v>172</v>
      </c>
      <c r="K2457" s="247" t="s">
        <v>172</v>
      </c>
      <c r="L2457" s="249" t="s">
        <v>646</v>
      </c>
      <c r="M2457" s="249" t="s">
        <v>933</v>
      </c>
      <c r="N2457" s="248">
        <v>21.5</v>
      </c>
      <c r="O2457" s="248">
        <v>21.5</v>
      </c>
      <c r="P2457" s="247" t="s">
        <v>1443</v>
      </c>
      <c r="Q2457" s="247" t="s">
        <v>84</v>
      </c>
    </row>
    <row r="2458" spans="1:17" x14ac:dyDescent="0.25">
      <c r="A2458" s="247" t="s">
        <v>646</v>
      </c>
      <c r="B2458" s="247" t="s">
        <v>265</v>
      </c>
      <c r="C2458" s="247" t="s">
        <v>1343</v>
      </c>
      <c r="D2458" s="247" t="s">
        <v>755</v>
      </c>
      <c r="E2458" s="247" t="s">
        <v>1324</v>
      </c>
      <c r="F2458" s="247" t="s">
        <v>2216</v>
      </c>
      <c r="G2458" s="247" t="s">
        <v>1388</v>
      </c>
      <c r="H2458" s="247" t="s">
        <v>396</v>
      </c>
      <c r="I2458" s="247" t="s">
        <v>2217</v>
      </c>
      <c r="J2458" s="247" t="s">
        <v>172</v>
      </c>
      <c r="K2458" s="247" t="s">
        <v>172</v>
      </c>
      <c r="L2458" s="249" t="s">
        <v>650</v>
      </c>
      <c r="M2458" s="249" t="s">
        <v>933</v>
      </c>
      <c r="N2458" s="248">
        <v>21.5</v>
      </c>
      <c r="O2458" s="248">
        <v>43</v>
      </c>
      <c r="P2458" s="247" t="s">
        <v>1443</v>
      </c>
      <c r="Q2458" s="247" t="s">
        <v>85</v>
      </c>
    </row>
    <row r="2459" spans="1:17" x14ac:dyDescent="0.25">
      <c r="A2459" s="247" t="s">
        <v>646</v>
      </c>
      <c r="B2459" s="247" t="s">
        <v>265</v>
      </c>
      <c r="C2459" s="247" t="s">
        <v>1343</v>
      </c>
      <c r="D2459" s="247" t="s">
        <v>755</v>
      </c>
      <c r="E2459" s="247" t="s">
        <v>1324</v>
      </c>
      <c r="F2459" s="247" t="s">
        <v>2216</v>
      </c>
      <c r="G2459" s="247" t="s">
        <v>1388</v>
      </c>
      <c r="H2459" s="247" t="s">
        <v>396</v>
      </c>
      <c r="I2459" s="247" t="s">
        <v>2217</v>
      </c>
      <c r="J2459" s="247" t="s">
        <v>172</v>
      </c>
      <c r="K2459" s="247" t="s">
        <v>172</v>
      </c>
      <c r="L2459" s="249" t="s">
        <v>652</v>
      </c>
      <c r="M2459" s="249" t="s">
        <v>933</v>
      </c>
      <c r="N2459" s="248">
        <v>21.5</v>
      </c>
      <c r="O2459" s="248">
        <v>64.5</v>
      </c>
      <c r="P2459" s="247" t="s">
        <v>1443</v>
      </c>
      <c r="Q2459" s="247" t="s">
        <v>86</v>
      </c>
    </row>
    <row r="2460" spans="1:17" x14ac:dyDescent="0.25">
      <c r="A2460" s="247" t="s">
        <v>646</v>
      </c>
      <c r="B2460" s="247" t="s">
        <v>265</v>
      </c>
      <c r="C2460" s="247" t="s">
        <v>1343</v>
      </c>
      <c r="D2460" s="247" t="s">
        <v>755</v>
      </c>
      <c r="E2460" s="247" t="s">
        <v>1324</v>
      </c>
      <c r="F2460" s="247" t="s">
        <v>2216</v>
      </c>
      <c r="G2460" s="247" t="s">
        <v>1388</v>
      </c>
      <c r="H2460" s="247" t="s">
        <v>396</v>
      </c>
      <c r="I2460" s="247" t="s">
        <v>2217</v>
      </c>
      <c r="J2460" s="247" t="s">
        <v>172</v>
      </c>
      <c r="K2460" s="247" t="s">
        <v>172</v>
      </c>
      <c r="L2460" s="249" t="s">
        <v>789</v>
      </c>
      <c r="M2460" s="249" t="s">
        <v>929</v>
      </c>
      <c r="N2460" s="248">
        <v>21.5</v>
      </c>
      <c r="O2460" s="248">
        <v>21.5</v>
      </c>
      <c r="P2460" s="247" t="s">
        <v>1443</v>
      </c>
      <c r="Q2460" s="247" t="s">
        <v>87</v>
      </c>
    </row>
    <row r="2461" spans="1:17" x14ac:dyDescent="0.25">
      <c r="A2461" s="247" t="s">
        <v>646</v>
      </c>
      <c r="B2461" s="247" t="s">
        <v>265</v>
      </c>
      <c r="C2461" s="247" t="s">
        <v>1343</v>
      </c>
      <c r="D2461" s="247" t="s">
        <v>755</v>
      </c>
      <c r="E2461" s="247" t="s">
        <v>1324</v>
      </c>
      <c r="F2461" s="247" t="s">
        <v>2216</v>
      </c>
      <c r="G2461" s="247" t="s">
        <v>1388</v>
      </c>
      <c r="H2461" s="247" t="s">
        <v>396</v>
      </c>
      <c r="I2461" s="247" t="s">
        <v>2217</v>
      </c>
      <c r="J2461" s="247" t="s">
        <v>172</v>
      </c>
      <c r="K2461" s="247" t="s">
        <v>172</v>
      </c>
      <c r="L2461" s="249" t="s">
        <v>791</v>
      </c>
      <c r="M2461" s="249" t="s">
        <v>929</v>
      </c>
      <c r="N2461" s="248">
        <v>0</v>
      </c>
      <c r="O2461" s="248">
        <v>21.5</v>
      </c>
      <c r="P2461" s="247" t="s">
        <v>1443</v>
      </c>
      <c r="Q2461" s="247" t="s">
        <v>88</v>
      </c>
    </row>
    <row r="2462" spans="1:17" x14ac:dyDescent="0.25">
      <c r="A2462" s="247" t="s">
        <v>646</v>
      </c>
      <c r="B2462" s="247" t="s">
        <v>265</v>
      </c>
      <c r="C2462" s="247" t="s">
        <v>1343</v>
      </c>
      <c r="D2462" s="247" t="s">
        <v>755</v>
      </c>
      <c r="E2462" s="247" t="s">
        <v>1324</v>
      </c>
      <c r="F2462" s="247" t="s">
        <v>2216</v>
      </c>
      <c r="G2462" s="247" t="s">
        <v>1388</v>
      </c>
      <c r="H2462" s="247" t="s">
        <v>396</v>
      </c>
      <c r="I2462" s="247" t="s">
        <v>2217</v>
      </c>
      <c r="J2462" s="247" t="s">
        <v>172</v>
      </c>
      <c r="K2462" s="247" t="s">
        <v>172</v>
      </c>
      <c r="L2462" s="249" t="s">
        <v>935</v>
      </c>
      <c r="M2462" s="249" t="s">
        <v>929</v>
      </c>
      <c r="N2462" s="248">
        <v>0</v>
      </c>
      <c r="O2462" s="248">
        <v>21.5</v>
      </c>
      <c r="P2462" s="247" t="s">
        <v>1443</v>
      </c>
      <c r="Q2462" s="247" t="s">
        <v>89</v>
      </c>
    </row>
    <row r="2463" spans="1:17" x14ac:dyDescent="0.25">
      <c r="A2463" s="247" t="s">
        <v>646</v>
      </c>
      <c r="B2463" s="247" t="s">
        <v>265</v>
      </c>
      <c r="C2463" s="247" t="s">
        <v>1343</v>
      </c>
      <c r="D2463" s="247" t="s">
        <v>755</v>
      </c>
      <c r="E2463" s="247" t="s">
        <v>1324</v>
      </c>
      <c r="F2463" s="247" t="s">
        <v>2216</v>
      </c>
      <c r="G2463" s="247" t="s">
        <v>1388</v>
      </c>
      <c r="H2463" s="247" t="s">
        <v>396</v>
      </c>
      <c r="I2463" s="247" t="s">
        <v>2217</v>
      </c>
      <c r="J2463" s="247" t="s">
        <v>172</v>
      </c>
      <c r="K2463" s="247" t="s">
        <v>172</v>
      </c>
      <c r="L2463" s="249" t="s">
        <v>936</v>
      </c>
      <c r="M2463" s="249" t="s">
        <v>929</v>
      </c>
      <c r="N2463" s="248">
        <v>21.5</v>
      </c>
      <c r="O2463" s="248">
        <v>43</v>
      </c>
      <c r="P2463" s="247" t="s">
        <v>1443</v>
      </c>
      <c r="Q2463" s="247" t="s">
        <v>90</v>
      </c>
    </row>
    <row r="2464" spans="1:17" x14ac:dyDescent="0.25">
      <c r="A2464" s="247" t="s">
        <v>646</v>
      </c>
      <c r="B2464" s="247" t="s">
        <v>265</v>
      </c>
      <c r="C2464" s="247" t="s">
        <v>1343</v>
      </c>
      <c r="D2464" s="247" t="s">
        <v>755</v>
      </c>
      <c r="E2464" s="247" t="s">
        <v>1324</v>
      </c>
      <c r="F2464" s="247" t="s">
        <v>2216</v>
      </c>
      <c r="G2464" s="247" t="s">
        <v>1388</v>
      </c>
      <c r="H2464" s="247" t="s">
        <v>396</v>
      </c>
      <c r="I2464" s="247" t="s">
        <v>2217</v>
      </c>
      <c r="J2464" s="247" t="s">
        <v>172</v>
      </c>
      <c r="K2464" s="247" t="s">
        <v>172</v>
      </c>
      <c r="L2464" s="249" t="s">
        <v>937</v>
      </c>
      <c r="M2464" s="249" t="s">
        <v>929</v>
      </c>
      <c r="N2464" s="248">
        <v>21.5</v>
      </c>
      <c r="O2464" s="248">
        <v>64.5</v>
      </c>
      <c r="P2464" s="247" t="s">
        <v>1443</v>
      </c>
      <c r="Q2464" s="247" t="s">
        <v>91</v>
      </c>
    </row>
    <row r="2465" spans="1:17" x14ac:dyDescent="0.25">
      <c r="A2465" s="247" t="s">
        <v>646</v>
      </c>
      <c r="B2465" s="247" t="s">
        <v>265</v>
      </c>
      <c r="C2465" s="247" t="s">
        <v>1343</v>
      </c>
      <c r="D2465" s="247" t="s">
        <v>755</v>
      </c>
      <c r="E2465" s="247" t="s">
        <v>1324</v>
      </c>
      <c r="F2465" s="247" t="s">
        <v>2216</v>
      </c>
      <c r="G2465" s="247" t="s">
        <v>1388</v>
      </c>
      <c r="H2465" s="247" t="s">
        <v>396</v>
      </c>
      <c r="I2465" s="247" t="s">
        <v>2217</v>
      </c>
      <c r="J2465" s="247" t="s">
        <v>172</v>
      </c>
      <c r="K2465" s="247" t="s">
        <v>172</v>
      </c>
      <c r="L2465" s="249" t="s">
        <v>938</v>
      </c>
      <c r="M2465" s="249" t="s">
        <v>929</v>
      </c>
      <c r="N2465" s="248">
        <v>150.5</v>
      </c>
      <c r="O2465" s="248">
        <v>215</v>
      </c>
      <c r="P2465" s="247" t="s">
        <v>1443</v>
      </c>
      <c r="Q2465" s="247" t="s">
        <v>92</v>
      </c>
    </row>
    <row r="2466" spans="1:17" x14ac:dyDescent="0.25">
      <c r="A2466" s="247" t="s">
        <v>646</v>
      </c>
      <c r="B2466" s="247" t="s">
        <v>265</v>
      </c>
      <c r="C2466" s="247" t="s">
        <v>1343</v>
      </c>
      <c r="D2466" s="247" t="s">
        <v>755</v>
      </c>
      <c r="E2466" s="247" t="s">
        <v>1324</v>
      </c>
      <c r="F2466" s="247" t="s">
        <v>2216</v>
      </c>
      <c r="G2466" s="247" t="s">
        <v>1388</v>
      </c>
      <c r="H2466" s="247" t="s">
        <v>396</v>
      </c>
      <c r="I2466" s="247" t="s">
        <v>2217</v>
      </c>
      <c r="J2466" s="247" t="s">
        <v>172</v>
      </c>
      <c r="K2466" s="247" t="s">
        <v>172</v>
      </c>
      <c r="L2466" s="249" t="s">
        <v>939</v>
      </c>
      <c r="M2466" s="249" t="s">
        <v>929</v>
      </c>
      <c r="N2466" s="248">
        <v>-107.5</v>
      </c>
      <c r="O2466" s="248">
        <v>107.5</v>
      </c>
      <c r="P2466" s="247" t="s">
        <v>1443</v>
      </c>
      <c r="Q2466" s="247" t="s">
        <v>93</v>
      </c>
    </row>
    <row r="2467" spans="1:17" x14ac:dyDescent="0.25">
      <c r="A2467" s="247" t="s">
        <v>646</v>
      </c>
      <c r="B2467" s="247" t="s">
        <v>265</v>
      </c>
      <c r="C2467" s="247" t="s">
        <v>1343</v>
      </c>
      <c r="D2467" s="247" t="s">
        <v>755</v>
      </c>
      <c r="E2467" s="247" t="s">
        <v>1324</v>
      </c>
      <c r="F2467" s="247" t="s">
        <v>2216</v>
      </c>
      <c r="G2467" s="247" t="s">
        <v>1388</v>
      </c>
      <c r="H2467" s="247" t="s">
        <v>396</v>
      </c>
      <c r="I2467" s="247" t="s">
        <v>2217</v>
      </c>
      <c r="J2467" s="247" t="s">
        <v>172</v>
      </c>
      <c r="K2467" s="247" t="s">
        <v>172</v>
      </c>
      <c r="L2467" s="249" t="s">
        <v>940</v>
      </c>
      <c r="M2467" s="249" t="s">
        <v>929</v>
      </c>
      <c r="N2467" s="248">
        <v>21.5</v>
      </c>
      <c r="O2467" s="248">
        <v>129</v>
      </c>
      <c r="P2467" s="247" t="s">
        <v>1443</v>
      </c>
      <c r="Q2467" s="247" t="s">
        <v>94</v>
      </c>
    </row>
    <row r="2468" spans="1:17" x14ac:dyDescent="0.25">
      <c r="A2468" s="247" t="s">
        <v>646</v>
      </c>
      <c r="B2468" s="247" t="s">
        <v>265</v>
      </c>
      <c r="C2468" s="247" t="s">
        <v>1343</v>
      </c>
      <c r="D2468" s="247" t="s">
        <v>755</v>
      </c>
      <c r="E2468" s="247" t="s">
        <v>1324</v>
      </c>
      <c r="F2468" s="247" t="s">
        <v>2216</v>
      </c>
      <c r="G2468" s="247" t="s">
        <v>1388</v>
      </c>
      <c r="H2468" s="247" t="s">
        <v>396</v>
      </c>
      <c r="I2468" s="247" t="s">
        <v>2217</v>
      </c>
      <c r="J2468" s="247" t="s">
        <v>172</v>
      </c>
      <c r="K2468" s="247" t="s">
        <v>172</v>
      </c>
      <c r="L2468" s="249" t="s">
        <v>642</v>
      </c>
      <c r="M2468" s="249" t="s">
        <v>929</v>
      </c>
      <c r="N2468" s="248">
        <v>43</v>
      </c>
      <c r="O2468" s="248">
        <v>172</v>
      </c>
      <c r="P2468" s="247" t="s">
        <v>1443</v>
      </c>
      <c r="Q2468" s="247" t="s">
        <v>95</v>
      </c>
    </row>
    <row r="2469" spans="1:17" x14ac:dyDescent="0.25">
      <c r="A2469" s="247" t="s">
        <v>646</v>
      </c>
      <c r="B2469" s="247" t="s">
        <v>265</v>
      </c>
      <c r="C2469" s="247" t="s">
        <v>1343</v>
      </c>
      <c r="D2469" s="247" t="s">
        <v>823</v>
      </c>
      <c r="E2469" s="247" t="s">
        <v>1324</v>
      </c>
      <c r="F2469" s="247" t="s">
        <v>2218</v>
      </c>
      <c r="G2469" s="247" t="s">
        <v>1390</v>
      </c>
      <c r="H2469" s="247" t="s">
        <v>396</v>
      </c>
      <c r="I2469" s="247" t="s">
        <v>2219</v>
      </c>
      <c r="J2469" s="247">
        <v>69</v>
      </c>
      <c r="K2469" s="247">
        <v>69</v>
      </c>
      <c r="L2469" s="249" t="s">
        <v>652</v>
      </c>
      <c r="M2469" s="249" t="s">
        <v>933</v>
      </c>
      <c r="N2469" s="248">
        <v>170.64</v>
      </c>
      <c r="O2469" s="248">
        <v>170.64</v>
      </c>
      <c r="P2469" s="247" t="s">
        <v>1444</v>
      </c>
      <c r="Q2469" s="247" t="s">
        <v>86</v>
      </c>
    </row>
    <row r="2470" spans="1:17" x14ac:dyDescent="0.25">
      <c r="A2470" s="247" t="s">
        <v>646</v>
      </c>
      <c r="B2470" s="247" t="s">
        <v>265</v>
      </c>
      <c r="C2470" s="247" t="s">
        <v>1343</v>
      </c>
      <c r="D2470" s="247" t="s">
        <v>569</v>
      </c>
      <c r="E2470" s="247" t="s">
        <v>1324</v>
      </c>
      <c r="F2470" s="247" t="s">
        <v>2220</v>
      </c>
      <c r="G2470" s="247" t="s">
        <v>1352</v>
      </c>
      <c r="H2470" s="247" t="s">
        <v>396</v>
      </c>
      <c r="I2470" s="247" t="s">
        <v>2221</v>
      </c>
      <c r="J2470" s="247" t="s">
        <v>174</v>
      </c>
      <c r="K2470" s="247" t="s">
        <v>174</v>
      </c>
      <c r="L2470" s="249" t="s">
        <v>646</v>
      </c>
      <c r="M2470" s="249" t="s">
        <v>933</v>
      </c>
      <c r="N2470" s="248">
        <v>477.63</v>
      </c>
      <c r="O2470" s="248">
        <v>477.63</v>
      </c>
      <c r="P2470" s="247" t="s">
        <v>1445</v>
      </c>
      <c r="Q2470" s="247" t="s">
        <v>84</v>
      </c>
    </row>
    <row r="2471" spans="1:17" x14ac:dyDescent="0.25">
      <c r="A2471" s="247" t="s">
        <v>646</v>
      </c>
      <c r="B2471" s="247" t="s">
        <v>265</v>
      </c>
      <c r="C2471" s="247" t="s">
        <v>1343</v>
      </c>
      <c r="D2471" s="247" t="s">
        <v>569</v>
      </c>
      <c r="E2471" s="247" t="s">
        <v>1324</v>
      </c>
      <c r="F2471" s="247" t="s">
        <v>2220</v>
      </c>
      <c r="G2471" s="247" t="s">
        <v>1352</v>
      </c>
      <c r="H2471" s="247" t="s">
        <v>396</v>
      </c>
      <c r="I2471" s="247" t="s">
        <v>2221</v>
      </c>
      <c r="J2471" s="247" t="s">
        <v>174</v>
      </c>
      <c r="K2471" s="247" t="s">
        <v>174</v>
      </c>
      <c r="L2471" s="249" t="s">
        <v>650</v>
      </c>
      <c r="M2471" s="249" t="s">
        <v>933</v>
      </c>
      <c r="N2471" s="248">
        <v>303.97000000000003</v>
      </c>
      <c r="O2471" s="248">
        <v>781.6</v>
      </c>
      <c r="P2471" s="247" t="s">
        <v>1445</v>
      </c>
      <c r="Q2471" s="247" t="s">
        <v>85</v>
      </c>
    </row>
    <row r="2472" spans="1:17" x14ac:dyDescent="0.25">
      <c r="A2472" s="247" t="s">
        <v>646</v>
      </c>
      <c r="B2472" s="247" t="s">
        <v>265</v>
      </c>
      <c r="C2472" s="247" t="s">
        <v>1343</v>
      </c>
      <c r="D2472" s="247" t="s">
        <v>569</v>
      </c>
      <c r="E2472" s="247" t="s">
        <v>1324</v>
      </c>
      <c r="F2472" s="247" t="s">
        <v>2220</v>
      </c>
      <c r="G2472" s="247" t="s">
        <v>1352</v>
      </c>
      <c r="H2472" s="247" t="s">
        <v>396</v>
      </c>
      <c r="I2472" s="247" t="s">
        <v>2221</v>
      </c>
      <c r="J2472" s="247" t="s">
        <v>174</v>
      </c>
      <c r="K2472" s="247" t="s">
        <v>174</v>
      </c>
      <c r="L2472" s="249" t="s">
        <v>652</v>
      </c>
      <c r="M2472" s="249" t="s">
        <v>933</v>
      </c>
      <c r="N2472" s="248">
        <v>292.52999999999997</v>
      </c>
      <c r="O2472" s="248">
        <v>1074.1300000000001</v>
      </c>
      <c r="P2472" s="247" t="s">
        <v>1445</v>
      </c>
      <c r="Q2472" s="247" t="s">
        <v>86</v>
      </c>
    </row>
    <row r="2473" spans="1:17" x14ac:dyDescent="0.25">
      <c r="A2473" s="247" t="s">
        <v>646</v>
      </c>
      <c r="B2473" s="247" t="s">
        <v>265</v>
      </c>
      <c r="C2473" s="247" t="s">
        <v>1343</v>
      </c>
      <c r="D2473" s="247" t="s">
        <v>569</v>
      </c>
      <c r="E2473" s="247" t="s">
        <v>1324</v>
      </c>
      <c r="F2473" s="247" t="s">
        <v>2220</v>
      </c>
      <c r="G2473" s="247" t="s">
        <v>1352</v>
      </c>
      <c r="H2473" s="247" t="s">
        <v>396</v>
      </c>
      <c r="I2473" s="247" t="s">
        <v>2221</v>
      </c>
      <c r="J2473" s="247" t="s">
        <v>174</v>
      </c>
      <c r="K2473" s="247" t="s">
        <v>174</v>
      </c>
      <c r="L2473" s="249" t="s">
        <v>789</v>
      </c>
      <c r="M2473" s="249" t="s">
        <v>929</v>
      </c>
      <c r="N2473" s="248">
        <v>325.07</v>
      </c>
      <c r="O2473" s="248">
        <v>325.07</v>
      </c>
      <c r="P2473" s="247" t="s">
        <v>1445</v>
      </c>
      <c r="Q2473" s="247" t="s">
        <v>87</v>
      </c>
    </row>
    <row r="2474" spans="1:17" x14ac:dyDescent="0.25">
      <c r="A2474" s="247" t="s">
        <v>646</v>
      </c>
      <c r="B2474" s="247" t="s">
        <v>265</v>
      </c>
      <c r="C2474" s="247" t="s">
        <v>1343</v>
      </c>
      <c r="D2474" s="247" t="s">
        <v>569</v>
      </c>
      <c r="E2474" s="247" t="s">
        <v>1324</v>
      </c>
      <c r="F2474" s="247" t="s">
        <v>2220</v>
      </c>
      <c r="G2474" s="247" t="s">
        <v>1352</v>
      </c>
      <c r="H2474" s="247" t="s">
        <v>396</v>
      </c>
      <c r="I2474" s="247" t="s">
        <v>2221</v>
      </c>
      <c r="J2474" s="247" t="s">
        <v>174</v>
      </c>
      <c r="K2474" s="247" t="s">
        <v>174</v>
      </c>
      <c r="L2474" s="249" t="s">
        <v>791</v>
      </c>
      <c r="M2474" s="249" t="s">
        <v>929</v>
      </c>
      <c r="N2474" s="248">
        <v>370.97</v>
      </c>
      <c r="O2474" s="248">
        <v>696.04</v>
      </c>
      <c r="P2474" s="247" t="s">
        <v>1445</v>
      </c>
      <c r="Q2474" s="247" t="s">
        <v>88</v>
      </c>
    </row>
    <row r="2475" spans="1:17" x14ac:dyDescent="0.25">
      <c r="A2475" s="247" t="s">
        <v>646</v>
      </c>
      <c r="B2475" s="247" t="s">
        <v>265</v>
      </c>
      <c r="C2475" s="247" t="s">
        <v>1343</v>
      </c>
      <c r="D2475" s="247" t="s">
        <v>569</v>
      </c>
      <c r="E2475" s="247" t="s">
        <v>1324</v>
      </c>
      <c r="F2475" s="247" t="s">
        <v>2220</v>
      </c>
      <c r="G2475" s="247" t="s">
        <v>1352</v>
      </c>
      <c r="H2475" s="247" t="s">
        <v>396</v>
      </c>
      <c r="I2475" s="247" t="s">
        <v>2221</v>
      </c>
      <c r="J2475" s="247" t="s">
        <v>174</v>
      </c>
      <c r="K2475" s="247" t="s">
        <v>174</v>
      </c>
      <c r="L2475" s="249" t="s">
        <v>935</v>
      </c>
      <c r="M2475" s="249" t="s">
        <v>929</v>
      </c>
      <c r="N2475" s="248">
        <v>363.07</v>
      </c>
      <c r="O2475" s="248">
        <v>1059.1099999999999</v>
      </c>
      <c r="P2475" s="247" t="s">
        <v>1445</v>
      </c>
      <c r="Q2475" s="247" t="s">
        <v>89</v>
      </c>
    </row>
    <row r="2476" spans="1:17" x14ac:dyDescent="0.25">
      <c r="A2476" s="247" t="s">
        <v>646</v>
      </c>
      <c r="B2476" s="247" t="s">
        <v>265</v>
      </c>
      <c r="C2476" s="247" t="s">
        <v>1343</v>
      </c>
      <c r="D2476" s="247" t="s">
        <v>569</v>
      </c>
      <c r="E2476" s="247" t="s">
        <v>1324</v>
      </c>
      <c r="F2476" s="247" t="s">
        <v>2220</v>
      </c>
      <c r="G2476" s="247" t="s">
        <v>1352</v>
      </c>
      <c r="H2476" s="247" t="s">
        <v>396</v>
      </c>
      <c r="I2476" s="247" t="s">
        <v>2221</v>
      </c>
      <c r="J2476" s="247" t="s">
        <v>174</v>
      </c>
      <c r="K2476" s="247" t="s">
        <v>174</v>
      </c>
      <c r="L2476" s="249" t="s">
        <v>936</v>
      </c>
      <c r="M2476" s="249" t="s">
        <v>929</v>
      </c>
      <c r="N2476" s="248">
        <v>444.17</v>
      </c>
      <c r="O2476" s="248">
        <v>1503.28</v>
      </c>
      <c r="P2476" s="247" t="s">
        <v>1445</v>
      </c>
      <c r="Q2476" s="247" t="s">
        <v>90</v>
      </c>
    </row>
    <row r="2477" spans="1:17" x14ac:dyDescent="0.25">
      <c r="A2477" s="247" t="s">
        <v>646</v>
      </c>
      <c r="B2477" s="247" t="s">
        <v>265</v>
      </c>
      <c r="C2477" s="247" t="s">
        <v>1343</v>
      </c>
      <c r="D2477" s="247" t="s">
        <v>569</v>
      </c>
      <c r="E2477" s="247" t="s">
        <v>1324</v>
      </c>
      <c r="F2477" s="247" t="s">
        <v>2220</v>
      </c>
      <c r="G2477" s="247" t="s">
        <v>1352</v>
      </c>
      <c r="H2477" s="247" t="s">
        <v>396</v>
      </c>
      <c r="I2477" s="247" t="s">
        <v>2221</v>
      </c>
      <c r="J2477" s="247" t="s">
        <v>174</v>
      </c>
      <c r="K2477" s="247" t="s">
        <v>174</v>
      </c>
      <c r="L2477" s="249" t="s">
        <v>937</v>
      </c>
      <c r="M2477" s="249" t="s">
        <v>929</v>
      </c>
      <c r="N2477" s="248">
        <v>145.29</v>
      </c>
      <c r="O2477" s="248">
        <v>1648.57</v>
      </c>
      <c r="P2477" s="247" t="s">
        <v>1445</v>
      </c>
      <c r="Q2477" s="247" t="s">
        <v>91</v>
      </c>
    </row>
    <row r="2478" spans="1:17" x14ac:dyDescent="0.25">
      <c r="A2478" s="247" t="s">
        <v>646</v>
      </c>
      <c r="B2478" s="247" t="s">
        <v>265</v>
      </c>
      <c r="C2478" s="247" t="s">
        <v>1343</v>
      </c>
      <c r="D2478" s="247" t="s">
        <v>569</v>
      </c>
      <c r="E2478" s="247" t="s">
        <v>1324</v>
      </c>
      <c r="F2478" s="247" t="s">
        <v>2220</v>
      </c>
      <c r="G2478" s="247" t="s">
        <v>1352</v>
      </c>
      <c r="H2478" s="247" t="s">
        <v>396</v>
      </c>
      <c r="I2478" s="247" t="s">
        <v>2221</v>
      </c>
      <c r="J2478" s="247" t="s">
        <v>174</v>
      </c>
      <c r="K2478" s="247" t="s">
        <v>174</v>
      </c>
      <c r="L2478" s="249" t="s">
        <v>938</v>
      </c>
      <c r="M2478" s="249" t="s">
        <v>929</v>
      </c>
      <c r="N2478" s="248">
        <v>316.64999999999998</v>
      </c>
      <c r="O2478" s="248">
        <v>1965.22</v>
      </c>
      <c r="P2478" s="247" t="s">
        <v>1445</v>
      </c>
      <c r="Q2478" s="247" t="s">
        <v>92</v>
      </c>
    </row>
    <row r="2479" spans="1:17" x14ac:dyDescent="0.25">
      <c r="A2479" s="247" t="s">
        <v>646</v>
      </c>
      <c r="B2479" s="247" t="s">
        <v>265</v>
      </c>
      <c r="C2479" s="247" t="s">
        <v>1343</v>
      </c>
      <c r="D2479" s="247" t="s">
        <v>569</v>
      </c>
      <c r="E2479" s="247" t="s">
        <v>1324</v>
      </c>
      <c r="F2479" s="247" t="s">
        <v>2220</v>
      </c>
      <c r="G2479" s="247" t="s">
        <v>1352</v>
      </c>
      <c r="H2479" s="247" t="s">
        <v>396</v>
      </c>
      <c r="I2479" s="247" t="s">
        <v>2221</v>
      </c>
      <c r="J2479" s="247" t="s">
        <v>174</v>
      </c>
      <c r="K2479" s="247" t="s">
        <v>174</v>
      </c>
      <c r="L2479" s="249" t="s">
        <v>939</v>
      </c>
      <c r="M2479" s="249" t="s">
        <v>929</v>
      </c>
      <c r="N2479" s="248">
        <v>333.23</v>
      </c>
      <c r="O2479" s="248">
        <v>2298.4499999999998</v>
      </c>
      <c r="P2479" s="247" t="s">
        <v>1445</v>
      </c>
      <c r="Q2479" s="247" t="s">
        <v>93</v>
      </c>
    </row>
    <row r="2480" spans="1:17" x14ac:dyDescent="0.25">
      <c r="A2480" s="247" t="s">
        <v>646</v>
      </c>
      <c r="B2480" s="247" t="s">
        <v>265</v>
      </c>
      <c r="C2480" s="247" t="s">
        <v>1343</v>
      </c>
      <c r="D2480" s="247" t="s">
        <v>569</v>
      </c>
      <c r="E2480" s="247" t="s">
        <v>1324</v>
      </c>
      <c r="F2480" s="247" t="s">
        <v>2220</v>
      </c>
      <c r="G2480" s="247" t="s">
        <v>1352</v>
      </c>
      <c r="H2480" s="247" t="s">
        <v>396</v>
      </c>
      <c r="I2480" s="247" t="s">
        <v>2221</v>
      </c>
      <c r="J2480" s="247" t="s">
        <v>174</v>
      </c>
      <c r="K2480" s="247" t="s">
        <v>174</v>
      </c>
      <c r="L2480" s="249" t="s">
        <v>940</v>
      </c>
      <c r="M2480" s="249" t="s">
        <v>929</v>
      </c>
      <c r="N2480" s="248">
        <v>298.58</v>
      </c>
      <c r="O2480" s="248">
        <v>2597.0300000000002</v>
      </c>
      <c r="P2480" s="247" t="s">
        <v>1445</v>
      </c>
      <c r="Q2480" s="247" t="s">
        <v>94</v>
      </c>
    </row>
    <row r="2481" spans="1:17" x14ac:dyDescent="0.25">
      <c r="A2481" s="247" t="s">
        <v>646</v>
      </c>
      <c r="B2481" s="247" t="s">
        <v>265</v>
      </c>
      <c r="C2481" s="247" t="s">
        <v>1343</v>
      </c>
      <c r="D2481" s="247" t="s">
        <v>569</v>
      </c>
      <c r="E2481" s="247" t="s">
        <v>1324</v>
      </c>
      <c r="F2481" s="247" t="s">
        <v>2220</v>
      </c>
      <c r="G2481" s="247" t="s">
        <v>1352</v>
      </c>
      <c r="H2481" s="247" t="s">
        <v>396</v>
      </c>
      <c r="I2481" s="247" t="s">
        <v>2221</v>
      </c>
      <c r="J2481" s="247" t="s">
        <v>174</v>
      </c>
      <c r="K2481" s="247" t="s">
        <v>174</v>
      </c>
      <c r="L2481" s="249" t="s">
        <v>642</v>
      </c>
      <c r="M2481" s="249" t="s">
        <v>929</v>
      </c>
      <c r="N2481" s="248">
        <v>536.73</v>
      </c>
      <c r="O2481" s="248">
        <v>3133.76</v>
      </c>
      <c r="P2481" s="247" t="s">
        <v>1445</v>
      </c>
      <c r="Q2481" s="247" t="s">
        <v>95</v>
      </c>
    </row>
    <row r="2482" spans="1:17" x14ac:dyDescent="0.25">
      <c r="A2482" s="247" t="s">
        <v>646</v>
      </c>
      <c r="B2482" s="247" t="s">
        <v>265</v>
      </c>
      <c r="C2482" s="247" t="s">
        <v>1343</v>
      </c>
      <c r="D2482" s="247" t="s">
        <v>575</v>
      </c>
      <c r="E2482" s="247" t="s">
        <v>1324</v>
      </c>
      <c r="F2482" s="247" t="s">
        <v>2222</v>
      </c>
      <c r="G2482" s="247" t="s">
        <v>1354</v>
      </c>
      <c r="H2482" s="247" t="s">
        <v>396</v>
      </c>
      <c r="I2482" s="247" t="s">
        <v>2223</v>
      </c>
      <c r="J2482" s="247" t="s">
        <v>174</v>
      </c>
      <c r="K2482" s="247" t="s">
        <v>174</v>
      </c>
      <c r="L2482" s="249" t="s">
        <v>646</v>
      </c>
      <c r="M2482" s="249" t="s">
        <v>933</v>
      </c>
      <c r="N2482" s="248">
        <v>111.71</v>
      </c>
      <c r="O2482" s="248">
        <v>111.71</v>
      </c>
      <c r="P2482" s="247" t="s">
        <v>1446</v>
      </c>
      <c r="Q2482" s="247" t="s">
        <v>84</v>
      </c>
    </row>
    <row r="2483" spans="1:17" x14ac:dyDescent="0.25">
      <c r="A2483" s="247" t="s">
        <v>646</v>
      </c>
      <c r="B2483" s="247" t="s">
        <v>265</v>
      </c>
      <c r="C2483" s="247" t="s">
        <v>1343</v>
      </c>
      <c r="D2483" s="247" t="s">
        <v>575</v>
      </c>
      <c r="E2483" s="247" t="s">
        <v>1324</v>
      </c>
      <c r="F2483" s="247" t="s">
        <v>2222</v>
      </c>
      <c r="G2483" s="247" t="s">
        <v>1354</v>
      </c>
      <c r="H2483" s="247" t="s">
        <v>396</v>
      </c>
      <c r="I2483" s="247" t="s">
        <v>2223</v>
      </c>
      <c r="J2483" s="247" t="s">
        <v>174</v>
      </c>
      <c r="K2483" s="247" t="s">
        <v>174</v>
      </c>
      <c r="L2483" s="249" t="s">
        <v>650</v>
      </c>
      <c r="M2483" s="249" t="s">
        <v>933</v>
      </c>
      <c r="N2483" s="248">
        <v>71.09</v>
      </c>
      <c r="O2483" s="248">
        <v>182.8</v>
      </c>
      <c r="P2483" s="247" t="s">
        <v>1446</v>
      </c>
      <c r="Q2483" s="247" t="s">
        <v>85</v>
      </c>
    </row>
    <row r="2484" spans="1:17" x14ac:dyDescent="0.25">
      <c r="A2484" s="247" t="s">
        <v>646</v>
      </c>
      <c r="B2484" s="247" t="s">
        <v>265</v>
      </c>
      <c r="C2484" s="247" t="s">
        <v>1343</v>
      </c>
      <c r="D2484" s="247" t="s">
        <v>575</v>
      </c>
      <c r="E2484" s="247" t="s">
        <v>1324</v>
      </c>
      <c r="F2484" s="247" t="s">
        <v>2222</v>
      </c>
      <c r="G2484" s="247" t="s">
        <v>1354</v>
      </c>
      <c r="H2484" s="247" t="s">
        <v>396</v>
      </c>
      <c r="I2484" s="247" t="s">
        <v>2223</v>
      </c>
      <c r="J2484" s="247" t="s">
        <v>174</v>
      </c>
      <c r="K2484" s="247" t="s">
        <v>174</v>
      </c>
      <c r="L2484" s="249" t="s">
        <v>652</v>
      </c>
      <c r="M2484" s="249" t="s">
        <v>933</v>
      </c>
      <c r="N2484" s="248">
        <v>68.42</v>
      </c>
      <c r="O2484" s="248">
        <v>251.22</v>
      </c>
      <c r="P2484" s="247" t="s">
        <v>1446</v>
      </c>
      <c r="Q2484" s="247" t="s">
        <v>86</v>
      </c>
    </row>
    <row r="2485" spans="1:17" x14ac:dyDescent="0.25">
      <c r="A2485" s="247" t="s">
        <v>646</v>
      </c>
      <c r="B2485" s="247" t="s">
        <v>265</v>
      </c>
      <c r="C2485" s="247" t="s">
        <v>1343</v>
      </c>
      <c r="D2485" s="247" t="s">
        <v>575</v>
      </c>
      <c r="E2485" s="247" t="s">
        <v>1324</v>
      </c>
      <c r="F2485" s="247" t="s">
        <v>2222</v>
      </c>
      <c r="G2485" s="247" t="s">
        <v>1354</v>
      </c>
      <c r="H2485" s="247" t="s">
        <v>396</v>
      </c>
      <c r="I2485" s="247" t="s">
        <v>2223</v>
      </c>
      <c r="J2485" s="247" t="s">
        <v>174</v>
      </c>
      <c r="K2485" s="247" t="s">
        <v>174</v>
      </c>
      <c r="L2485" s="249" t="s">
        <v>789</v>
      </c>
      <c r="M2485" s="249" t="s">
        <v>929</v>
      </c>
      <c r="N2485" s="248">
        <v>76.03</v>
      </c>
      <c r="O2485" s="248">
        <v>76.03</v>
      </c>
      <c r="P2485" s="247" t="s">
        <v>1446</v>
      </c>
      <c r="Q2485" s="247" t="s">
        <v>87</v>
      </c>
    </row>
    <row r="2486" spans="1:17" x14ac:dyDescent="0.25">
      <c r="A2486" s="247" t="s">
        <v>646</v>
      </c>
      <c r="B2486" s="247" t="s">
        <v>265</v>
      </c>
      <c r="C2486" s="247" t="s">
        <v>1343</v>
      </c>
      <c r="D2486" s="247" t="s">
        <v>575</v>
      </c>
      <c r="E2486" s="247" t="s">
        <v>1324</v>
      </c>
      <c r="F2486" s="247" t="s">
        <v>2222</v>
      </c>
      <c r="G2486" s="247" t="s">
        <v>1354</v>
      </c>
      <c r="H2486" s="247" t="s">
        <v>396</v>
      </c>
      <c r="I2486" s="247" t="s">
        <v>2223</v>
      </c>
      <c r="J2486" s="247" t="s">
        <v>174</v>
      </c>
      <c r="K2486" s="247" t="s">
        <v>174</v>
      </c>
      <c r="L2486" s="249" t="s">
        <v>791</v>
      </c>
      <c r="M2486" s="249" t="s">
        <v>929</v>
      </c>
      <c r="N2486" s="248">
        <v>86.76</v>
      </c>
      <c r="O2486" s="248">
        <v>162.79</v>
      </c>
      <c r="P2486" s="247" t="s">
        <v>1446</v>
      </c>
      <c r="Q2486" s="247" t="s">
        <v>88</v>
      </c>
    </row>
    <row r="2487" spans="1:17" x14ac:dyDescent="0.25">
      <c r="A2487" s="247" t="s">
        <v>646</v>
      </c>
      <c r="B2487" s="247" t="s">
        <v>265</v>
      </c>
      <c r="C2487" s="247" t="s">
        <v>1343</v>
      </c>
      <c r="D2487" s="247" t="s">
        <v>575</v>
      </c>
      <c r="E2487" s="247" t="s">
        <v>1324</v>
      </c>
      <c r="F2487" s="247" t="s">
        <v>2222</v>
      </c>
      <c r="G2487" s="247" t="s">
        <v>1354</v>
      </c>
      <c r="H2487" s="247" t="s">
        <v>396</v>
      </c>
      <c r="I2487" s="247" t="s">
        <v>2223</v>
      </c>
      <c r="J2487" s="247" t="s">
        <v>174</v>
      </c>
      <c r="K2487" s="247" t="s">
        <v>174</v>
      </c>
      <c r="L2487" s="249" t="s">
        <v>935</v>
      </c>
      <c r="M2487" s="249" t="s">
        <v>929</v>
      </c>
      <c r="N2487" s="248">
        <v>84.9</v>
      </c>
      <c r="O2487" s="248">
        <v>247.69</v>
      </c>
      <c r="P2487" s="247" t="s">
        <v>1446</v>
      </c>
      <c r="Q2487" s="247" t="s">
        <v>89</v>
      </c>
    </row>
    <row r="2488" spans="1:17" x14ac:dyDescent="0.25">
      <c r="A2488" s="247" t="s">
        <v>646</v>
      </c>
      <c r="B2488" s="247" t="s">
        <v>265</v>
      </c>
      <c r="C2488" s="247" t="s">
        <v>1343</v>
      </c>
      <c r="D2488" s="247" t="s">
        <v>575</v>
      </c>
      <c r="E2488" s="247" t="s">
        <v>1324</v>
      </c>
      <c r="F2488" s="247" t="s">
        <v>2222</v>
      </c>
      <c r="G2488" s="247" t="s">
        <v>1354</v>
      </c>
      <c r="H2488" s="247" t="s">
        <v>396</v>
      </c>
      <c r="I2488" s="247" t="s">
        <v>2223</v>
      </c>
      <c r="J2488" s="247" t="s">
        <v>174</v>
      </c>
      <c r="K2488" s="247" t="s">
        <v>174</v>
      </c>
      <c r="L2488" s="249" t="s">
        <v>936</v>
      </c>
      <c r="M2488" s="249" t="s">
        <v>929</v>
      </c>
      <c r="N2488" s="248">
        <v>103.88</v>
      </c>
      <c r="O2488" s="248">
        <v>351.57</v>
      </c>
      <c r="P2488" s="247" t="s">
        <v>1446</v>
      </c>
      <c r="Q2488" s="247" t="s">
        <v>90</v>
      </c>
    </row>
    <row r="2489" spans="1:17" x14ac:dyDescent="0.25">
      <c r="A2489" s="247" t="s">
        <v>646</v>
      </c>
      <c r="B2489" s="247" t="s">
        <v>265</v>
      </c>
      <c r="C2489" s="247" t="s">
        <v>1343</v>
      </c>
      <c r="D2489" s="247" t="s">
        <v>575</v>
      </c>
      <c r="E2489" s="247" t="s">
        <v>1324</v>
      </c>
      <c r="F2489" s="247" t="s">
        <v>2222</v>
      </c>
      <c r="G2489" s="247" t="s">
        <v>1354</v>
      </c>
      <c r="H2489" s="247" t="s">
        <v>396</v>
      </c>
      <c r="I2489" s="247" t="s">
        <v>2223</v>
      </c>
      <c r="J2489" s="247" t="s">
        <v>174</v>
      </c>
      <c r="K2489" s="247" t="s">
        <v>174</v>
      </c>
      <c r="L2489" s="249" t="s">
        <v>937</v>
      </c>
      <c r="M2489" s="249" t="s">
        <v>929</v>
      </c>
      <c r="N2489" s="248">
        <v>33.979999999999997</v>
      </c>
      <c r="O2489" s="248">
        <v>385.55</v>
      </c>
      <c r="P2489" s="247" t="s">
        <v>1446</v>
      </c>
      <c r="Q2489" s="247" t="s">
        <v>91</v>
      </c>
    </row>
    <row r="2490" spans="1:17" x14ac:dyDescent="0.25">
      <c r="A2490" s="247" t="s">
        <v>646</v>
      </c>
      <c r="B2490" s="247" t="s">
        <v>265</v>
      </c>
      <c r="C2490" s="247" t="s">
        <v>1343</v>
      </c>
      <c r="D2490" s="247" t="s">
        <v>575</v>
      </c>
      <c r="E2490" s="247" t="s">
        <v>1324</v>
      </c>
      <c r="F2490" s="247" t="s">
        <v>2222</v>
      </c>
      <c r="G2490" s="247" t="s">
        <v>1354</v>
      </c>
      <c r="H2490" s="247" t="s">
        <v>396</v>
      </c>
      <c r="I2490" s="247" t="s">
        <v>2223</v>
      </c>
      <c r="J2490" s="247" t="s">
        <v>174</v>
      </c>
      <c r="K2490" s="247" t="s">
        <v>174</v>
      </c>
      <c r="L2490" s="249" t="s">
        <v>938</v>
      </c>
      <c r="M2490" s="249" t="s">
        <v>929</v>
      </c>
      <c r="N2490" s="248">
        <v>74.06</v>
      </c>
      <c r="O2490" s="248">
        <v>459.61</v>
      </c>
      <c r="P2490" s="247" t="s">
        <v>1446</v>
      </c>
      <c r="Q2490" s="247" t="s">
        <v>92</v>
      </c>
    </row>
    <row r="2491" spans="1:17" x14ac:dyDescent="0.25">
      <c r="A2491" s="247" t="s">
        <v>646</v>
      </c>
      <c r="B2491" s="247" t="s">
        <v>265</v>
      </c>
      <c r="C2491" s="247" t="s">
        <v>1343</v>
      </c>
      <c r="D2491" s="247" t="s">
        <v>575</v>
      </c>
      <c r="E2491" s="247" t="s">
        <v>1324</v>
      </c>
      <c r="F2491" s="247" t="s">
        <v>2222</v>
      </c>
      <c r="G2491" s="247" t="s">
        <v>1354</v>
      </c>
      <c r="H2491" s="247" t="s">
        <v>396</v>
      </c>
      <c r="I2491" s="247" t="s">
        <v>2223</v>
      </c>
      <c r="J2491" s="247" t="s">
        <v>174</v>
      </c>
      <c r="K2491" s="247" t="s">
        <v>174</v>
      </c>
      <c r="L2491" s="249" t="s">
        <v>939</v>
      </c>
      <c r="M2491" s="249" t="s">
        <v>929</v>
      </c>
      <c r="N2491" s="248">
        <v>77.930000000000007</v>
      </c>
      <c r="O2491" s="248">
        <v>537.54</v>
      </c>
      <c r="P2491" s="247" t="s">
        <v>1446</v>
      </c>
      <c r="Q2491" s="247" t="s">
        <v>93</v>
      </c>
    </row>
    <row r="2492" spans="1:17" x14ac:dyDescent="0.25">
      <c r="A2492" s="247" t="s">
        <v>646</v>
      </c>
      <c r="B2492" s="247" t="s">
        <v>265</v>
      </c>
      <c r="C2492" s="247" t="s">
        <v>1343</v>
      </c>
      <c r="D2492" s="247" t="s">
        <v>575</v>
      </c>
      <c r="E2492" s="247" t="s">
        <v>1324</v>
      </c>
      <c r="F2492" s="247" t="s">
        <v>2222</v>
      </c>
      <c r="G2492" s="247" t="s">
        <v>1354</v>
      </c>
      <c r="H2492" s="247" t="s">
        <v>396</v>
      </c>
      <c r="I2492" s="247" t="s">
        <v>2223</v>
      </c>
      <c r="J2492" s="247" t="s">
        <v>174</v>
      </c>
      <c r="K2492" s="247" t="s">
        <v>174</v>
      </c>
      <c r="L2492" s="249" t="s">
        <v>940</v>
      </c>
      <c r="M2492" s="249" t="s">
        <v>929</v>
      </c>
      <c r="N2492" s="248">
        <v>69.83</v>
      </c>
      <c r="O2492" s="248">
        <v>607.37</v>
      </c>
      <c r="P2492" s="247" t="s">
        <v>1446</v>
      </c>
      <c r="Q2492" s="247" t="s">
        <v>94</v>
      </c>
    </row>
    <row r="2493" spans="1:17" x14ac:dyDescent="0.25">
      <c r="A2493" s="247" t="s">
        <v>646</v>
      </c>
      <c r="B2493" s="247" t="s">
        <v>265</v>
      </c>
      <c r="C2493" s="247" t="s">
        <v>1343</v>
      </c>
      <c r="D2493" s="247" t="s">
        <v>575</v>
      </c>
      <c r="E2493" s="247" t="s">
        <v>1324</v>
      </c>
      <c r="F2493" s="247" t="s">
        <v>2222</v>
      </c>
      <c r="G2493" s="247" t="s">
        <v>1354</v>
      </c>
      <c r="H2493" s="247" t="s">
        <v>396</v>
      </c>
      <c r="I2493" s="247" t="s">
        <v>2223</v>
      </c>
      <c r="J2493" s="247" t="s">
        <v>174</v>
      </c>
      <c r="K2493" s="247" t="s">
        <v>174</v>
      </c>
      <c r="L2493" s="249" t="s">
        <v>642</v>
      </c>
      <c r="M2493" s="249" t="s">
        <v>929</v>
      </c>
      <c r="N2493" s="248">
        <v>125.52</v>
      </c>
      <c r="O2493" s="248">
        <v>732.89</v>
      </c>
      <c r="P2493" s="247" t="s">
        <v>1446</v>
      </c>
      <c r="Q2493" s="247" t="s">
        <v>95</v>
      </c>
    </row>
    <row r="2494" spans="1:17" x14ac:dyDescent="0.25">
      <c r="A2494" s="247" t="s">
        <v>646</v>
      </c>
      <c r="B2494" s="247" t="s">
        <v>265</v>
      </c>
      <c r="C2494" s="247" t="s">
        <v>1343</v>
      </c>
      <c r="D2494" s="247" t="s">
        <v>1356</v>
      </c>
      <c r="E2494" s="247" t="s">
        <v>1324</v>
      </c>
      <c r="F2494" s="247" t="s">
        <v>2224</v>
      </c>
      <c r="G2494" s="247" t="s">
        <v>1357</v>
      </c>
      <c r="H2494" s="247" t="s">
        <v>396</v>
      </c>
      <c r="I2494" s="247" t="s">
        <v>2225</v>
      </c>
      <c r="J2494" s="247" t="s">
        <v>174</v>
      </c>
      <c r="K2494" s="247" t="s">
        <v>174</v>
      </c>
      <c r="L2494" s="249" t="s">
        <v>646</v>
      </c>
      <c r="M2494" s="249" t="s">
        <v>933</v>
      </c>
      <c r="N2494" s="248">
        <v>14.55</v>
      </c>
      <c r="O2494" s="248">
        <v>14.55</v>
      </c>
      <c r="P2494" s="247" t="s">
        <v>1447</v>
      </c>
      <c r="Q2494" s="247" t="s">
        <v>84</v>
      </c>
    </row>
    <row r="2495" spans="1:17" x14ac:dyDescent="0.25">
      <c r="A2495" s="247" t="s">
        <v>646</v>
      </c>
      <c r="B2495" s="247" t="s">
        <v>265</v>
      </c>
      <c r="C2495" s="247" t="s">
        <v>1343</v>
      </c>
      <c r="D2495" s="247" t="s">
        <v>1356</v>
      </c>
      <c r="E2495" s="247" t="s">
        <v>1324</v>
      </c>
      <c r="F2495" s="247" t="s">
        <v>2224</v>
      </c>
      <c r="G2495" s="247" t="s">
        <v>1357</v>
      </c>
      <c r="H2495" s="247" t="s">
        <v>396</v>
      </c>
      <c r="I2495" s="247" t="s">
        <v>2225</v>
      </c>
      <c r="J2495" s="247" t="s">
        <v>174</v>
      </c>
      <c r="K2495" s="247" t="s">
        <v>174</v>
      </c>
      <c r="L2495" s="249" t="s">
        <v>650</v>
      </c>
      <c r="M2495" s="249" t="s">
        <v>933</v>
      </c>
      <c r="N2495" s="248">
        <v>5.7</v>
      </c>
      <c r="O2495" s="248">
        <v>20.25</v>
      </c>
      <c r="P2495" s="247" t="s">
        <v>1447</v>
      </c>
      <c r="Q2495" s="247" t="s">
        <v>85</v>
      </c>
    </row>
    <row r="2496" spans="1:17" x14ac:dyDescent="0.25">
      <c r="A2496" s="247" t="s">
        <v>646</v>
      </c>
      <c r="B2496" s="247" t="s">
        <v>265</v>
      </c>
      <c r="C2496" s="247" t="s">
        <v>1343</v>
      </c>
      <c r="D2496" s="247" t="s">
        <v>1356</v>
      </c>
      <c r="E2496" s="247" t="s">
        <v>1324</v>
      </c>
      <c r="F2496" s="247" t="s">
        <v>2224</v>
      </c>
      <c r="G2496" s="247" t="s">
        <v>1357</v>
      </c>
      <c r="H2496" s="247" t="s">
        <v>396</v>
      </c>
      <c r="I2496" s="247" t="s">
        <v>2225</v>
      </c>
      <c r="J2496" s="247" t="s">
        <v>174</v>
      </c>
      <c r="K2496" s="247" t="s">
        <v>174</v>
      </c>
      <c r="L2496" s="249" t="s">
        <v>652</v>
      </c>
      <c r="M2496" s="249" t="s">
        <v>933</v>
      </c>
      <c r="N2496" s="248">
        <v>10.74</v>
      </c>
      <c r="O2496" s="248">
        <v>30.99</v>
      </c>
      <c r="P2496" s="247" t="s">
        <v>1447</v>
      </c>
      <c r="Q2496" s="247" t="s">
        <v>86</v>
      </c>
    </row>
    <row r="2497" spans="1:17" x14ac:dyDescent="0.25">
      <c r="A2497" s="247" t="s">
        <v>646</v>
      </c>
      <c r="B2497" s="247" t="s">
        <v>265</v>
      </c>
      <c r="C2497" s="247" t="s">
        <v>1343</v>
      </c>
      <c r="D2497" s="247" t="s">
        <v>1356</v>
      </c>
      <c r="E2497" s="247" t="s">
        <v>1324</v>
      </c>
      <c r="F2497" s="247" t="s">
        <v>2224</v>
      </c>
      <c r="G2497" s="247" t="s">
        <v>1357</v>
      </c>
      <c r="H2497" s="247" t="s">
        <v>396</v>
      </c>
      <c r="I2497" s="247" t="s">
        <v>2225</v>
      </c>
      <c r="J2497" s="247" t="s">
        <v>174</v>
      </c>
      <c r="K2497" s="247" t="s">
        <v>174</v>
      </c>
      <c r="L2497" s="249" t="s">
        <v>789</v>
      </c>
      <c r="M2497" s="249" t="s">
        <v>929</v>
      </c>
      <c r="N2497" s="248">
        <v>31.46</v>
      </c>
      <c r="O2497" s="248">
        <v>31.46</v>
      </c>
      <c r="P2497" s="247" t="s">
        <v>1447</v>
      </c>
      <c r="Q2497" s="247" t="s">
        <v>87</v>
      </c>
    </row>
    <row r="2498" spans="1:17" x14ac:dyDescent="0.25">
      <c r="A2498" s="247" t="s">
        <v>646</v>
      </c>
      <c r="B2498" s="247" t="s">
        <v>265</v>
      </c>
      <c r="C2498" s="247" t="s">
        <v>1343</v>
      </c>
      <c r="D2498" s="247" t="s">
        <v>1356</v>
      </c>
      <c r="E2498" s="247" t="s">
        <v>1324</v>
      </c>
      <c r="F2498" s="247" t="s">
        <v>2224</v>
      </c>
      <c r="G2498" s="247" t="s">
        <v>1357</v>
      </c>
      <c r="H2498" s="247" t="s">
        <v>396</v>
      </c>
      <c r="I2498" s="247" t="s">
        <v>2225</v>
      </c>
      <c r="J2498" s="247" t="s">
        <v>174</v>
      </c>
      <c r="K2498" s="247" t="s">
        <v>174</v>
      </c>
      <c r="L2498" s="249" t="s">
        <v>791</v>
      </c>
      <c r="M2498" s="249" t="s">
        <v>929</v>
      </c>
      <c r="N2498" s="248">
        <v>35.9</v>
      </c>
      <c r="O2498" s="248">
        <v>67.36</v>
      </c>
      <c r="P2498" s="247" t="s">
        <v>1447</v>
      </c>
      <c r="Q2498" s="247" t="s">
        <v>88</v>
      </c>
    </row>
    <row r="2499" spans="1:17" x14ac:dyDescent="0.25">
      <c r="A2499" s="247" t="s">
        <v>646</v>
      </c>
      <c r="B2499" s="247" t="s">
        <v>265</v>
      </c>
      <c r="C2499" s="247" t="s">
        <v>1343</v>
      </c>
      <c r="D2499" s="247" t="s">
        <v>1356</v>
      </c>
      <c r="E2499" s="247" t="s">
        <v>1324</v>
      </c>
      <c r="F2499" s="247" t="s">
        <v>2224</v>
      </c>
      <c r="G2499" s="247" t="s">
        <v>1357</v>
      </c>
      <c r="H2499" s="247" t="s">
        <v>396</v>
      </c>
      <c r="I2499" s="247" t="s">
        <v>2225</v>
      </c>
      <c r="J2499" s="247" t="s">
        <v>174</v>
      </c>
      <c r="K2499" s="247" t="s">
        <v>174</v>
      </c>
      <c r="L2499" s="249" t="s">
        <v>935</v>
      </c>
      <c r="M2499" s="249" t="s">
        <v>929</v>
      </c>
      <c r="N2499" s="248">
        <v>16.64</v>
      </c>
      <c r="O2499" s="248">
        <v>84</v>
      </c>
      <c r="P2499" s="247" t="s">
        <v>1447</v>
      </c>
      <c r="Q2499" s="247" t="s">
        <v>89</v>
      </c>
    </row>
    <row r="2500" spans="1:17" x14ac:dyDescent="0.25">
      <c r="A2500" s="247" t="s">
        <v>646</v>
      </c>
      <c r="B2500" s="247" t="s">
        <v>265</v>
      </c>
      <c r="C2500" s="247" t="s">
        <v>1343</v>
      </c>
      <c r="D2500" s="247" t="s">
        <v>1356</v>
      </c>
      <c r="E2500" s="247" t="s">
        <v>1324</v>
      </c>
      <c r="F2500" s="247" t="s">
        <v>2224</v>
      </c>
      <c r="G2500" s="247" t="s">
        <v>1357</v>
      </c>
      <c r="H2500" s="247" t="s">
        <v>396</v>
      </c>
      <c r="I2500" s="247" t="s">
        <v>2225</v>
      </c>
      <c r="J2500" s="247" t="s">
        <v>174</v>
      </c>
      <c r="K2500" s="247" t="s">
        <v>174</v>
      </c>
      <c r="L2500" s="249" t="s">
        <v>936</v>
      </c>
      <c r="M2500" s="249" t="s">
        <v>929</v>
      </c>
      <c r="N2500" s="248">
        <v>0</v>
      </c>
      <c r="O2500" s="248">
        <v>84</v>
      </c>
      <c r="P2500" s="247" t="s">
        <v>1447</v>
      </c>
      <c r="Q2500" s="247" t="s">
        <v>90</v>
      </c>
    </row>
    <row r="2501" spans="1:17" x14ac:dyDescent="0.25">
      <c r="A2501" s="247" t="s">
        <v>646</v>
      </c>
      <c r="B2501" s="247" t="s">
        <v>265</v>
      </c>
      <c r="C2501" s="247" t="s">
        <v>1343</v>
      </c>
      <c r="D2501" s="247" t="s">
        <v>1356</v>
      </c>
      <c r="E2501" s="247" t="s">
        <v>1324</v>
      </c>
      <c r="F2501" s="247" t="s">
        <v>2224</v>
      </c>
      <c r="G2501" s="247" t="s">
        <v>1357</v>
      </c>
      <c r="H2501" s="247" t="s">
        <v>396</v>
      </c>
      <c r="I2501" s="247" t="s">
        <v>2225</v>
      </c>
      <c r="J2501" s="247" t="s">
        <v>174</v>
      </c>
      <c r="K2501" s="247" t="s">
        <v>174</v>
      </c>
      <c r="L2501" s="249" t="s">
        <v>937</v>
      </c>
      <c r="M2501" s="249" t="s">
        <v>929</v>
      </c>
      <c r="N2501" s="248">
        <v>3.53</v>
      </c>
      <c r="O2501" s="248">
        <v>87.53</v>
      </c>
      <c r="P2501" s="247" t="s">
        <v>1447</v>
      </c>
      <c r="Q2501" s="247" t="s">
        <v>91</v>
      </c>
    </row>
    <row r="2502" spans="1:17" x14ac:dyDescent="0.25">
      <c r="A2502" s="247" t="s">
        <v>646</v>
      </c>
      <c r="B2502" s="247" t="s">
        <v>265</v>
      </c>
      <c r="C2502" s="247" t="s">
        <v>1343</v>
      </c>
      <c r="D2502" s="247" t="s">
        <v>1356</v>
      </c>
      <c r="E2502" s="247" t="s">
        <v>1324</v>
      </c>
      <c r="F2502" s="247" t="s">
        <v>2224</v>
      </c>
      <c r="G2502" s="247" t="s">
        <v>1357</v>
      </c>
      <c r="H2502" s="247" t="s">
        <v>396</v>
      </c>
      <c r="I2502" s="247" t="s">
        <v>2225</v>
      </c>
      <c r="J2502" s="247" t="s">
        <v>174</v>
      </c>
      <c r="K2502" s="247" t="s">
        <v>174</v>
      </c>
      <c r="L2502" s="249" t="s">
        <v>938</v>
      </c>
      <c r="M2502" s="249" t="s">
        <v>929</v>
      </c>
      <c r="N2502" s="248">
        <v>13.84</v>
      </c>
      <c r="O2502" s="248">
        <v>101.37</v>
      </c>
      <c r="P2502" s="247" t="s">
        <v>1447</v>
      </c>
      <c r="Q2502" s="247" t="s">
        <v>92</v>
      </c>
    </row>
    <row r="2503" spans="1:17" x14ac:dyDescent="0.25">
      <c r="A2503" s="247" t="s">
        <v>646</v>
      </c>
      <c r="B2503" s="247" t="s">
        <v>265</v>
      </c>
      <c r="C2503" s="247" t="s">
        <v>1343</v>
      </c>
      <c r="D2503" s="247" t="s">
        <v>1356</v>
      </c>
      <c r="E2503" s="247" t="s">
        <v>1324</v>
      </c>
      <c r="F2503" s="247" t="s">
        <v>2224</v>
      </c>
      <c r="G2503" s="247" t="s">
        <v>1357</v>
      </c>
      <c r="H2503" s="247" t="s">
        <v>396</v>
      </c>
      <c r="I2503" s="247" t="s">
        <v>2225</v>
      </c>
      <c r="J2503" s="247" t="s">
        <v>174</v>
      </c>
      <c r="K2503" s="247" t="s">
        <v>174</v>
      </c>
      <c r="L2503" s="249" t="s">
        <v>939</v>
      </c>
      <c r="M2503" s="249" t="s">
        <v>929</v>
      </c>
      <c r="N2503" s="248">
        <v>13.91</v>
      </c>
      <c r="O2503" s="248">
        <v>115.28</v>
      </c>
      <c r="P2503" s="247" t="s">
        <v>1447</v>
      </c>
      <c r="Q2503" s="247" t="s">
        <v>93</v>
      </c>
    </row>
    <row r="2504" spans="1:17" x14ac:dyDescent="0.25">
      <c r="A2504" s="247" t="s">
        <v>646</v>
      </c>
      <c r="B2504" s="247" t="s">
        <v>265</v>
      </c>
      <c r="C2504" s="247" t="s">
        <v>1343</v>
      </c>
      <c r="D2504" s="247" t="s">
        <v>1356</v>
      </c>
      <c r="E2504" s="247" t="s">
        <v>1324</v>
      </c>
      <c r="F2504" s="247" t="s">
        <v>2224</v>
      </c>
      <c r="G2504" s="247" t="s">
        <v>1357</v>
      </c>
      <c r="H2504" s="247" t="s">
        <v>396</v>
      </c>
      <c r="I2504" s="247" t="s">
        <v>2225</v>
      </c>
      <c r="J2504" s="247" t="s">
        <v>174</v>
      </c>
      <c r="K2504" s="247" t="s">
        <v>174</v>
      </c>
      <c r="L2504" s="249" t="s">
        <v>940</v>
      </c>
      <c r="M2504" s="249" t="s">
        <v>929</v>
      </c>
      <c r="N2504" s="248">
        <v>10.72</v>
      </c>
      <c r="O2504" s="248">
        <v>126</v>
      </c>
      <c r="P2504" s="247" t="s">
        <v>1447</v>
      </c>
      <c r="Q2504" s="247" t="s">
        <v>94</v>
      </c>
    </row>
    <row r="2505" spans="1:17" x14ac:dyDescent="0.25">
      <c r="A2505" s="247" t="s">
        <v>646</v>
      </c>
      <c r="B2505" s="247" t="s">
        <v>265</v>
      </c>
      <c r="C2505" s="247" t="s">
        <v>1343</v>
      </c>
      <c r="D2505" s="247" t="s">
        <v>1356</v>
      </c>
      <c r="E2505" s="247" t="s">
        <v>1324</v>
      </c>
      <c r="F2505" s="247" t="s">
        <v>2224</v>
      </c>
      <c r="G2505" s="247" t="s">
        <v>1357</v>
      </c>
      <c r="H2505" s="247" t="s">
        <v>396</v>
      </c>
      <c r="I2505" s="247" t="s">
        <v>2225</v>
      </c>
      <c r="J2505" s="247" t="s">
        <v>174</v>
      </c>
      <c r="K2505" s="247" t="s">
        <v>174</v>
      </c>
      <c r="L2505" s="249" t="s">
        <v>642</v>
      </c>
      <c r="M2505" s="249" t="s">
        <v>929</v>
      </c>
      <c r="N2505" s="248">
        <v>17.21</v>
      </c>
      <c r="O2505" s="248">
        <v>143.21</v>
      </c>
      <c r="P2505" s="247" t="s">
        <v>1447</v>
      </c>
      <c r="Q2505" s="247" t="s">
        <v>95</v>
      </c>
    </row>
    <row r="2506" spans="1:17" x14ac:dyDescent="0.25">
      <c r="A2506" s="247" t="s">
        <v>646</v>
      </c>
      <c r="B2506" s="247" t="s">
        <v>265</v>
      </c>
      <c r="C2506" s="247" t="s">
        <v>1343</v>
      </c>
      <c r="D2506" s="247" t="s">
        <v>946</v>
      </c>
      <c r="E2506" s="247" t="s">
        <v>1324</v>
      </c>
      <c r="F2506" s="247" t="s">
        <v>2226</v>
      </c>
      <c r="G2506" s="247" t="s">
        <v>1359</v>
      </c>
      <c r="H2506" s="247" t="s">
        <v>396</v>
      </c>
      <c r="I2506" s="247" t="s">
        <v>2227</v>
      </c>
      <c r="J2506" s="247" t="s">
        <v>174</v>
      </c>
      <c r="K2506" s="247" t="s">
        <v>174</v>
      </c>
      <c r="L2506" s="249" t="s">
        <v>646</v>
      </c>
      <c r="M2506" s="249" t="s">
        <v>933</v>
      </c>
      <c r="N2506" s="248">
        <v>32.35</v>
      </c>
      <c r="O2506" s="248">
        <v>32.35</v>
      </c>
      <c r="P2506" s="247" t="s">
        <v>1448</v>
      </c>
      <c r="Q2506" s="247" t="s">
        <v>84</v>
      </c>
    </row>
    <row r="2507" spans="1:17" x14ac:dyDescent="0.25">
      <c r="A2507" s="247" t="s">
        <v>646</v>
      </c>
      <c r="B2507" s="247" t="s">
        <v>265</v>
      </c>
      <c r="C2507" s="247" t="s">
        <v>1343</v>
      </c>
      <c r="D2507" s="247" t="s">
        <v>946</v>
      </c>
      <c r="E2507" s="247" t="s">
        <v>1324</v>
      </c>
      <c r="F2507" s="247" t="s">
        <v>2226</v>
      </c>
      <c r="G2507" s="247" t="s">
        <v>1359</v>
      </c>
      <c r="H2507" s="247" t="s">
        <v>396</v>
      </c>
      <c r="I2507" s="247" t="s">
        <v>2227</v>
      </c>
      <c r="J2507" s="247" t="s">
        <v>174</v>
      </c>
      <c r="K2507" s="247" t="s">
        <v>174</v>
      </c>
      <c r="L2507" s="249" t="s">
        <v>650</v>
      </c>
      <c r="M2507" s="249" t="s">
        <v>933</v>
      </c>
      <c r="N2507" s="248">
        <v>20.58</v>
      </c>
      <c r="O2507" s="248">
        <v>52.93</v>
      </c>
      <c r="P2507" s="247" t="s">
        <v>1448</v>
      </c>
      <c r="Q2507" s="247" t="s">
        <v>85</v>
      </c>
    </row>
    <row r="2508" spans="1:17" x14ac:dyDescent="0.25">
      <c r="A2508" s="247" t="s">
        <v>646</v>
      </c>
      <c r="B2508" s="247" t="s">
        <v>265</v>
      </c>
      <c r="C2508" s="247" t="s">
        <v>1343</v>
      </c>
      <c r="D2508" s="247" t="s">
        <v>946</v>
      </c>
      <c r="E2508" s="247" t="s">
        <v>1324</v>
      </c>
      <c r="F2508" s="247" t="s">
        <v>2226</v>
      </c>
      <c r="G2508" s="247" t="s">
        <v>1359</v>
      </c>
      <c r="H2508" s="247" t="s">
        <v>396</v>
      </c>
      <c r="I2508" s="247" t="s">
        <v>2227</v>
      </c>
      <c r="J2508" s="247" t="s">
        <v>174</v>
      </c>
      <c r="K2508" s="247" t="s">
        <v>174</v>
      </c>
      <c r="L2508" s="249" t="s">
        <v>652</v>
      </c>
      <c r="M2508" s="249" t="s">
        <v>933</v>
      </c>
      <c r="N2508" s="248">
        <v>19.8</v>
      </c>
      <c r="O2508" s="248">
        <v>72.73</v>
      </c>
      <c r="P2508" s="247" t="s">
        <v>1448</v>
      </c>
      <c r="Q2508" s="247" t="s">
        <v>86</v>
      </c>
    </row>
    <row r="2509" spans="1:17" x14ac:dyDescent="0.25">
      <c r="A2509" s="247" t="s">
        <v>646</v>
      </c>
      <c r="B2509" s="247" t="s">
        <v>265</v>
      </c>
      <c r="C2509" s="247" t="s">
        <v>1343</v>
      </c>
      <c r="D2509" s="247" t="s">
        <v>946</v>
      </c>
      <c r="E2509" s="247" t="s">
        <v>1324</v>
      </c>
      <c r="F2509" s="247" t="s">
        <v>2226</v>
      </c>
      <c r="G2509" s="247" t="s">
        <v>1359</v>
      </c>
      <c r="H2509" s="247" t="s">
        <v>396</v>
      </c>
      <c r="I2509" s="247" t="s">
        <v>2227</v>
      </c>
      <c r="J2509" s="247" t="s">
        <v>174</v>
      </c>
      <c r="K2509" s="247" t="s">
        <v>174</v>
      </c>
      <c r="L2509" s="249" t="s">
        <v>789</v>
      </c>
      <c r="M2509" s="249" t="s">
        <v>929</v>
      </c>
      <c r="N2509" s="248">
        <v>20.2</v>
      </c>
      <c r="O2509" s="248">
        <v>20.2</v>
      </c>
      <c r="P2509" s="247" t="s">
        <v>1448</v>
      </c>
      <c r="Q2509" s="247" t="s">
        <v>87</v>
      </c>
    </row>
    <row r="2510" spans="1:17" x14ac:dyDescent="0.25">
      <c r="A2510" s="247" t="s">
        <v>646</v>
      </c>
      <c r="B2510" s="247" t="s">
        <v>265</v>
      </c>
      <c r="C2510" s="247" t="s">
        <v>1343</v>
      </c>
      <c r="D2510" s="247" t="s">
        <v>946</v>
      </c>
      <c r="E2510" s="247" t="s">
        <v>1324</v>
      </c>
      <c r="F2510" s="247" t="s">
        <v>2226</v>
      </c>
      <c r="G2510" s="247" t="s">
        <v>1359</v>
      </c>
      <c r="H2510" s="247" t="s">
        <v>396</v>
      </c>
      <c r="I2510" s="247" t="s">
        <v>2227</v>
      </c>
      <c r="J2510" s="247" t="s">
        <v>174</v>
      </c>
      <c r="K2510" s="247" t="s">
        <v>174</v>
      </c>
      <c r="L2510" s="249" t="s">
        <v>791</v>
      </c>
      <c r="M2510" s="249" t="s">
        <v>929</v>
      </c>
      <c r="N2510" s="248">
        <v>22.13</v>
      </c>
      <c r="O2510" s="248">
        <v>42.33</v>
      </c>
      <c r="P2510" s="247" t="s">
        <v>1448</v>
      </c>
      <c r="Q2510" s="247" t="s">
        <v>88</v>
      </c>
    </row>
    <row r="2511" spans="1:17" x14ac:dyDescent="0.25">
      <c r="A2511" s="247" t="s">
        <v>646</v>
      </c>
      <c r="B2511" s="247" t="s">
        <v>265</v>
      </c>
      <c r="C2511" s="247" t="s">
        <v>1343</v>
      </c>
      <c r="D2511" s="247" t="s">
        <v>946</v>
      </c>
      <c r="E2511" s="247" t="s">
        <v>1324</v>
      </c>
      <c r="F2511" s="247" t="s">
        <v>2226</v>
      </c>
      <c r="G2511" s="247" t="s">
        <v>1359</v>
      </c>
      <c r="H2511" s="247" t="s">
        <v>396</v>
      </c>
      <c r="I2511" s="247" t="s">
        <v>2227</v>
      </c>
      <c r="J2511" s="247" t="s">
        <v>174</v>
      </c>
      <c r="K2511" s="247" t="s">
        <v>174</v>
      </c>
      <c r="L2511" s="249" t="s">
        <v>935</v>
      </c>
      <c r="M2511" s="249" t="s">
        <v>929</v>
      </c>
      <c r="N2511" s="248">
        <v>21.67</v>
      </c>
      <c r="O2511" s="248">
        <v>64</v>
      </c>
      <c r="P2511" s="247" t="s">
        <v>1448</v>
      </c>
      <c r="Q2511" s="247" t="s">
        <v>89</v>
      </c>
    </row>
    <row r="2512" spans="1:17" x14ac:dyDescent="0.25">
      <c r="A2512" s="247" t="s">
        <v>646</v>
      </c>
      <c r="B2512" s="247" t="s">
        <v>265</v>
      </c>
      <c r="C2512" s="247" t="s">
        <v>1343</v>
      </c>
      <c r="D2512" s="247" t="s">
        <v>946</v>
      </c>
      <c r="E2512" s="247" t="s">
        <v>1324</v>
      </c>
      <c r="F2512" s="247" t="s">
        <v>2226</v>
      </c>
      <c r="G2512" s="247" t="s">
        <v>1359</v>
      </c>
      <c r="H2512" s="247" t="s">
        <v>396</v>
      </c>
      <c r="I2512" s="247" t="s">
        <v>2227</v>
      </c>
      <c r="J2512" s="247" t="s">
        <v>174</v>
      </c>
      <c r="K2512" s="247" t="s">
        <v>174</v>
      </c>
      <c r="L2512" s="249" t="s">
        <v>936</v>
      </c>
      <c r="M2512" s="249" t="s">
        <v>929</v>
      </c>
      <c r="N2512" s="248">
        <v>26.49</v>
      </c>
      <c r="O2512" s="248">
        <v>90.49</v>
      </c>
      <c r="P2512" s="247" t="s">
        <v>1448</v>
      </c>
      <c r="Q2512" s="247" t="s">
        <v>90</v>
      </c>
    </row>
    <row r="2513" spans="1:17" x14ac:dyDescent="0.25">
      <c r="A2513" s="247" t="s">
        <v>646</v>
      </c>
      <c r="B2513" s="247" t="s">
        <v>265</v>
      </c>
      <c r="C2513" s="247" t="s">
        <v>1343</v>
      </c>
      <c r="D2513" s="247" t="s">
        <v>946</v>
      </c>
      <c r="E2513" s="247" t="s">
        <v>1324</v>
      </c>
      <c r="F2513" s="247" t="s">
        <v>2226</v>
      </c>
      <c r="G2513" s="247" t="s">
        <v>1359</v>
      </c>
      <c r="H2513" s="247" t="s">
        <v>396</v>
      </c>
      <c r="I2513" s="247" t="s">
        <v>2227</v>
      </c>
      <c r="J2513" s="247" t="s">
        <v>174</v>
      </c>
      <c r="K2513" s="247" t="s">
        <v>174</v>
      </c>
      <c r="L2513" s="249" t="s">
        <v>937</v>
      </c>
      <c r="M2513" s="249" t="s">
        <v>929</v>
      </c>
      <c r="N2513" s="248">
        <v>8.68</v>
      </c>
      <c r="O2513" s="248">
        <v>99.17</v>
      </c>
      <c r="P2513" s="247" t="s">
        <v>1448</v>
      </c>
      <c r="Q2513" s="247" t="s">
        <v>91</v>
      </c>
    </row>
    <row r="2514" spans="1:17" x14ac:dyDescent="0.25">
      <c r="A2514" s="247" t="s">
        <v>646</v>
      </c>
      <c r="B2514" s="247" t="s">
        <v>265</v>
      </c>
      <c r="C2514" s="247" t="s">
        <v>1343</v>
      </c>
      <c r="D2514" s="247" t="s">
        <v>946</v>
      </c>
      <c r="E2514" s="247" t="s">
        <v>1324</v>
      </c>
      <c r="F2514" s="247" t="s">
        <v>2226</v>
      </c>
      <c r="G2514" s="247" t="s">
        <v>1359</v>
      </c>
      <c r="H2514" s="247" t="s">
        <v>396</v>
      </c>
      <c r="I2514" s="247" t="s">
        <v>2227</v>
      </c>
      <c r="J2514" s="247" t="s">
        <v>174</v>
      </c>
      <c r="K2514" s="247" t="s">
        <v>174</v>
      </c>
      <c r="L2514" s="249" t="s">
        <v>938</v>
      </c>
      <c r="M2514" s="249" t="s">
        <v>929</v>
      </c>
      <c r="N2514" s="248">
        <v>18.899999999999999</v>
      </c>
      <c r="O2514" s="248">
        <v>118.07</v>
      </c>
      <c r="P2514" s="247" t="s">
        <v>1448</v>
      </c>
      <c r="Q2514" s="247" t="s">
        <v>92</v>
      </c>
    </row>
    <row r="2515" spans="1:17" x14ac:dyDescent="0.25">
      <c r="A2515" s="247" t="s">
        <v>646</v>
      </c>
      <c r="B2515" s="247" t="s">
        <v>265</v>
      </c>
      <c r="C2515" s="247" t="s">
        <v>1343</v>
      </c>
      <c r="D2515" s="247" t="s">
        <v>946</v>
      </c>
      <c r="E2515" s="247" t="s">
        <v>1324</v>
      </c>
      <c r="F2515" s="247" t="s">
        <v>2226</v>
      </c>
      <c r="G2515" s="247" t="s">
        <v>1359</v>
      </c>
      <c r="H2515" s="247" t="s">
        <v>396</v>
      </c>
      <c r="I2515" s="247" t="s">
        <v>2227</v>
      </c>
      <c r="J2515" s="247" t="s">
        <v>174</v>
      </c>
      <c r="K2515" s="247" t="s">
        <v>174</v>
      </c>
      <c r="L2515" s="249" t="s">
        <v>939</v>
      </c>
      <c r="M2515" s="249" t="s">
        <v>929</v>
      </c>
      <c r="N2515" s="248">
        <v>19.89</v>
      </c>
      <c r="O2515" s="248">
        <v>137.96</v>
      </c>
      <c r="P2515" s="247" t="s">
        <v>1448</v>
      </c>
      <c r="Q2515" s="247" t="s">
        <v>93</v>
      </c>
    </row>
    <row r="2516" spans="1:17" x14ac:dyDescent="0.25">
      <c r="A2516" s="247" t="s">
        <v>646</v>
      </c>
      <c r="B2516" s="247" t="s">
        <v>265</v>
      </c>
      <c r="C2516" s="247" t="s">
        <v>1343</v>
      </c>
      <c r="D2516" s="247" t="s">
        <v>946</v>
      </c>
      <c r="E2516" s="247" t="s">
        <v>1324</v>
      </c>
      <c r="F2516" s="247" t="s">
        <v>2226</v>
      </c>
      <c r="G2516" s="247" t="s">
        <v>1359</v>
      </c>
      <c r="H2516" s="247" t="s">
        <v>396</v>
      </c>
      <c r="I2516" s="247" t="s">
        <v>2227</v>
      </c>
      <c r="J2516" s="247" t="s">
        <v>174</v>
      </c>
      <c r="K2516" s="247" t="s">
        <v>174</v>
      </c>
      <c r="L2516" s="249" t="s">
        <v>940</v>
      </c>
      <c r="M2516" s="249" t="s">
        <v>929</v>
      </c>
      <c r="N2516" s="248">
        <v>17.809999999999999</v>
      </c>
      <c r="O2516" s="248">
        <v>155.77000000000001</v>
      </c>
      <c r="P2516" s="247" t="s">
        <v>1448</v>
      </c>
      <c r="Q2516" s="247" t="s">
        <v>94</v>
      </c>
    </row>
    <row r="2517" spans="1:17" x14ac:dyDescent="0.25">
      <c r="A2517" s="247" t="s">
        <v>646</v>
      </c>
      <c r="B2517" s="247" t="s">
        <v>265</v>
      </c>
      <c r="C2517" s="247" t="s">
        <v>1343</v>
      </c>
      <c r="D2517" s="247" t="s">
        <v>946</v>
      </c>
      <c r="E2517" s="247" t="s">
        <v>1324</v>
      </c>
      <c r="F2517" s="247" t="s">
        <v>2226</v>
      </c>
      <c r="G2517" s="247" t="s">
        <v>1359</v>
      </c>
      <c r="H2517" s="247" t="s">
        <v>396</v>
      </c>
      <c r="I2517" s="247" t="s">
        <v>2227</v>
      </c>
      <c r="J2517" s="247" t="s">
        <v>174</v>
      </c>
      <c r="K2517" s="247" t="s">
        <v>174</v>
      </c>
      <c r="L2517" s="249" t="s">
        <v>642</v>
      </c>
      <c r="M2517" s="249" t="s">
        <v>929</v>
      </c>
      <c r="N2517" s="248">
        <v>32.03</v>
      </c>
      <c r="O2517" s="248">
        <v>187.8</v>
      </c>
      <c r="P2517" s="247" t="s">
        <v>1448</v>
      </c>
      <c r="Q2517" s="247" t="s">
        <v>95</v>
      </c>
    </row>
    <row r="2518" spans="1:17" x14ac:dyDescent="0.25">
      <c r="A2518" s="247" t="s">
        <v>646</v>
      </c>
      <c r="B2518" s="247" t="s">
        <v>265</v>
      </c>
      <c r="C2518" s="247" t="s">
        <v>1343</v>
      </c>
      <c r="D2518" s="247" t="s">
        <v>1361</v>
      </c>
      <c r="E2518" s="247" t="s">
        <v>1324</v>
      </c>
      <c r="F2518" s="247" t="s">
        <v>2228</v>
      </c>
      <c r="G2518" s="247" t="s">
        <v>1396</v>
      </c>
      <c r="H2518" s="247" t="s">
        <v>396</v>
      </c>
      <c r="I2518" s="247" t="s">
        <v>2229</v>
      </c>
      <c r="J2518" s="247" t="s">
        <v>173</v>
      </c>
      <c r="K2518" s="247" t="s">
        <v>173</v>
      </c>
      <c r="L2518" s="249" t="s">
        <v>646</v>
      </c>
      <c r="M2518" s="249" t="s">
        <v>933</v>
      </c>
      <c r="N2518" s="248">
        <v>736.17</v>
      </c>
      <c r="O2518" s="248">
        <v>736.17</v>
      </c>
      <c r="P2518" s="247" t="s">
        <v>1449</v>
      </c>
      <c r="Q2518" s="247" t="s">
        <v>84</v>
      </c>
    </row>
    <row r="2519" spans="1:17" x14ac:dyDescent="0.25">
      <c r="A2519" s="247" t="s">
        <v>646</v>
      </c>
      <c r="B2519" s="247" t="s">
        <v>265</v>
      </c>
      <c r="C2519" s="247" t="s">
        <v>1343</v>
      </c>
      <c r="D2519" s="247" t="s">
        <v>1361</v>
      </c>
      <c r="E2519" s="247" t="s">
        <v>1324</v>
      </c>
      <c r="F2519" s="247" t="s">
        <v>2228</v>
      </c>
      <c r="G2519" s="247" t="s">
        <v>1396</v>
      </c>
      <c r="H2519" s="247" t="s">
        <v>396</v>
      </c>
      <c r="I2519" s="247" t="s">
        <v>2229</v>
      </c>
      <c r="J2519" s="247" t="s">
        <v>173</v>
      </c>
      <c r="K2519" s="247" t="s">
        <v>173</v>
      </c>
      <c r="L2519" s="249" t="s">
        <v>650</v>
      </c>
      <c r="M2519" s="249" t="s">
        <v>933</v>
      </c>
      <c r="N2519" s="248">
        <v>439.82</v>
      </c>
      <c r="O2519" s="248">
        <v>1175.99</v>
      </c>
      <c r="P2519" s="247" t="s">
        <v>1449</v>
      </c>
      <c r="Q2519" s="247" t="s">
        <v>85</v>
      </c>
    </row>
    <row r="2520" spans="1:17" x14ac:dyDescent="0.25">
      <c r="A2520" s="247" t="s">
        <v>646</v>
      </c>
      <c r="B2520" s="247" t="s">
        <v>265</v>
      </c>
      <c r="C2520" s="247" t="s">
        <v>1343</v>
      </c>
      <c r="D2520" s="247" t="s">
        <v>1361</v>
      </c>
      <c r="E2520" s="247" t="s">
        <v>1324</v>
      </c>
      <c r="F2520" s="247" t="s">
        <v>2228</v>
      </c>
      <c r="G2520" s="247" t="s">
        <v>1396</v>
      </c>
      <c r="H2520" s="247" t="s">
        <v>396</v>
      </c>
      <c r="I2520" s="247" t="s">
        <v>2229</v>
      </c>
      <c r="J2520" s="247" t="s">
        <v>173</v>
      </c>
      <c r="K2520" s="247" t="s">
        <v>173</v>
      </c>
      <c r="L2520" s="249" t="s">
        <v>652</v>
      </c>
      <c r="M2520" s="249" t="s">
        <v>933</v>
      </c>
      <c r="N2520" s="248">
        <v>442.23</v>
      </c>
      <c r="O2520" s="248">
        <v>1618.22</v>
      </c>
      <c r="P2520" s="247" t="s">
        <v>1449</v>
      </c>
      <c r="Q2520" s="247" t="s">
        <v>86</v>
      </c>
    </row>
    <row r="2521" spans="1:17" x14ac:dyDescent="0.25">
      <c r="A2521" s="247" t="s">
        <v>646</v>
      </c>
      <c r="B2521" s="247" t="s">
        <v>265</v>
      </c>
      <c r="C2521" s="247" t="s">
        <v>1343</v>
      </c>
      <c r="D2521" s="247" t="s">
        <v>1361</v>
      </c>
      <c r="E2521" s="247" t="s">
        <v>1324</v>
      </c>
      <c r="F2521" s="247" t="s">
        <v>2228</v>
      </c>
      <c r="G2521" s="247" t="s">
        <v>1396</v>
      </c>
      <c r="H2521" s="247" t="s">
        <v>396</v>
      </c>
      <c r="I2521" s="247" t="s">
        <v>2229</v>
      </c>
      <c r="J2521" s="247" t="s">
        <v>173</v>
      </c>
      <c r="K2521" s="247" t="s">
        <v>173</v>
      </c>
      <c r="L2521" s="249" t="s">
        <v>789</v>
      </c>
      <c r="M2521" s="249" t="s">
        <v>929</v>
      </c>
      <c r="N2521" s="248">
        <v>514.37</v>
      </c>
      <c r="O2521" s="248">
        <v>514.37</v>
      </c>
      <c r="P2521" s="247" t="s">
        <v>1449</v>
      </c>
      <c r="Q2521" s="247" t="s">
        <v>87</v>
      </c>
    </row>
    <row r="2522" spans="1:17" x14ac:dyDescent="0.25">
      <c r="A2522" s="247" t="s">
        <v>646</v>
      </c>
      <c r="B2522" s="247" t="s">
        <v>265</v>
      </c>
      <c r="C2522" s="247" t="s">
        <v>1343</v>
      </c>
      <c r="D2522" s="247" t="s">
        <v>1361</v>
      </c>
      <c r="E2522" s="247" t="s">
        <v>1324</v>
      </c>
      <c r="F2522" s="247" t="s">
        <v>2228</v>
      </c>
      <c r="G2522" s="247" t="s">
        <v>1396</v>
      </c>
      <c r="H2522" s="247" t="s">
        <v>396</v>
      </c>
      <c r="I2522" s="247" t="s">
        <v>2229</v>
      </c>
      <c r="J2522" s="247" t="s">
        <v>173</v>
      </c>
      <c r="K2522" s="247" t="s">
        <v>173</v>
      </c>
      <c r="L2522" s="249" t="s">
        <v>791</v>
      </c>
      <c r="M2522" s="249" t="s">
        <v>929</v>
      </c>
      <c r="N2522" s="248">
        <v>630.92999999999995</v>
      </c>
      <c r="O2522" s="248">
        <v>1145.3</v>
      </c>
      <c r="P2522" s="247" t="s">
        <v>1449</v>
      </c>
      <c r="Q2522" s="247" t="s">
        <v>88</v>
      </c>
    </row>
    <row r="2523" spans="1:17" x14ac:dyDescent="0.25">
      <c r="A2523" s="247" t="s">
        <v>646</v>
      </c>
      <c r="B2523" s="247" t="s">
        <v>265</v>
      </c>
      <c r="C2523" s="247" t="s">
        <v>1343</v>
      </c>
      <c r="D2523" s="247" t="s">
        <v>1361</v>
      </c>
      <c r="E2523" s="247" t="s">
        <v>1324</v>
      </c>
      <c r="F2523" s="247" t="s">
        <v>2228</v>
      </c>
      <c r="G2523" s="247" t="s">
        <v>1396</v>
      </c>
      <c r="H2523" s="247" t="s">
        <v>396</v>
      </c>
      <c r="I2523" s="247" t="s">
        <v>2229</v>
      </c>
      <c r="J2523" s="247" t="s">
        <v>173</v>
      </c>
      <c r="K2523" s="247" t="s">
        <v>173</v>
      </c>
      <c r="L2523" s="249" t="s">
        <v>935</v>
      </c>
      <c r="M2523" s="249" t="s">
        <v>929</v>
      </c>
      <c r="N2523" s="248">
        <v>609.05999999999995</v>
      </c>
      <c r="O2523" s="248">
        <v>1754.36</v>
      </c>
      <c r="P2523" s="247" t="s">
        <v>1449</v>
      </c>
      <c r="Q2523" s="247" t="s">
        <v>89</v>
      </c>
    </row>
    <row r="2524" spans="1:17" x14ac:dyDescent="0.25">
      <c r="A2524" s="247" t="s">
        <v>646</v>
      </c>
      <c r="B2524" s="247" t="s">
        <v>265</v>
      </c>
      <c r="C2524" s="247" t="s">
        <v>1343</v>
      </c>
      <c r="D2524" s="247" t="s">
        <v>1361</v>
      </c>
      <c r="E2524" s="247" t="s">
        <v>1324</v>
      </c>
      <c r="F2524" s="247" t="s">
        <v>2228</v>
      </c>
      <c r="G2524" s="247" t="s">
        <v>1396</v>
      </c>
      <c r="H2524" s="247" t="s">
        <v>396</v>
      </c>
      <c r="I2524" s="247" t="s">
        <v>2229</v>
      </c>
      <c r="J2524" s="247" t="s">
        <v>173</v>
      </c>
      <c r="K2524" s="247" t="s">
        <v>173</v>
      </c>
      <c r="L2524" s="249" t="s">
        <v>936</v>
      </c>
      <c r="M2524" s="249" t="s">
        <v>929</v>
      </c>
      <c r="N2524" s="248">
        <v>688.24</v>
      </c>
      <c r="O2524" s="248">
        <v>2442.6</v>
      </c>
      <c r="P2524" s="247" t="s">
        <v>1449</v>
      </c>
      <c r="Q2524" s="247" t="s">
        <v>90</v>
      </c>
    </row>
    <row r="2525" spans="1:17" x14ac:dyDescent="0.25">
      <c r="A2525" s="247" t="s">
        <v>646</v>
      </c>
      <c r="B2525" s="247" t="s">
        <v>265</v>
      </c>
      <c r="C2525" s="247" t="s">
        <v>1343</v>
      </c>
      <c r="D2525" s="247" t="s">
        <v>1361</v>
      </c>
      <c r="E2525" s="247" t="s">
        <v>1324</v>
      </c>
      <c r="F2525" s="247" t="s">
        <v>2228</v>
      </c>
      <c r="G2525" s="247" t="s">
        <v>1396</v>
      </c>
      <c r="H2525" s="247" t="s">
        <v>396</v>
      </c>
      <c r="I2525" s="247" t="s">
        <v>2229</v>
      </c>
      <c r="J2525" s="247" t="s">
        <v>173</v>
      </c>
      <c r="K2525" s="247" t="s">
        <v>173</v>
      </c>
      <c r="L2525" s="249" t="s">
        <v>937</v>
      </c>
      <c r="M2525" s="249" t="s">
        <v>929</v>
      </c>
      <c r="N2525" s="248">
        <v>287.7</v>
      </c>
      <c r="O2525" s="248">
        <v>2730.3</v>
      </c>
      <c r="P2525" s="247" t="s">
        <v>1449</v>
      </c>
      <c r="Q2525" s="247" t="s">
        <v>91</v>
      </c>
    </row>
    <row r="2526" spans="1:17" x14ac:dyDescent="0.25">
      <c r="A2526" s="247" t="s">
        <v>646</v>
      </c>
      <c r="B2526" s="247" t="s">
        <v>265</v>
      </c>
      <c r="C2526" s="247" t="s">
        <v>1343</v>
      </c>
      <c r="D2526" s="247" t="s">
        <v>1361</v>
      </c>
      <c r="E2526" s="247" t="s">
        <v>1324</v>
      </c>
      <c r="F2526" s="247" t="s">
        <v>2228</v>
      </c>
      <c r="G2526" s="247" t="s">
        <v>1396</v>
      </c>
      <c r="H2526" s="247" t="s">
        <v>396</v>
      </c>
      <c r="I2526" s="247" t="s">
        <v>2229</v>
      </c>
      <c r="J2526" s="247" t="s">
        <v>173</v>
      </c>
      <c r="K2526" s="247" t="s">
        <v>173</v>
      </c>
      <c r="L2526" s="249" t="s">
        <v>938</v>
      </c>
      <c r="M2526" s="249" t="s">
        <v>929</v>
      </c>
      <c r="N2526" s="248">
        <v>344.95</v>
      </c>
      <c r="O2526" s="248">
        <v>3075.25</v>
      </c>
      <c r="P2526" s="247" t="s">
        <v>1449</v>
      </c>
      <c r="Q2526" s="247" t="s">
        <v>92</v>
      </c>
    </row>
    <row r="2527" spans="1:17" x14ac:dyDescent="0.25">
      <c r="A2527" s="247" t="s">
        <v>646</v>
      </c>
      <c r="B2527" s="247" t="s">
        <v>265</v>
      </c>
      <c r="C2527" s="247" t="s">
        <v>1343</v>
      </c>
      <c r="D2527" s="247" t="s">
        <v>1361</v>
      </c>
      <c r="E2527" s="247" t="s">
        <v>1324</v>
      </c>
      <c r="F2527" s="247" t="s">
        <v>2228</v>
      </c>
      <c r="G2527" s="247" t="s">
        <v>1396</v>
      </c>
      <c r="H2527" s="247" t="s">
        <v>396</v>
      </c>
      <c r="I2527" s="247" t="s">
        <v>2229</v>
      </c>
      <c r="J2527" s="247" t="s">
        <v>173</v>
      </c>
      <c r="K2527" s="247" t="s">
        <v>173</v>
      </c>
      <c r="L2527" s="249" t="s">
        <v>939</v>
      </c>
      <c r="M2527" s="249" t="s">
        <v>929</v>
      </c>
      <c r="N2527" s="248">
        <v>660.79</v>
      </c>
      <c r="O2527" s="248">
        <v>3736.04</v>
      </c>
      <c r="P2527" s="247" t="s">
        <v>1449</v>
      </c>
      <c r="Q2527" s="247" t="s">
        <v>93</v>
      </c>
    </row>
    <row r="2528" spans="1:17" x14ac:dyDescent="0.25">
      <c r="A2528" s="247" t="s">
        <v>646</v>
      </c>
      <c r="B2528" s="247" t="s">
        <v>265</v>
      </c>
      <c r="C2528" s="247" t="s">
        <v>1343</v>
      </c>
      <c r="D2528" s="247" t="s">
        <v>1361</v>
      </c>
      <c r="E2528" s="247" t="s">
        <v>1324</v>
      </c>
      <c r="F2528" s="247" t="s">
        <v>2228</v>
      </c>
      <c r="G2528" s="247" t="s">
        <v>1396</v>
      </c>
      <c r="H2528" s="247" t="s">
        <v>396</v>
      </c>
      <c r="I2528" s="247" t="s">
        <v>2229</v>
      </c>
      <c r="J2528" s="247" t="s">
        <v>173</v>
      </c>
      <c r="K2528" s="247" t="s">
        <v>173</v>
      </c>
      <c r="L2528" s="249" t="s">
        <v>940</v>
      </c>
      <c r="M2528" s="249" t="s">
        <v>929</v>
      </c>
      <c r="N2528" s="248">
        <v>617.55999999999995</v>
      </c>
      <c r="O2528" s="248">
        <v>4353.6000000000004</v>
      </c>
      <c r="P2528" s="247" t="s">
        <v>1449</v>
      </c>
      <c r="Q2528" s="247" t="s">
        <v>94</v>
      </c>
    </row>
    <row r="2529" spans="1:17" x14ac:dyDescent="0.25">
      <c r="A2529" s="247" t="s">
        <v>646</v>
      </c>
      <c r="B2529" s="247" t="s">
        <v>265</v>
      </c>
      <c r="C2529" s="247" t="s">
        <v>1343</v>
      </c>
      <c r="D2529" s="247" t="s">
        <v>1361</v>
      </c>
      <c r="E2529" s="247" t="s">
        <v>1324</v>
      </c>
      <c r="F2529" s="247" t="s">
        <v>2228</v>
      </c>
      <c r="G2529" s="247" t="s">
        <v>1396</v>
      </c>
      <c r="H2529" s="247" t="s">
        <v>396</v>
      </c>
      <c r="I2529" s="247" t="s">
        <v>2229</v>
      </c>
      <c r="J2529" s="247" t="s">
        <v>173</v>
      </c>
      <c r="K2529" s="247" t="s">
        <v>173</v>
      </c>
      <c r="L2529" s="249" t="s">
        <v>642</v>
      </c>
      <c r="M2529" s="249" t="s">
        <v>929</v>
      </c>
      <c r="N2529" s="248">
        <v>1041.28</v>
      </c>
      <c r="O2529" s="248">
        <v>5394.88</v>
      </c>
      <c r="P2529" s="247" t="s">
        <v>1449</v>
      </c>
      <c r="Q2529" s="247" t="s">
        <v>95</v>
      </c>
    </row>
    <row r="2530" spans="1:17" x14ac:dyDescent="0.25">
      <c r="A2530" s="247" t="s">
        <v>646</v>
      </c>
      <c r="B2530" s="247" t="s">
        <v>265</v>
      </c>
      <c r="C2530" s="247" t="s">
        <v>1343</v>
      </c>
      <c r="D2530" s="247" t="s">
        <v>1049</v>
      </c>
      <c r="E2530" s="247" t="s">
        <v>1324</v>
      </c>
      <c r="F2530" s="247" t="s">
        <v>2230</v>
      </c>
      <c r="G2530" s="247" t="s">
        <v>1450</v>
      </c>
      <c r="H2530" s="247" t="s">
        <v>396</v>
      </c>
      <c r="I2530" s="247" t="s">
        <v>2231</v>
      </c>
      <c r="J2530" s="247" t="s">
        <v>172</v>
      </c>
      <c r="K2530" s="247" t="s">
        <v>172</v>
      </c>
      <c r="L2530" s="249" t="s">
        <v>642</v>
      </c>
      <c r="M2530" s="249" t="s">
        <v>929</v>
      </c>
      <c r="N2530" s="248">
        <v>777.78</v>
      </c>
      <c r="O2530" s="248">
        <v>777.78</v>
      </c>
      <c r="P2530" s="247" t="s">
        <v>1451</v>
      </c>
      <c r="Q2530" s="247" t="s">
        <v>95</v>
      </c>
    </row>
    <row r="2531" spans="1:17" x14ac:dyDescent="0.25">
      <c r="A2531" s="247" t="s">
        <v>646</v>
      </c>
      <c r="B2531" s="247" t="s">
        <v>265</v>
      </c>
      <c r="C2531" s="247" t="s">
        <v>1343</v>
      </c>
      <c r="D2531" s="247" t="s">
        <v>926</v>
      </c>
      <c r="E2531" s="247" t="s">
        <v>711</v>
      </c>
      <c r="F2531" s="247" t="s">
        <v>2232</v>
      </c>
      <c r="G2531" s="247" t="s">
        <v>1344</v>
      </c>
      <c r="H2531" s="247" t="s">
        <v>392</v>
      </c>
      <c r="I2531" s="247" t="s">
        <v>2233</v>
      </c>
      <c r="J2531" s="247">
        <v>29</v>
      </c>
      <c r="K2531" s="247">
        <v>29</v>
      </c>
      <c r="L2531" s="249" t="s">
        <v>646</v>
      </c>
      <c r="M2531" s="249" t="s">
        <v>933</v>
      </c>
      <c r="N2531" s="248">
        <v>5956.28</v>
      </c>
      <c r="O2531" s="248">
        <v>115788.09</v>
      </c>
      <c r="P2531" s="247" t="s">
        <v>1452</v>
      </c>
      <c r="Q2531" s="247" t="s">
        <v>84</v>
      </c>
    </row>
    <row r="2532" spans="1:17" x14ac:dyDescent="0.25">
      <c r="A2532" s="247" t="s">
        <v>646</v>
      </c>
      <c r="B2532" s="247" t="s">
        <v>265</v>
      </c>
      <c r="C2532" s="247" t="s">
        <v>1343</v>
      </c>
      <c r="D2532" s="247" t="s">
        <v>926</v>
      </c>
      <c r="E2532" s="247" t="s">
        <v>711</v>
      </c>
      <c r="F2532" s="247" t="s">
        <v>2232</v>
      </c>
      <c r="G2532" s="247" t="s">
        <v>1344</v>
      </c>
      <c r="H2532" s="247" t="s">
        <v>392</v>
      </c>
      <c r="I2532" s="247" t="s">
        <v>2233</v>
      </c>
      <c r="J2532" s="247">
        <v>29</v>
      </c>
      <c r="K2532" s="247">
        <v>29</v>
      </c>
      <c r="L2532" s="249" t="s">
        <v>650</v>
      </c>
      <c r="M2532" s="249" t="s">
        <v>933</v>
      </c>
      <c r="N2532" s="248">
        <v>4406.88</v>
      </c>
      <c r="O2532" s="248">
        <v>120194.97</v>
      </c>
      <c r="P2532" s="247" t="s">
        <v>1452</v>
      </c>
      <c r="Q2532" s="247" t="s">
        <v>85</v>
      </c>
    </row>
    <row r="2533" spans="1:17" x14ac:dyDescent="0.25">
      <c r="A2533" s="247" t="s">
        <v>646</v>
      </c>
      <c r="B2533" s="247" t="s">
        <v>265</v>
      </c>
      <c r="C2533" s="247" t="s">
        <v>1343</v>
      </c>
      <c r="D2533" s="247" t="s">
        <v>926</v>
      </c>
      <c r="E2533" s="247" t="s">
        <v>711</v>
      </c>
      <c r="F2533" s="247" t="s">
        <v>2232</v>
      </c>
      <c r="G2533" s="247" t="s">
        <v>1344</v>
      </c>
      <c r="H2533" s="247" t="s">
        <v>392</v>
      </c>
      <c r="I2533" s="247" t="s">
        <v>2233</v>
      </c>
      <c r="J2533" s="247">
        <v>29</v>
      </c>
      <c r="K2533" s="247">
        <v>29</v>
      </c>
      <c r="L2533" s="249" t="s">
        <v>652</v>
      </c>
      <c r="M2533" s="249" t="s">
        <v>933</v>
      </c>
      <c r="N2533" s="248">
        <v>12019.82</v>
      </c>
      <c r="O2533" s="248">
        <v>132214.79</v>
      </c>
      <c r="P2533" s="247" t="s">
        <v>1452</v>
      </c>
      <c r="Q2533" s="247" t="s">
        <v>86</v>
      </c>
    </row>
    <row r="2534" spans="1:17" x14ac:dyDescent="0.25">
      <c r="A2534" s="247" t="s">
        <v>646</v>
      </c>
      <c r="B2534" s="247" t="s">
        <v>265</v>
      </c>
      <c r="C2534" s="247" t="s">
        <v>1343</v>
      </c>
      <c r="D2534" s="247" t="s">
        <v>926</v>
      </c>
      <c r="E2534" s="247" t="s">
        <v>711</v>
      </c>
      <c r="F2534" s="247" t="s">
        <v>2232</v>
      </c>
      <c r="G2534" s="247" t="s">
        <v>1344</v>
      </c>
      <c r="H2534" s="247" t="s">
        <v>392</v>
      </c>
      <c r="I2534" s="247" t="s">
        <v>2233</v>
      </c>
      <c r="J2534" s="247">
        <v>29</v>
      </c>
      <c r="K2534" s="247">
        <v>29</v>
      </c>
      <c r="L2534" s="249" t="s">
        <v>789</v>
      </c>
      <c r="M2534" s="249" t="s">
        <v>929</v>
      </c>
      <c r="N2534" s="248">
        <v>9620.7199999999993</v>
      </c>
      <c r="O2534" s="248">
        <v>9620.7199999999993</v>
      </c>
      <c r="P2534" s="247" t="s">
        <v>1452</v>
      </c>
      <c r="Q2534" s="247" t="s">
        <v>87</v>
      </c>
    </row>
    <row r="2535" spans="1:17" x14ac:dyDescent="0.25">
      <c r="A2535" s="247" t="s">
        <v>646</v>
      </c>
      <c r="B2535" s="247" t="s">
        <v>265</v>
      </c>
      <c r="C2535" s="247" t="s">
        <v>1343</v>
      </c>
      <c r="D2535" s="247" t="s">
        <v>926</v>
      </c>
      <c r="E2535" s="247" t="s">
        <v>711</v>
      </c>
      <c r="F2535" s="247" t="s">
        <v>2232</v>
      </c>
      <c r="G2535" s="247" t="s">
        <v>1344</v>
      </c>
      <c r="H2535" s="247" t="s">
        <v>392</v>
      </c>
      <c r="I2535" s="247" t="s">
        <v>2233</v>
      </c>
      <c r="J2535" s="247">
        <v>29</v>
      </c>
      <c r="K2535" s="247">
        <v>29</v>
      </c>
      <c r="L2535" s="249" t="s">
        <v>791</v>
      </c>
      <c r="M2535" s="249" t="s">
        <v>929</v>
      </c>
      <c r="N2535" s="248">
        <v>6320.72</v>
      </c>
      <c r="O2535" s="248">
        <v>15941.44</v>
      </c>
      <c r="P2535" s="247" t="s">
        <v>1452</v>
      </c>
      <c r="Q2535" s="247" t="s">
        <v>88</v>
      </c>
    </row>
    <row r="2536" spans="1:17" x14ac:dyDescent="0.25">
      <c r="A2536" s="247" t="s">
        <v>646</v>
      </c>
      <c r="B2536" s="247" t="s">
        <v>265</v>
      </c>
      <c r="C2536" s="247" t="s">
        <v>1343</v>
      </c>
      <c r="D2536" s="247" t="s">
        <v>926</v>
      </c>
      <c r="E2536" s="247" t="s">
        <v>711</v>
      </c>
      <c r="F2536" s="247" t="s">
        <v>2232</v>
      </c>
      <c r="G2536" s="247" t="s">
        <v>1344</v>
      </c>
      <c r="H2536" s="247" t="s">
        <v>392</v>
      </c>
      <c r="I2536" s="247" t="s">
        <v>2233</v>
      </c>
      <c r="J2536" s="247">
        <v>29</v>
      </c>
      <c r="K2536" s="247">
        <v>29</v>
      </c>
      <c r="L2536" s="249" t="s">
        <v>935</v>
      </c>
      <c r="M2536" s="249" t="s">
        <v>929</v>
      </c>
      <c r="N2536" s="248">
        <v>5763.16</v>
      </c>
      <c r="O2536" s="248">
        <v>21704.6</v>
      </c>
      <c r="P2536" s="247" t="s">
        <v>1452</v>
      </c>
      <c r="Q2536" s="247" t="s">
        <v>89</v>
      </c>
    </row>
    <row r="2537" spans="1:17" x14ac:dyDescent="0.25">
      <c r="A2537" s="247" t="s">
        <v>646</v>
      </c>
      <c r="B2537" s="247" t="s">
        <v>265</v>
      </c>
      <c r="C2537" s="247" t="s">
        <v>1343</v>
      </c>
      <c r="D2537" s="247" t="s">
        <v>926</v>
      </c>
      <c r="E2537" s="247" t="s">
        <v>711</v>
      </c>
      <c r="F2537" s="247" t="s">
        <v>2232</v>
      </c>
      <c r="G2537" s="247" t="s">
        <v>1344</v>
      </c>
      <c r="H2537" s="247" t="s">
        <v>392</v>
      </c>
      <c r="I2537" s="247" t="s">
        <v>2233</v>
      </c>
      <c r="J2537" s="247">
        <v>29</v>
      </c>
      <c r="K2537" s="247">
        <v>29</v>
      </c>
      <c r="L2537" s="249" t="s">
        <v>936</v>
      </c>
      <c r="M2537" s="249" t="s">
        <v>929</v>
      </c>
      <c r="N2537" s="248">
        <v>5763.16</v>
      </c>
      <c r="O2537" s="248">
        <v>27467.759999999998</v>
      </c>
      <c r="P2537" s="247" t="s">
        <v>1452</v>
      </c>
      <c r="Q2537" s="247" t="s">
        <v>90</v>
      </c>
    </row>
    <row r="2538" spans="1:17" x14ac:dyDescent="0.25">
      <c r="A2538" s="247" t="s">
        <v>646</v>
      </c>
      <c r="B2538" s="247" t="s">
        <v>265</v>
      </c>
      <c r="C2538" s="247" t="s">
        <v>1343</v>
      </c>
      <c r="D2538" s="247" t="s">
        <v>926</v>
      </c>
      <c r="E2538" s="247" t="s">
        <v>711</v>
      </c>
      <c r="F2538" s="247" t="s">
        <v>2232</v>
      </c>
      <c r="G2538" s="247" t="s">
        <v>1344</v>
      </c>
      <c r="H2538" s="247" t="s">
        <v>392</v>
      </c>
      <c r="I2538" s="247" t="s">
        <v>2233</v>
      </c>
      <c r="J2538" s="247">
        <v>29</v>
      </c>
      <c r="K2538" s="247">
        <v>29</v>
      </c>
      <c r="L2538" s="249" t="s">
        <v>937</v>
      </c>
      <c r="M2538" s="249" t="s">
        <v>929</v>
      </c>
      <c r="N2538" s="248">
        <v>5018.04</v>
      </c>
      <c r="O2538" s="248">
        <v>32485.8</v>
      </c>
      <c r="P2538" s="247" t="s">
        <v>1452</v>
      </c>
      <c r="Q2538" s="247" t="s">
        <v>91</v>
      </c>
    </row>
    <row r="2539" spans="1:17" x14ac:dyDescent="0.25">
      <c r="A2539" s="247" t="s">
        <v>646</v>
      </c>
      <c r="B2539" s="247" t="s">
        <v>265</v>
      </c>
      <c r="C2539" s="247" t="s">
        <v>1343</v>
      </c>
      <c r="D2539" s="247" t="s">
        <v>926</v>
      </c>
      <c r="E2539" s="247" t="s">
        <v>711</v>
      </c>
      <c r="F2539" s="247" t="s">
        <v>2232</v>
      </c>
      <c r="G2539" s="247" t="s">
        <v>1344</v>
      </c>
      <c r="H2539" s="247" t="s">
        <v>392</v>
      </c>
      <c r="I2539" s="247" t="s">
        <v>2233</v>
      </c>
      <c r="J2539" s="247">
        <v>29</v>
      </c>
      <c r="K2539" s="247">
        <v>29</v>
      </c>
      <c r="L2539" s="249" t="s">
        <v>938</v>
      </c>
      <c r="M2539" s="249" t="s">
        <v>929</v>
      </c>
      <c r="N2539" s="248">
        <v>5575.6</v>
      </c>
      <c r="O2539" s="248">
        <v>38061.4</v>
      </c>
      <c r="P2539" s="247" t="s">
        <v>1452</v>
      </c>
      <c r="Q2539" s="247" t="s">
        <v>92</v>
      </c>
    </row>
    <row r="2540" spans="1:17" x14ac:dyDescent="0.25">
      <c r="A2540" s="247" t="s">
        <v>646</v>
      </c>
      <c r="B2540" s="247" t="s">
        <v>265</v>
      </c>
      <c r="C2540" s="247" t="s">
        <v>1343</v>
      </c>
      <c r="D2540" s="247" t="s">
        <v>926</v>
      </c>
      <c r="E2540" s="247" t="s">
        <v>711</v>
      </c>
      <c r="F2540" s="247" t="s">
        <v>2232</v>
      </c>
      <c r="G2540" s="247" t="s">
        <v>1344</v>
      </c>
      <c r="H2540" s="247" t="s">
        <v>392</v>
      </c>
      <c r="I2540" s="247" t="s">
        <v>2233</v>
      </c>
      <c r="J2540" s="247">
        <v>29</v>
      </c>
      <c r="K2540" s="247">
        <v>29</v>
      </c>
      <c r="L2540" s="249" t="s">
        <v>939</v>
      </c>
      <c r="M2540" s="249" t="s">
        <v>929</v>
      </c>
      <c r="N2540" s="248">
        <v>5575.6</v>
      </c>
      <c r="O2540" s="248">
        <v>43637</v>
      </c>
      <c r="P2540" s="247" t="s">
        <v>1452</v>
      </c>
      <c r="Q2540" s="247" t="s">
        <v>93</v>
      </c>
    </row>
    <row r="2541" spans="1:17" x14ac:dyDescent="0.25">
      <c r="A2541" s="247" t="s">
        <v>646</v>
      </c>
      <c r="B2541" s="247" t="s">
        <v>265</v>
      </c>
      <c r="C2541" s="247" t="s">
        <v>1343</v>
      </c>
      <c r="D2541" s="247" t="s">
        <v>926</v>
      </c>
      <c r="E2541" s="247" t="s">
        <v>711</v>
      </c>
      <c r="F2541" s="247" t="s">
        <v>2232</v>
      </c>
      <c r="G2541" s="247" t="s">
        <v>1344</v>
      </c>
      <c r="H2541" s="247" t="s">
        <v>392</v>
      </c>
      <c r="I2541" s="247" t="s">
        <v>2233</v>
      </c>
      <c r="J2541" s="247">
        <v>29</v>
      </c>
      <c r="K2541" s="247">
        <v>29</v>
      </c>
      <c r="L2541" s="249" t="s">
        <v>940</v>
      </c>
      <c r="M2541" s="249" t="s">
        <v>929</v>
      </c>
      <c r="N2541" s="248">
        <v>6133.16</v>
      </c>
      <c r="O2541" s="248">
        <v>49770.16</v>
      </c>
      <c r="P2541" s="247" t="s">
        <v>1452</v>
      </c>
      <c r="Q2541" s="247" t="s">
        <v>94</v>
      </c>
    </row>
    <row r="2542" spans="1:17" x14ac:dyDescent="0.25">
      <c r="A2542" s="247" t="s">
        <v>646</v>
      </c>
      <c r="B2542" s="247" t="s">
        <v>265</v>
      </c>
      <c r="C2542" s="247" t="s">
        <v>1343</v>
      </c>
      <c r="D2542" s="247" t="s">
        <v>926</v>
      </c>
      <c r="E2542" s="247" t="s">
        <v>711</v>
      </c>
      <c r="F2542" s="247" t="s">
        <v>2232</v>
      </c>
      <c r="G2542" s="247" t="s">
        <v>1344</v>
      </c>
      <c r="H2542" s="247" t="s">
        <v>392</v>
      </c>
      <c r="I2542" s="247" t="s">
        <v>2233</v>
      </c>
      <c r="J2542" s="247">
        <v>29</v>
      </c>
      <c r="K2542" s="247">
        <v>29</v>
      </c>
      <c r="L2542" s="249" t="s">
        <v>642</v>
      </c>
      <c r="M2542" s="249" t="s">
        <v>929</v>
      </c>
      <c r="N2542" s="248">
        <v>6779.42</v>
      </c>
      <c r="O2542" s="248">
        <v>56549.58</v>
      </c>
      <c r="P2542" s="247" t="s">
        <v>1452</v>
      </c>
      <c r="Q2542" s="247" t="s">
        <v>95</v>
      </c>
    </row>
    <row r="2543" spans="1:17" x14ac:dyDescent="0.25">
      <c r="A2543" s="247" t="s">
        <v>646</v>
      </c>
      <c r="B2543" s="247" t="s">
        <v>265</v>
      </c>
      <c r="C2543" s="247" t="s">
        <v>1343</v>
      </c>
      <c r="D2543" s="247" t="s">
        <v>711</v>
      </c>
      <c r="E2543" s="247" t="s">
        <v>711</v>
      </c>
      <c r="F2543" s="247" t="s">
        <v>2234</v>
      </c>
      <c r="G2543" s="247" t="s">
        <v>1346</v>
      </c>
      <c r="H2543" s="247" t="s">
        <v>392</v>
      </c>
      <c r="I2543" s="247" t="s">
        <v>2235</v>
      </c>
      <c r="J2543" s="247">
        <v>30</v>
      </c>
      <c r="K2543" s="247">
        <v>30</v>
      </c>
      <c r="L2543" s="249" t="s">
        <v>646</v>
      </c>
      <c r="M2543" s="249" t="s">
        <v>933</v>
      </c>
      <c r="N2543" s="248">
        <v>3456.29</v>
      </c>
      <c r="O2543" s="248">
        <v>35738.86</v>
      </c>
      <c r="P2543" s="247" t="s">
        <v>1453</v>
      </c>
      <c r="Q2543" s="247" t="s">
        <v>84</v>
      </c>
    </row>
    <row r="2544" spans="1:17" x14ac:dyDescent="0.25">
      <c r="A2544" s="247" t="s">
        <v>646</v>
      </c>
      <c r="B2544" s="247" t="s">
        <v>265</v>
      </c>
      <c r="C2544" s="247" t="s">
        <v>1343</v>
      </c>
      <c r="D2544" s="247" t="s">
        <v>711</v>
      </c>
      <c r="E2544" s="247" t="s">
        <v>711</v>
      </c>
      <c r="F2544" s="247" t="s">
        <v>2234</v>
      </c>
      <c r="G2544" s="247" t="s">
        <v>1346</v>
      </c>
      <c r="H2544" s="247" t="s">
        <v>392</v>
      </c>
      <c r="I2544" s="247" t="s">
        <v>2235</v>
      </c>
      <c r="J2544" s="247">
        <v>30</v>
      </c>
      <c r="K2544" s="247">
        <v>30</v>
      </c>
      <c r="L2544" s="249" t="s">
        <v>650</v>
      </c>
      <c r="M2544" s="249" t="s">
        <v>933</v>
      </c>
      <c r="N2544" s="248">
        <v>2241.89</v>
      </c>
      <c r="O2544" s="248">
        <v>37980.75</v>
      </c>
      <c r="P2544" s="247" t="s">
        <v>1453</v>
      </c>
      <c r="Q2544" s="247" t="s">
        <v>85</v>
      </c>
    </row>
    <row r="2545" spans="1:17" x14ac:dyDescent="0.25">
      <c r="A2545" s="247" t="s">
        <v>646</v>
      </c>
      <c r="B2545" s="247" t="s">
        <v>265</v>
      </c>
      <c r="C2545" s="247" t="s">
        <v>1343</v>
      </c>
      <c r="D2545" s="247" t="s">
        <v>711</v>
      </c>
      <c r="E2545" s="247" t="s">
        <v>711</v>
      </c>
      <c r="F2545" s="247" t="s">
        <v>2234</v>
      </c>
      <c r="G2545" s="247" t="s">
        <v>1346</v>
      </c>
      <c r="H2545" s="247" t="s">
        <v>392</v>
      </c>
      <c r="I2545" s="247" t="s">
        <v>2235</v>
      </c>
      <c r="J2545" s="247">
        <v>30</v>
      </c>
      <c r="K2545" s="247">
        <v>30</v>
      </c>
      <c r="L2545" s="249" t="s">
        <v>652</v>
      </c>
      <c r="M2545" s="249" t="s">
        <v>933</v>
      </c>
      <c r="N2545" s="248">
        <v>2167.4499999999998</v>
      </c>
      <c r="O2545" s="248">
        <v>40148.199999999997</v>
      </c>
      <c r="P2545" s="247" t="s">
        <v>1453</v>
      </c>
      <c r="Q2545" s="247" t="s">
        <v>86</v>
      </c>
    </row>
    <row r="2546" spans="1:17" x14ac:dyDescent="0.25">
      <c r="A2546" s="247" t="s">
        <v>646</v>
      </c>
      <c r="B2546" s="247" t="s">
        <v>265</v>
      </c>
      <c r="C2546" s="247" t="s">
        <v>1343</v>
      </c>
      <c r="D2546" s="247" t="s">
        <v>711</v>
      </c>
      <c r="E2546" s="247" t="s">
        <v>711</v>
      </c>
      <c r="F2546" s="247" t="s">
        <v>2234</v>
      </c>
      <c r="G2546" s="247" t="s">
        <v>1346</v>
      </c>
      <c r="H2546" s="247" t="s">
        <v>392</v>
      </c>
      <c r="I2546" s="247" t="s">
        <v>2235</v>
      </c>
      <c r="J2546" s="247">
        <v>30</v>
      </c>
      <c r="K2546" s="247">
        <v>30</v>
      </c>
      <c r="L2546" s="249" t="s">
        <v>789</v>
      </c>
      <c r="M2546" s="249" t="s">
        <v>929</v>
      </c>
      <c r="N2546" s="248">
        <v>2171.91</v>
      </c>
      <c r="O2546" s="248">
        <v>2171.91</v>
      </c>
      <c r="P2546" s="247" t="s">
        <v>1453</v>
      </c>
      <c r="Q2546" s="247" t="s">
        <v>87</v>
      </c>
    </row>
    <row r="2547" spans="1:17" x14ac:dyDescent="0.25">
      <c r="A2547" s="247" t="s">
        <v>646</v>
      </c>
      <c r="B2547" s="247" t="s">
        <v>265</v>
      </c>
      <c r="C2547" s="247" t="s">
        <v>1343</v>
      </c>
      <c r="D2547" s="247" t="s">
        <v>711</v>
      </c>
      <c r="E2547" s="247" t="s">
        <v>711</v>
      </c>
      <c r="F2547" s="247" t="s">
        <v>2234</v>
      </c>
      <c r="G2547" s="247" t="s">
        <v>1346</v>
      </c>
      <c r="H2547" s="247" t="s">
        <v>392</v>
      </c>
      <c r="I2547" s="247" t="s">
        <v>2235</v>
      </c>
      <c r="J2547" s="247">
        <v>30</v>
      </c>
      <c r="K2547" s="247">
        <v>30</v>
      </c>
      <c r="L2547" s="249" t="s">
        <v>791</v>
      </c>
      <c r="M2547" s="249" t="s">
        <v>929</v>
      </c>
      <c r="N2547" s="248">
        <v>1886.19</v>
      </c>
      <c r="O2547" s="248">
        <v>4058.1</v>
      </c>
      <c r="P2547" s="247" t="s">
        <v>1453</v>
      </c>
      <c r="Q2547" s="247" t="s">
        <v>88</v>
      </c>
    </row>
    <row r="2548" spans="1:17" x14ac:dyDescent="0.25">
      <c r="A2548" s="247" t="s">
        <v>646</v>
      </c>
      <c r="B2548" s="247" t="s">
        <v>265</v>
      </c>
      <c r="C2548" s="247" t="s">
        <v>1343</v>
      </c>
      <c r="D2548" s="247" t="s">
        <v>711</v>
      </c>
      <c r="E2548" s="247" t="s">
        <v>711</v>
      </c>
      <c r="F2548" s="247" t="s">
        <v>2234</v>
      </c>
      <c r="G2548" s="247" t="s">
        <v>1346</v>
      </c>
      <c r="H2548" s="247" t="s">
        <v>392</v>
      </c>
      <c r="I2548" s="247" t="s">
        <v>2235</v>
      </c>
      <c r="J2548" s="247">
        <v>30</v>
      </c>
      <c r="K2548" s="247">
        <v>30</v>
      </c>
      <c r="L2548" s="249" t="s">
        <v>935</v>
      </c>
      <c r="M2548" s="249" t="s">
        <v>929</v>
      </c>
      <c r="N2548" s="248">
        <v>1801.57</v>
      </c>
      <c r="O2548" s="248">
        <v>5859.67</v>
      </c>
      <c r="P2548" s="247" t="s">
        <v>1453</v>
      </c>
      <c r="Q2548" s="247" t="s">
        <v>89</v>
      </c>
    </row>
    <row r="2549" spans="1:17" x14ac:dyDescent="0.25">
      <c r="A2549" s="247" t="s">
        <v>646</v>
      </c>
      <c r="B2549" s="247" t="s">
        <v>265</v>
      </c>
      <c r="C2549" s="247" t="s">
        <v>1343</v>
      </c>
      <c r="D2549" s="247" t="s">
        <v>711</v>
      </c>
      <c r="E2549" s="247" t="s">
        <v>711</v>
      </c>
      <c r="F2549" s="247" t="s">
        <v>2234</v>
      </c>
      <c r="G2549" s="247" t="s">
        <v>1346</v>
      </c>
      <c r="H2549" s="247" t="s">
        <v>392</v>
      </c>
      <c r="I2549" s="247" t="s">
        <v>2235</v>
      </c>
      <c r="J2549" s="247">
        <v>30</v>
      </c>
      <c r="K2549" s="247">
        <v>30</v>
      </c>
      <c r="L2549" s="249" t="s">
        <v>936</v>
      </c>
      <c r="M2549" s="249" t="s">
        <v>929</v>
      </c>
      <c r="N2549" s="248">
        <v>2944.08</v>
      </c>
      <c r="O2549" s="248">
        <v>8803.75</v>
      </c>
      <c r="P2549" s="247" t="s">
        <v>1453</v>
      </c>
      <c r="Q2549" s="247" t="s">
        <v>90</v>
      </c>
    </row>
    <row r="2550" spans="1:17" x14ac:dyDescent="0.25">
      <c r="A2550" s="247" t="s">
        <v>646</v>
      </c>
      <c r="B2550" s="247" t="s">
        <v>265</v>
      </c>
      <c r="C2550" s="247" t="s">
        <v>1343</v>
      </c>
      <c r="D2550" s="247" t="s">
        <v>711</v>
      </c>
      <c r="E2550" s="247" t="s">
        <v>711</v>
      </c>
      <c r="F2550" s="247" t="s">
        <v>2234</v>
      </c>
      <c r="G2550" s="247" t="s">
        <v>1346</v>
      </c>
      <c r="H2550" s="247" t="s">
        <v>392</v>
      </c>
      <c r="I2550" s="247" t="s">
        <v>2235</v>
      </c>
      <c r="J2550" s="247">
        <v>30</v>
      </c>
      <c r="K2550" s="247">
        <v>30</v>
      </c>
      <c r="L2550" s="249" t="s">
        <v>937</v>
      </c>
      <c r="M2550" s="249" t="s">
        <v>929</v>
      </c>
      <c r="N2550" s="248">
        <v>2066.7199999999998</v>
      </c>
      <c r="O2550" s="248">
        <v>10870.47</v>
      </c>
      <c r="P2550" s="247" t="s">
        <v>1453</v>
      </c>
      <c r="Q2550" s="247" t="s">
        <v>91</v>
      </c>
    </row>
    <row r="2551" spans="1:17" x14ac:dyDescent="0.25">
      <c r="A2551" s="247" t="s">
        <v>646</v>
      </c>
      <c r="B2551" s="247" t="s">
        <v>265</v>
      </c>
      <c r="C2551" s="247" t="s">
        <v>1343</v>
      </c>
      <c r="D2551" s="247" t="s">
        <v>711</v>
      </c>
      <c r="E2551" s="247" t="s">
        <v>711</v>
      </c>
      <c r="F2551" s="247" t="s">
        <v>2234</v>
      </c>
      <c r="G2551" s="247" t="s">
        <v>1346</v>
      </c>
      <c r="H2551" s="247" t="s">
        <v>392</v>
      </c>
      <c r="I2551" s="247" t="s">
        <v>2235</v>
      </c>
      <c r="J2551" s="247">
        <v>30</v>
      </c>
      <c r="K2551" s="247">
        <v>30</v>
      </c>
      <c r="L2551" s="249" t="s">
        <v>938</v>
      </c>
      <c r="M2551" s="249" t="s">
        <v>929</v>
      </c>
      <c r="N2551" s="248">
        <v>2014.59</v>
      </c>
      <c r="O2551" s="248">
        <v>12885.06</v>
      </c>
      <c r="P2551" s="247" t="s">
        <v>1453</v>
      </c>
      <c r="Q2551" s="247" t="s">
        <v>92</v>
      </c>
    </row>
    <row r="2552" spans="1:17" x14ac:dyDescent="0.25">
      <c r="A2552" s="247" t="s">
        <v>646</v>
      </c>
      <c r="B2552" s="247" t="s">
        <v>265</v>
      </c>
      <c r="C2552" s="247" t="s">
        <v>1343</v>
      </c>
      <c r="D2552" s="247" t="s">
        <v>711</v>
      </c>
      <c r="E2552" s="247" t="s">
        <v>711</v>
      </c>
      <c r="F2552" s="247" t="s">
        <v>2234</v>
      </c>
      <c r="G2552" s="247" t="s">
        <v>1346</v>
      </c>
      <c r="H2552" s="247" t="s">
        <v>392</v>
      </c>
      <c r="I2552" s="247" t="s">
        <v>2235</v>
      </c>
      <c r="J2552" s="247">
        <v>30</v>
      </c>
      <c r="K2552" s="247">
        <v>30</v>
      </c>
      <c r="L2552" s="249" t="s">
        <v>939</v>
      </c>
      <c r="M2552" s="249" t="s">
        <v>929</v>
      </c>
      <c r="N2552" s="248">
        <v>2020.43</v>
      </c>
      <c r="O2552" s="248">
        <v>14905.49</v>
      </c>
      <c r="P2552" s="247" t="s">
        <v>1453</v>
      </c>
      <c r="Q2552" s="247" t="s">
        <v>93</v>
      </c>
    </row>
    <row r="2553" spans="1:17" x14ac:dyDescent="0.25">
      <c r="A2553" s="247" t="s">
        <v>646</v>
      </c>
      <c r="B2553" s="247" t="s">
        <v>265</v>
      </c>
      <c r="C2553" s="247" t="s">
        <v>1343</v>
      </c>
      <c r="D2553" s="247" t="s">
        <v>711</v>
      </c>
      <c r="E2553" s="247" t="s">
        <v>711</v>
      </c>
      <c r="F2553" s="247" t="s">
        <v>2234</v>
      </c>
      <c r="G2553" s="247" t="s">
        <v>1346</v>
      </c>
      <c r="H2553" s="247" t="s">
        <v>392</v>
      </c>
      <c r="I2553" s="247" t="s">
        <v>2235</v>
      </c>
      <c r="J2553" s="247">
        <v>30</v>
      </c>
      <c r="K2553" s="247">
        <v>30</v>
      </c>
      <c r="L2553" s="249" t="s">
        <v>940</v>
      </c>
      <c r="M2553" s="249" t="s">
        <v>929</v>
      </c>
      <c r="N2553" s="248">
        <v>2003.65</v>
      </c>
      <c r="O2553" s="248">
        <v>16909.14</v>
      </c>
      <c r="P2553" s="247" t="s">
        <v>1453</v>
      </c>
      <c r="Q2553" s="247" t="s">
        <v>94</v>
      </c>
    </row>
    <row r="2554" spans="1:17" x14ac:dyDescent="0.25">
      <c r="A2554" s="247" t="s">
        <v>646</v>
      </c>
      <c r="B2554" s="247" t="s">
        <v>265</v>
      </c>
      <c r="C2554" s="247" t="s">
        <v>1343</v>
      </c>
      <c r="D2554" s="247" t="s">
        <v>711</v>
      </c>
      <c r="E2554" s="247" t="s">
        <v>711</v>
      </c>
      <c r="F2554" s="247" t="s">
        <v>2234</v>
      </c>
      <c r="G2554" s="247" t="s">
        <v>1346</v>
      </c>
      <c r="H2554" s="247" t="s">
        <v>392</v>
      </c>
      <c r="I2554" s="247" t="s">
        <v>2235</v>
      </c>
      <c r="J2554" s="247">
        <v>30</v>
      </c>
      <c r="K2554" s="247">
        <v>30</v>
      </c>
      <c r="L2554" s="249" t="s">
        <v>642</v>
      </c>
      <c r="M2554" s="249" t="s">
        <v>929</v>
      </c>
      <c r="N2554" s="248">
        <v>3186.52</v>
      </c>
      <c r="O2554" s="248">
        <v>20095.66</v>
      </c>
      <c r="P2554" s="247" t="s">
        <v>1453</v>
      </c>
      <c r="Q2554" s="247" t="s">
        <v>95</v>
      </c>
    </row>
    <row r="2555" spans="1:17" x14ac:dyDescent="0.25">
      <c r="A2555" s="247" t="s">
        <v>646</v>
      </c>
      <c r="B2555" s="247" t="s">
        <v>265</v>
      </c>
      <c r="C2555" s="247" t="s">
        <v>1343</v>
      </c>
      <c r="D2555" s="247" t="s">
        <v>755</v>
      </c>
      <c r="E2555" s="247" t="s">
        <v>711</v>
      </c>
      <c r="F2555" s="247" t="s">
        <v>2236</v>
      </c>
      <c r="G2555" s="247" t="s">
        <v>1348</v>
      </c>
      <c r="H2555" s="247" t="s">
        <v>392</v>
      </c>
      <c r="I2555" s="247" t="s">
        <v>2237</v>
      </c>
      <c r="J2555" s="247">
        <v>30</v>
      </c>
      <c r="K2555" s="247">
        <v>30</v>
      </c>
      <c r="L2555" s="249" t="s">
        <v>646</v>
      </c>
      <c r="M2555" s="249" t="s">
        <v>933</v>
      </c>
      <c r="N2555" s="248">
        <v>258</v>
      </c>
      <c r="O2555" s="248">
        <v>4536.5</v>
      </c>
      <c r="P2555" s="247" t="s">
        <v>1454</v>
      </c>
      <c r="Q2555" s="247" t="s">
        <v>84</v>
      </c>
    </row>
    <row r="2556" spans="1:17" x14ac:dyDescent="0.25">
      <c r="A2556" s="247" t="s">
        <v>646</v>
      </c>
      <c r="B2556" s="247" t="s">
        <v>265</v>
      </c>
      <c r="C2556" s="247" t="s">
        <v>1343</v>
      </c>
      <c r="D2556" s="247" t="s">
        <v>755</v>
      </c>
      <c r="E2556" s="247" t="s">
        <v>711</v>
      </c>
      <c r="F2556" s="247" t="s">
        <v>2236</v>
      </c>
      <c r="G2556" s="247" t="s">
        <v>1348</v>
      </c>
      <c r="H2556" s="247" t="s">
        <v>392</v>
      </c>
      <c r="I2556" s="247" t="s">
        <v>2237</v>
      </c>
      <c r="J2556" s="247">
        <v>30</v>
      </c>
      <c r="K2556" s="247">
        <v>30</v>
      </c>
      <c r="L2556" s="249" t="s">
        <v>650</v>
      </c>
      <c r="M2556" s="249" t="s">
        <v>933</v>
      </c>
      <c r="N2556" s="248">
        <v>258</v>
      </c>
      <c r="O2556" s="248">
        <v>4794.5</v>
      </c>
      <c r="P2556" s="247" t="s">
        <v>1454</v>
      </c>
      <c r="Q2556" s="247" t="s">
        <v>85</v>
      </c>
    </row>
    <row r="2557" spans="1:17" x14ac:dyDescent="0.25">
      <c r="A2557" s="247" t="s">
        <v>646</v>
      </c>
      <c r="B2557" s="247" t="s">
        <v>265</v>
      </c>
      <c r="C2557" s="247" t="s">
        <v>1343</v>
      </c>
      <c r="D2557" s="247" t="s">
        <v>755</v>
      </c>
      <c r="E2557" s="247" t="s">
        <v>711</v>
      </c>
      <c r="F2557" s="247" t="s">
        <v>2236</v>
      </c>
      <c r="G2557" s="247" t="s">
        <v>1348</v>
      </c>
      <c r="H2557" s="247" t="s">
        <v>392</v>
      </c>
      <c r="I2557" s="247" t="s">
        <v>2237</v>
      </c>
      <c r="J2557" s="247">
        <v>30</v>
      </c>
      <c r="K2557" s="247">
        <v>30</v>
      </c>
      <c r="L2557" s="249" t="s">
        <v>652</v>
      </c>
      <c r="M2557" s="249" t="s">
        <v>933</v>
      </c>
      <c r="N2557" s="248">
        <v>236.5</v>
      </c>
      <c r="O2557" s="248">
        <v>5031</v>
      </c>
      <c r="P2557" s="247" t="s">
        <v>1454</v>
      </c>
      <c r="Q2557" s="247" t="s">
        <v>86</v>
      </c>
    </row>
    <row r="2558" spans="1:17" x14ac:dyDescent="0.25">
      <c r="A2558" s="247" t="s">
        <v>646</v>
      </c>
      <c r="B2558" s="247" t="s">
        <v>265</v>
      </c>
      <c r="C2558" s="247" t="s">
        <v>1343</v>
      </c>
      <c r="D2558" s="247" t="s">
        <v>755</v>
      </c>
      <c r="E2558" s="247" t="s">
        <v>711</v>
      </c>
      <c r="F2558" s="247" t="s">
        <v>2236</v>
      </c>
      <c r="G2558" s="247" t="s">
        <v>1348</v>
      </c>
      <c r="H2558" s="247" t="s">
        <v>392</v>
      </c>
      <c r="I2558" s="247" t="s">
        <v>2237</v>
      </c>
      <c r="J2558" s="247">
        <v>30</v>
      </c>
      <c r="K2558" s="247">
        <v>30</v>
      </c>
      <c r="L2558" s="249" t="s">
        <v>789</v>
      </c>
      <c r="M2558" s="249" t="s">
        <v>929</v>
      </c>
      <c r="N2558" s="248">
        <v>236.5</v>
      </c>
      <c r="O2558" s="248">
        <v>236.5</v>
      </c>
      <c r="P2558" s="247" t="s">
        <v>1454</v>
      </c>
      <c r="Q2558" s="247" t="s">
        <v>87</v>
      </c>
    </row>
    <row r="2559" spans="1:17" x14ac:dyDescent="0.25">
      <c r="A2559" s="247" t="s">
        <v>646</v>
      </c>
      <c r="B2559" s="247" t="s">
        <v>265</v>
      </c>
      <c r="C2559" s="247" t="s">
        <v>1343</v>
      </c>
      <c r="D2559" s="247" t="s">
        <v>755</v>
      </c>
      <c r="E2559" s="247" t="s">
        <v>711</v>
      </c>
      <c r="F2559" s="247" t="s">
        <v>2236</v>
      </c>
      <c r="G2559" s="247" t="s">
        <v>1348</v>
      </c>
      <c r="H2559" s="247" t="s">
        <v>392</v>
      </c>
      <c r="I2559" s="247" t="s">
        <v>2237</v>
      </c>
      <c r="J2559" s="247">
        <v>30</v>
      </c>
      <c r="K2559" s="247">
        <v>30</v>
      </c>
      <c r="L2559" s="249" t="s">
        <v>791</v>
      </c>
      <c r="M2559" s="249" t="s">
        <v>929</v>
      </c>
      <c r="N2559" s="248">
        <v>258</v>
      </c>
      <c r="O2559" s="248">
        <v>494.5</v>
      </c>
      <c r="P2559" s="247" t="s">
        <v>1454</v>
      </c>
      <c r="Q2559" s="247" t="s">
        <v>88</v>
      </c>
    </row>
    <row r="2560" spans="1:17" x14ac:dyDescent="0.25">
      <c r="A2560" s="247" t="s">
        <v>646</v>
      </c>
      <c r="B2560" s="247" t="s">
        <v>265</v>
      </c>
      <c r="C2560" s="247" t="s">
        <v>1343</v>
      </c>
      <c r="D2560" s="247" t="s">
        <v>755</v>
      </c>
      <c r="E2560" s="247" t="s">
        <v>711</v>
      </c>
      <c r="F2560" s="247" t="s">
        <v>2236</v>
      </c>
      <c r="G2560" s="247" t="s">
        <v>1348</v>
      </c>
      <c r="H2560" s="247" t="s">
        <v>392</v>
      </c>
      <c r="I2560" s="247" t="s">
        <v>2237</v>
      </c>
      <c r="J2560" s="247">
        <v>30</v>
      </c>
      <c r="K2560" s="247">
        <v>30</v>
      </c>
      <c r="L2560" s="249" t="s">
        <v>935</v>
      </c>
      <c r="M2560" s="249" t="s">
        <v>929</v>
      </c>
      <c r="N2560" s="248">
        <v>258</v>
      </c>
      <c r="O2560" s="248">
        <v>752.5</v>
      </c>
      <c r="P2560" s="247" t="s">
        <v>1454</v>
      </c>
      <c r="Q2560" s="247" t="s">
        <v>89</v>
      </c>
    </row>
    <row r="2561" spans="1:17" x14ac:dyDescent="0.25">
      <c r="A2561" s="247" t="s">
        <v>646</v>
      </c>
      <c r="B2561" s="247" t="s">
        <v>265</v>
      </c>
      <c r="C2561" s="247" t="s">
        <v>1343</v>
      </c>
      <c r="D2561" s="247" t="s">
        <v>755</v>
      </c>
      <c r="E2561" s="247" t="s">
        <v>711</v>
      </c>
      <c r="F2561" s="247" t="s">
        <v>2236</v>
      </c>
      <c r="G2561" s="247" t="s">
        <v>1348</v>
      </c>
      <c r="H2561" s="247" t="s">
        <v>392</v>
      </c>
      <c r="I2561" s="247" t="s">
        <v>2237</v>
      </c>
      <c r="J2561" s="247">
        <v>30</v>
      </c>
      <c r="K2561" s="247">
        <v>30</v>
      </c>
      <c r="L2561" s="249" t="s">
        <v>936</v>
      </c>
      <c r="M2561" s="249" t="s">
        <v>929</v>
      </c>
      <c r="N2561" s="248">
        <v>279.5</v>
      </c>
      <c r="O2561" s="248">
        <v>1032</v>
      </c>
      <c r="P2561" s="247" t="s">
        <v>1454</v>
      </c>
      <c r="Q2561" s="247" t="s">
        <v>90</v>
      </c>
    </row>
    <row r="2562" spans="1:17" x14ac:dyDescent="0.25">
      <c r="A2562" s="247" t="s">
        <v>646</v>
      </c>
      <c r="B2562" s="247" t="s">
        <v>265</v>
      </c>
      <c r="C2562" s="247" t="s">
        <v>1343</v>
      </c>
      <c r="D2562" s="247" t="s">
        <v>755</v>
      </c>
      <c r="E2562" s="247" t="s">
        <v>711</v>
      </c>
      <c r="F2562" s="247" t="s">
        <v>2236</v>
      </c>
      <c r="G2562" s="247" t="s">
        <v>1348</v>
      </c>
      <c r="H2562" s="247" t="s">
        <v>392</v>
      </c>
      <c r="I2562" s="247" t="s">
        <v>2237</v>
      </c>
      <c r="J2562" s="247">
        <v>30</v>
      </c>
      <c r="K2562" s="247">
        <v>30</v>
      </c>
      <c r="L2562" s="249" t="s">
        <v>937</v>
      </c>
      <c r="M2562" s="249" t="s">
        <v>929</v>
      </c>
      <c r="N2562" s="248">
        <v>279.5</v>
      </c>
      <c r="O2562" s="248">
        <v>1311.5</v>
      </c>
      <c r="P2562" s="247" t="s">
        <v>1454</v>
      </c>
      <c r="Q2562" s="247" t="s">
        <v>91</v>
      </c>
    </row>
    <row r="2563" spans="1:17" x14ac:dyDescent="0.25">
      <c r="A2563" s="247" t="s">
        <v>646</v>
      </c>
      <c r="B2563" s="247" t="s">
        <v>265</v>
      </c>
      <c r="C2563" s="247" t="s">
        <v>1343</v>
      </c>
      <c r="D2563" s="247" t="s">
        <v>755</v>
      </c>
      <c r="E2563" s="247" t="s">
        <v>711</v>
      </c>
      <c r="F2563" s="247" t="s">
        <v>2236</v>
      </c>
      <c r="G2563" s="247" t="s">
        <v>1348</v>
      </c>
      <c r="H2563" s="247" t="s">
        <v>392</v>
      </c>
      <c r="I2563" s="247" t="s">
        <v>2237</v>
      </c>
      <c r="J2563" s="247">
        <v>30</v>
      </c>
      <c r="K2563" s="247">
        <v>30</v>
      </c>
      <c r="L2563" s="249" t="s">
        <v>938</v>
      </c>
      <c r="M2563" s="249" t="s">
        <v>929</v>
      </c>
      <c r="N2563" s="248">
        <v>258</v>
      </c>
      <c r="O2563" s="248">
        <v>1569.5</v>
      </c>
      <c r="P2563" s="247" t="s">
        <v>1454</v>
      </c>
      <c r="Q2563" s="247" t="s">
        <v>92</v>
      </c>
    </row>
    <row r="2564" spans="1:17" x14ac:dyDescent="0.25">
      <c r="A2564" s="247" t="s">
        <v>646</v>
      </c>
      <c r="B2564" s="247" t="s">
        <v>265</v>
      </c>
      <c r="C2564" s="247" t="s">
        <v>1343</v>
      </c>
      <c r="D2564" s="247" t="s">
        <v>755</v>
      </c>
      <c r="E2564" s="247" t="s">
        <v>711</v>
      </c>
      <c r="F2564" s="247" t="s">
        <v>2236</v>
      </c>
      <c r="G2564" s="247" t="s">
        <v>1348</v>
      </c>
      <c r="H2564" s="247" t="s">
        <v>392</v>
      </c>
      <c r="I2564" s="247" t="s">
        <v>2237</v>
      </c>
      <c r="J2564" s="247">
        <v>30</v>
      </c>
      <c r="K2564" s="247">
        <v>30</v>
      </c>
      <c r="L2564" s="249" t="s">
        <v>939</v>
      </c>
      <c r="M2564" s="249" t="s">
        <v>929</v>
      </c>
      <c r="N2564" s="248">
        <v>279.5</v>
      </c>
      <c r="O2564" s="248">
        <v>1849</v>
      </c>
      <c r="P2564" s="247" t="s">
        <v>1454</v>
      </c>
      <c r="Q2564" s="247" t="s">
        <v>93</v>
      </c>
    </row>
    <row r="2565" spans="1:17" x14ac:dyDescent="0.25">
      <c r="A2565" s="247" t="s">
        <v>646</v>
      </c>
      <c r="B2565" s="247" t="s">
        <v>265</v>
      </c>
      <c r="C2565" s="247" t="s">
        <v>1343</v>
      </c>
      <c r="D2565" s="247" t="s">
        <v>755</v>
      </c>
      <c r="E2565" s="247" t="s">
        <v>711</v>
      </c>
      <c r="F2565" s="247" t="s">
        <v>2236</v>
      </c>
      <c r="G2565" s="247" t="s">
        <v>1348</v>
      </c>
      <c r="H2565" s="247" t="s">
        <v>392</v>
      </c>
      <c r="I2565" s="247" t="s">
        <v>2237</v>
      </c>
      <c r="J2565" s="247">
        <v>30</v>
      </c>
      <c r="K2565" s="247">
        <v>30</v>
      </c>
      <c r="L2565" s="249" t="s">
        <v>940</v>
      </c>
      <c r="M2565" s="249" t="s">
        <v>929</v>
      </c>
      <c r="N2565" s="248">
        <v>279.5</v>
      </c>
      <c r="O2565" s="248">
        <v>2128.5</v>
      </c>
      <c r="P2565" s="247" t="s">
        <v>1454</v>
      </c>
      <c r="Q2565" s="247" t="s">
        <v>94</v>
      </c>
    </row>
    <row r="2566" spans="1:17" x14ac:dyDescent="0.25">
      <c r="A2566" s="247" t="s">
        <v>646</v>
      </c>
      <c r="B2566" s="247" t="s">
        <v>265</v>
      </c>
      <c r="C2566" s="247" t="s">
        <v>1343</v>
      </c>
      <c r="D2566" s="247" t="s">
        <v>755</v>
      </c>
      <c r="E2566" s="247" t="s">
        <v>711</v>
      </c>
      <c r="F2566" s="247" t="s">
        <v>2236</v>
      </c>
      <c r="G2566" s="247" t="s">
        <v>1348</v>
      </c>
      <c r="H2566" s="247" t="s">
        <v>392</v>
      </c>
      <c r="I2566" s="247" t="s">
        <v>2237</v>
      </c>
      <c r="J2566" s="247">
        <v>30</v>
      </c>
      <c r="K2566" s="247">
        <v>30</v>
      </c>
      <c r="L2566" s="249" t="s">
        <v>642</v>
      </c>
      <c r="M2566" s="249" t="s">
        <v>929</v>
      </c>
      <c r="N2566" s="248">
        <v>322.5</v>
      </c>
      <c r="O2566" s="248">
        <v>2451</v>
      </c>
      <c r="P2566" s="247" t="s">
        <v>1454</v>
      </c>
      <c r="Q2566" s="247" t="s">
        <v>95</v>
      </c>
    </row>
    <row r="2567" spans="1:17" x14ac:dyDescent="0.25">
      <c r="A2567" s="247" t="s">
        <v>646</v>
      </c>
      <c r="B2567" s="247" t="s">
        <v>265</v>
      </c>
      <c r="C2567" s="247" t="s">
        <v>1343</v>
      </c>
      <c r="D2567" s="247" t="s">
        <v>823</v>
      </c>
      <c r="E2567" s="247" t="s">
        <v>711</v>
      </c>
      <c r="F2567" s="247" t="s">
        <v>2238</v>
      </c>
      <c r="G2567" s="247" t="s">
        <v>1350</v>
      </c>
      <c r="H2567" s="247" t="s">
        <v>392</v>
      </c>
      <c r="I2567" s="247" t="s">
        <v>2239</v>
      </c>
      <c r="J2567" s="247">
        <v>28</v>
      </c>
      <c r="K2567" s="247">
        <v>28</v>
      </c>
      <c r="L2567" s="249" t="s">
        <v>646</v>
      </c>
      <c r="M2567" s="249" t="s">
        <v>933</v>
      </c>
      <c r="N2567" s="248">
        <v>6185.7</v>
      </c>
      <c r="O2567" s="248">
        <v>37082.76</v>
      </c>
      <c r="P2567" s="247" t="s">
        <v>1455</v>
      </c>
      <c r="Q2567" s="247" t="s">
        <v>84</v>
      </c>
    </row>
    <row r="2568" spans="1:17" x14ac:dyDescent="0.25">
      <c r="A2568" s="247" t="s">
        <v>646</v>
      </c>
      <c r="B2568" s="247" t="s">
        <v>265</v>
      </c>
      <c r="C2568" s="247" t="s">
        <v>1343</v>
      </c>
      <c r="D2568" s="247" t="s">
        <v>823</v>
      </c>
      <c r="E2568" s="247" t="s">
        <v>711</v>
      </c>
      <c r="F2568" s="247" t="s">
        <v>2238</v>
      </c>
      <c r="G2568" s="247" t="s">
        <v>1350</v>
      </c>
      <c r="H2568" s="247" t="s">
        <v>392</v>
      </c>
      <c r="I2568" s="247" t="s">
        <v>2239</v>
      </c>
      <c r="J2568" s="247">
        <v>28</v>
      </c>
      <c r="K2568" s="247">
        <v>28</v>
      </c>
      <c r="L2568" s="249" t="s">
        <v>650</v>
      </c>
      <c r="M2568" s="249" t="s">
        <v>933</v>
      </c>
      <c r="N2568" s="248">
        <v>3839.4</v>
      </c>
      <c r="O2568" s="248">
        <v>40922.160000000003</v>
      </c>
      <c r="P2568" s="247" t="s">
        <v>1455</v>
      </c>
      <c r="Q2568" s="247" t="s">
        <v>85</v>
      </c>
    </row>
    <row r="2569" spans="1:17" x14ac:dyDescent="0.25">
      <c r="A2569" s="247" t="s">
        <v>646</v>
      </c>
      <c r="B2569" s="247" t="s">
        <v>265</v>
      </c>
      <c r="C2569" s="247" t="s">
        <v>1343</v>
      </c>
      <c r="D2569" s="247" t="s">
        <v>823</v>
      </c>
      <c r="E2569" s="247" t="s">
        <v>711</v>
      </c>
      <c r="F2569" s="247" t="s">
        <v>2238</v>
      </c>
      <c r="G2569" s="247" t="s">
        <v>1350</v>
      </c>
      <c r="H2569" s="247" t="s">
        <v>392</v>
      </c>
      <c r="I2569" s="247" t="s">
        <v>2239</v>
      </c>
      <c r="J2569" s="247">
        <v>28</v>
      </c>
      <c r="K2569" s="247">
        <v>28</v>
      </c>
      <c r="L2569" s="249" t="s">
        <v>652</v>
      </c>
      <c r="M2569" s="249" t="s">
        <v>933</v>
      </c>
      <c r="N2569" s="248">
        <v>4844.68</v>
      </c>
      <c r="O2569" s="248">
        <v>45766.84</v>
      </c>
      <c r="P2569" s="247" t="s">
        <v>1455</v>
      </c>
      <c r="Q2569" s="247" t="s">
        <v>86</v>
      </c>
    </row>
    <row r="2570" spans="1:17" x14ac:dyDescent="0.25">
      <c r="A2570" s="247" t="s">
        <v>646</v>
      </c>
      <c r="B2570" s="247" t="s">
        <v>265</v>
      </c>
      <c r="C2570" s="247" t="s">
        <v>1343</v>
      </c>
      <c r="D2570" s="247" t="s">
        <v>823</v>
      </c>
      <c r="E2570" s="247" t="s">
        <v>711</v>
      </c>
      <c r="F2570" s="247" t="s">
        <v>2238</v>
      </c>
      <c r="G2570" s="247" t="s">
        <v>1350</v>
      </c>
      <c r="H2570" s="247" t="s">
        <v>392</v>
      </c>
      <c r="I2570" s="247" t="s">
        <v>2239</v>
      </c>
      <c r="J2570" s="247">
        <v>28</v>
      </c>
      <c r="K2570" s="247">
        <v>28</v>
      </c>
      <c r="L2570" s="249" t="s">
        <v>789</v>
      </c>
      <c r="M2570" s="249" t="s">
        <v>929</v>
      </c>
      <c r="N2570" s="248">
        <v>3277.95</v>
      </c>
      <c r="O2570" s="248">
        <v>3277.95</v>
      </c>
      <c r="P2570" s="247" t="s">
        <v>1455</v>
      </c>
      <c r="Q2570" s="247" t="s">
        <v>87</v>
      </c>
    </row>
    <row r="2571" spans="1:17" x14ac:dyDescent="0.25">
      <c r="A2571" s="247" t="s">
        <v>646</v>
      </c>
      <c r="B2571" s="247" t="s">
        <v>265</v>
      </c>
      <c r="C2571" s="247" t="s">
        <v>1343</v>
      </c>
      <c r="D2571" s="247" t="s">
        <v>823</v>
      </c>
      <c r="E2571" s="247" t="s">
        <v>711</v>
      </c>
      <c r="F2571" s="247" t="s">
        <v>2238</v>
      </c>
      <c r="G2571" s="247" t="s">
        <v>1350</v>
      </c>
      <c r="H2571" s="247" t="s">
        <v>392</v>
      </c>
      <c r="I2571" s="247" t="s">
        <v>2239</v>
      </c>
      <c r="J2571" s="247">
        <v>28</v>
      </c>
      <c r="K2571" s="247">
        <v>28</v>
      </c>
      <c r="L2571" s="249" t="s">
        <v>791</v>
      </c>
      <c r="M2571" s="249" t="s">
        <v>929</v>
      </c>
      <c r="N2571" s="248">
        <v>3277.95</v>
      </c>
      <c r="O2571" s="248">
        <v>6555.9</v>
      </c>
      <c r="P2571" s="247" t="s">
        <v>1455</v>
      </c>
      <c r="Q2571" s="247" t="s">
        <v>88</v>
      </c>
    </row>
    <row r="2572" spans="1:17" x14ac:dyDescent="0.25">
      <c r="A2572" s="247" t="s">
        <v>646</v>
      </c>
      <c r="B2572" s="247" t="s">
        <v>265</v>
      </c>
      <c r="C2572" s="247" t="s">
        <v>1343</v>
      </c>
      <c r="D2572" s="247" t="s">
        <v>823</v>
      </c>
      <c r="E2572" s="247" t="s">
        <v>711</v>
      </c>
      <c r="F2572" s="247" t="s">
        <v>2238</v>
      </c>
      <c r="G2572" s="247" t="s">
        <v>1350</v>
      </c>
      <c r="H2572" s="247" t="s">
        <v>392</v>
      </c>
      <c r="I2572" s="247" t="s">
        <v>2239</v>
      </c>
      <c r="J2572" s="247">
        <v>28</v>
      </c>
      <c r="K2572" s="247">
        <v>28</v>
      </c>
      <c r="L2572" s="249" t="s">
        <v>935</v>
      </c>
      <c r="M2572" s="249" t="s">
        <v>929</v>
      </c>
      <c r="N2572" s="248">
        <v>3277.95</v>
      </c>
      <c r="O2572" s="248">
        <v>9833.85</v>
      </c>
      <c r="P2572" s="247" t="s">
        <v>1455</v>
      </c>
      <c r="Q2572" s="247" t="s">
        <v>89</v>
      </c>
    </row>
    <row r="2573" spans="1:17" x14ac:dyDescent="0.25">
      <c r="A2573" s="247" t="s">
        <v>646</v>
      </c>
      <c r="B2573" s="247" t="s">
        <v>265</v>
      </c>
      <c r="C2573" s="247" t="s">
        <v>1343</v>
      </c>
      <c r="D2573" s="247" t="s">
        <v>823</v>
      </c>
      <c r="E2573" s="247" t="s">
        <v>711</v>
      </c>
      <c r="F2573" s="247" t="s">
        <v>2238</v>
      </c>
      <c r="G2573" s="247" t="s">
        <v>1350</v>
      </c>
      <c r="H2573" s="247" t="s">
        <v>392</v>
      </c>
      <c r="I2573" s="247" t="s">
        <v>2239</v>
      </c>
      <c r="J2573" s="247">
        <v>28</v>
      </c>
      <c r="K2573" s="247">
        <v>28</v>
      </c>
      <c r="L2573" s="249" t="s">
        <v>936</v>
      </c>
      <c r="M2573" s="249" t="s">
        <v>929</v>
      </c>
      <c r="N2573" s="248">
        <v>3277.95</v>
      </c>
      <c r="O2573" s="248">
        <v>13111.8</v>
      </c>
      <c r="P2573" s="247" t="s">
        <v>1455</v>
      </c>
      <c r="Q2573" s="247" t="s">
        <v>90</v>
      </c>
    </row>
    <row r="2574" spans="1:17" x14ac:dyDescent="0.25">
      <c r="A2574" s="247" t="s">
        <v>646</v>
      </c>
      <c r="B2574" s="247" t="s">
        <v>265</v>
      </c>
      <c r="C2574" s="247" t="s">
        <v>1343</v>
      </c>
      <c r="D2574" s="247" t="s">
        <v>823</v>
      </c>
      <c r="E2574" s="247" t="s">
        <v>711</v>
      </c>
      <c r="F2574" s="247" t="s">
        <v>2238</v>
      </c>
      <c r="G2574" s="247" t="s">
        <v>1350</v>
      </c>
      <c r="H2574" s="247" t="s">
        <v>392</v>
      </c>
      <c r="I2574" s="247" t="s">
        <v>2239</v>
      </c>
      <c r="J2574" s="247">
        <v>28</v>
      </c>
      <c r="K2574" s="247">
        <v>28</v>
      </c>
      <c r="L2574" s="249" t="s">
        <v>937</v>
      </c>
      <c r="M2574" s="249" t="s">
        <v>929</v>
      </c>
      <c r="N2574" s="248">
        <v>3277.95</v>
      </c>
      <c r="O2574" s="248">
        <v>16389.75</v>
      </c>
      <c r="P2574" s="247" t="s">
        <v>1455</v>
      </c>
      <c r="Q2574" s="247" t="s">
        <v>91</v>
      </c>
    </row>
    <row r="2575" spans="1:17" x14ac:dyDescent="0.25">
      <c r="A2575" s="247" t="s">
        <v>646</v>
      </c>
      <c r="B2575" s="247" t="s">
        <v>265</v>
      </c>
      <c r="C2575" s="247" t="s">
        <v>1343</v>
      </c>
      <c r="D2575" s="247" t="s">
        <v>823</v>
      </c>
      <c r="E2575" s="247" t="s">
        <v>711</v>
      </c>
      <c r="F2575" s="247" t="s">
        <v>2238</v>
      </c>
      <c r="G2575" s="247" t="s">
        <v>1350</v>
      </c>
      <c r="H2575" s="247" t="s">
        <v>392</v>
      </c>
      <c r="I2575" s="247" t="s">
        <v>2239</v>
      </c>
      <c r="J2575" s="247">
        <v>28</v>
      </c>
      <c r="K2575" s="247">
        <v>28</v>
      </c>
      <c r="L2575" s="249" t="s">
        <v>938</v>
      </c>
      <c r="M2575" s="249" t="s">
        <v>929</v>
      </c>
      <c r="N2575" s="248">
        <v>3277.95</v>
      </c>
      <c r="O2575" s="248">
        <v>19667.7</v>
      </c>
      <c r="P2575" s="247" t="s">
        <v>1455</v>
      </c>
      <c r="Q2575" s="247" t="s">
        <v>92</v>
      </c>
    </row>
    <row r="2576" spans="1:17" x14ac:dyDescent="0.25">
      <c r="A2576" s="247" t="s">
        <v>646</v>
      </c>
      <c r="B2576" s="247" t="s">
        <v>265</v>
      </c>
      <c r="C2576" s="247" t="s">
        <v>1343</v>
      </c>
      <c r="D2576" s="247" t="s">
        <v>823</v>
      </c>
      <c r="E2576" s="247" t="s">
        <v>711</v>
      </c>
      <c r="F2576" s="247" t="s">
        <v>2238</v>
      </c>
      <c r="G2576" s="247" t="s">
        <v>1350</v>
      </c>
      <c r="H2576" s="247" t="s">
        <v>392</v>
      </c>
      <c r="I2576" s="247" t="s">
        <v>2239</v>
      </c>
      <c r="J2576" s="247">
        <v>28</v>
      </c>
      <c r="K2576" s="247">
        <v>28</v>
      </c>
      <c r="L2576" s="249" t="s">
        <v>939</v>
      </c>
      <c r="M2576" s="249" t="s">
        <v>929</v>
      </c>
      <c r="N2576" s="248">
        <v>3277.95</v>
      </c>
      <c r="O2576" s="248">
        <v>22945.65</v>
      </c>
      <c r="P2576" s="247" t="s">
        <v>1455</v>
      </c>
      <c r="Q2576" s="247" t="s">
        <v>93</v>
      </c>
    </row>
    <row r="2577" spans="1:17" x14ac:dyDescent="0.25">
      <c r="A2577" s="247" t="s">
        <v>646</v>
      </c>
      <c r="B2577" s="247" t="s">
        <v>265</v>
      </c>
      <c r="C2577" s="247" t="s">
        <v>1343</v>
      </c>
      <c r="D2577" s="247" t="s">
        <v>823</v>
      </c>
      <c r="E2577" s="247" t="s">
        <v>711</v>
      </c>
      <c r="F2577" s="247" t="s">
        <v>2238</v>
      </c>
      <c r="G2577" s="247" t="s">
        <v>1350</v>
      </c>
      <c r="H2577" s="247" t="s">
        <v>392</v>
      </c>
      <c r="I2577" s="247" t="s">
        <v>2239</v>
      </c>
      <c r="J2577" s="247">
        <v>28</v>
      </c>
      <c r="K2577" s="247">
        <v>28</v>
      </c>
      <c r="L2577" s="249" t="s">
        <v>940</v>
      </c>
      <c r="M2577" s="249" t="s">
        <v>929</v>
      </c>
      <c r="N2577" s="248">
        <v>3277.95</v>
      </c>
      <c r="O2577" s="248">
        <v>26223.599999999999</v>
      </c>
      <c r="P2577" s="247" t="s">
        <v>1455</v>
      </c>
      <c r="Q2577" s="247" t="s">
        <v>94</v>
      </c>
    </row>
    <row r="2578" spans="1:17" x14ac:dyDescent="0.25">
      <c r="A2578" s="247" t="s">
        <v>646</v>
      </c>
      <c r="B2578" s="247" t="s">
        <v>265</v>
      </c>
      <c r="C2578" s="247" t="s">
        <v>1343</v>
      </c>
      <c r="D2578" s="247" t="s">
        <v>823</v>
      </c>
      <c r="E2578" s="247" t="s">
        <v>711</v>
      </c>
      <c r="F2578" s="247" t="s">
        <v>2238</v>
      </c>
      <c r="G2578" s="247" t="s">
        <v>1350</v>
      </c>
      <c r="H2578" s="247" t="s">
        <v>392</v>
      </c>
      <c r="I2578" s="247" t="s">
        <v>2239</v>
      </c>
      <c r="J2578" s="247">
        <v>28</v>
      </c>
      <c r="K2578" s="247">
        <v>28</v>
      </c>
      <c r="L2578" s="249" t="s">
        <v>642</v>
      </c>
      <c r="M2578" s="249" t="s">
        <v>929</v>
      </c>
      <c r="N2578" s="248">
        <v>3277.95</v>
      </c>
      <c r="O2578" s="248">
        <v>29501.55</v>
      </c>
      <c r="P2578" s="247" t="s">
        <v>1455</v>
      </c>
      <c r="Q2578" s="247" t="s">
        <v>95</v>
      </c>
    </row>
    <row r="2579" spans="1:17" x14ac:dyDescent="0.25">
      <c r="A2579" s="247" t="s">
        <v>646</v>
      </c>
      <c r="B2579" s="247" t="s">
        <v>265</v>
      </c>
      <c r="C2579" s="247" t="s">
        <v>1343</v>
      </c>
      <c r="D2579" s="247" t="s">
        <v>569</v>
      </c>
      <c r="E2579" s="247" t="s">
        <v>711</v>
      </c>
      <c r="F2579" s="247" t="s">
        <v>2240</v>
      </c>
      <c r="G2579" s="247" t="s">
        <v>1352</v>
      </c>
      <c r="H2579" s="247" t="s">
        <v>392</v>
      </c>
      <c r="I2579" s="247" t="s">
        <v>2241</v>
      </c>
      <c r="J2579" s="247">
        <v>32</v>
      </c>
      <c r="K2579" s="247">
        <v>32</v>
      </c>
      <c r="L2579" s="249" t="s">
        <v>646</v>
      </c>
      <c r="M2579" s="249" t="s">
        <v>933</v>
      </c>
      <c r="N2579" s="248">
        <v>4286.87</v>
      </c>
      <c r="O2579" s="248">
        <v>48440.42</v>
      </c>
      <c r="P2579" s="247" t="s">
        <v>1456</v>
      </c>
      <c r="Q2579" s="247" t="s">
        <v>84</v>
      </c>
    </row>
    <row r="2580" spans="1:17" x14ac:dyDescent="0.25">
      <c r="A2580" s="247" t="s">
        <v>646</v>
      </c>
      <c r="B2580" s="247" t="s">
        <v>265</v>
      </c>
      <c r="C2580" s="247" t="s">
        <v>1343</v>
      </c>
      <c r="D2580" s="247" t="s">
        <v>569</v>
      </c>
      <c r="E2580" s="247" t="s">
        <v>711</v>
      </c>
      <c r="F2580" s="247" t="s">
        <v>2240</v>
      </c>
      <c r="G2580" s="247" t="s">
        <v>1352</v>
      </c>
      <c r="H2580" s="247" t="s">
        <v>392</v>
      </c>
      <c r="I2580" s="247" t="s">
        <v>2241</v>
      </c>
      <c r="J2580" s="247">
        <v>32</v>
      </c>
      <c r="K2580" s="247">
        <v>32</v>
      </c>
      <c r="L2580" s="249" t="s">
        <v>650</v>
      </c>
      <c r="M2580" s="249" t="s">
        <v>933</v>
      </c>
      <c r="N2580" s="248">
        <v>2965.89</v>
      </c>
      <c r="O2580" s="248">
        <v>51406.31</v>
      </c>
      <c r="P2580" s="247" t="s">
        <v>1456</v>
      </c>
      <c r="Q2580" s="247" t="s">
        <v>85</v>
      </c>
    </row>
    <row r="2581" spans="1:17" x14ac:dyDescent="0.25">
      <c r="A2581" s="247" t="s">
        <v>646</v>
      </c>
      <c r="B2581" s="247" t="s">
        <v>265</v>
      </c>
      <c r="C2581" s="247" t="s">
        <v>1343</v>
      </c>
      <c r="D2581" s="247" t="s">
        <v>569</v>
      </c>
      <c r="E2581" s="247" t="s">
        <v>711</v>
      </c>
      <c r="F2581" s="247" t="s">
        <v>2240</v>
      </c>
      <c r="G2581" s="247" t="s">
        <v>1352</v>
      </c>
      <c r="H2581" s="247" t="s">
        <v>392</v>
      </c>
      <c r="I2581" s="247" t="s">
        <v>2241</v>
      </c>
      <c r="J2581" s="247">
        <v>32</v>
      </c>
      <c r="K2581" s="247">
        <v>32</v>
      </c>
      <c r="L2581" s="249" t="s">
        <v>652</v>
      </c>
      <c r="M2581" s="249" t="s">
        <v>933</v>
      </c>
      <c r="N2581" s="248">
        <v>2780.64</v>
      </c>
      <c r="O2581" s="248">
        <v>54186.95</v>
      </c>
      <c r="P2581" s="247" t="s">
        <v>1456</v>
      </c>
      <c r="Q2581" s="247" t="s">
        <v>86</v>
      </c>
    </row>
    <row r="2582" spans="1:17" x14ac:dyDescent="0.25">
      <c r="A2582" s="247" t="s">
        <v>646</v>
      </c>
      <c r="B2582" s="247" t="s">
        <v>265</v>
      </c>
      <c r="C2582" s="247" t="s">
        <v>1343</v>
      </c>
      <c r="D2582" s="247" t="s">
        <v>569</v>
      </c>
      <c r="E2582" s="247" t="s">
        <v>711</v>
      </c>
      <c r="F2582" s="247" t="s">
        <v>2240</v>
      </c>
      <c r="G2582" s="247" t="s">
        <v>1352</v>
      </c>
      <c r="H2582" s="247" t="s">
        <v>392</v>
      </c>
      <c r="I2582" s="247" t="s">
        <v>2241</v>
      </c>
      <c r="J2582" s="247">
        <v>32</v>
      </c>
      <c r="K2582" s="247">
        <v>32</v>
      </c>
      <c r="L2582" s="249" t="s">
        <v>789</v>
      </c>
      <c r="M2582" s="249" t="s">
        <v>929</v>
      </c>
      <c r="N2582" s="248">
        <v>2786.2</v>
      </c>
      <c r="O2582" s="248">
        <v>2786.2</v>
      </c>
      <c r="P2582" s="247" t="s">
        <v>1456</v>
      </c>
      <c r="Q2582" s="247" t="s">
        <v>87</v>
      </c>
    </row>
    <row r="2583" spans="1:17" x14ac:dyDescent="0.25">
      <c r="A2583" s="247" t="s">
        <v>646</v>
      </c>
      <c r="B2583" s="247" t="s">
        <v>265</v>
      </c>
      <c r="C2583" s="247" t="s">
        <v>1343</v>
      </c>
      <c r="D2583" s="247" t="s">
        <v>569</v>
      </c>
      <c r="E2583" s="247" t="s">
        <v>711</v>
      </c>
      <c r="F2583" s="247" t="s">
        <v>2240</v>
      </c>
      <c r="G2583" s="247" t="s">
        <v>1352</v>
      </c>
      <c r="H2583" s="247" t="s">
        <v>392</v>
      </c>
      <c r="I2583" s="247" t="s">
        <v>2241</v>
      </c>
      <c r="J2583" s="247">
        <v>32</v>
      </c>
      <c r="K2583" s="247">
        <v>32</v>
      </c>
      <c r="L2583" s="249" t="s">
        <v>791</v>
      </c>
      <c r="M2583" s="249" t="s">
        <v>929</v>
      </c>
      <c r="N2583" s="248">
        <v>2338.87</v>
      </c>
      <c r="O2583" s="248">
        <v>5125.07</v>
      </c>
      <c r="P2583" s="247" t="s">
        <v>1456</v>
      </c>
      <c r="Q2583" s="247" t="s">
        <v>88</v>
      </c>
    </row>
    <row r="2584" spans="1:17" x14ac:dyDescent="0.25">
      <c r="A2584" s="247" t="s">
        <v>646</v>
      </c>
      <c r="B2584" s="247" t="s">
        <v>265</v>
      </c>
      <c r="C2584" s="247" t="s">
        <v>1343</v>
      </c>
      <c r="D2584" s="247" t="s">
        <v>569</v>
      </c>
      <c r="E2584" s="247" t="s">
        <v>711</v>
      </c>
      <c r="F2584" s="247" t="s">
        <v>2240</v>
      </c>
      <c r="G2584" s="247" t="s">
        <v>1352</v>
      </c>
      <c r="H2584" s="247" t="s">
        <v>392</v>
      </c>
      <c r="I2584" s="247" t="s">
        <v>2241</v>
      </c>
      <c r="J2584" s="247">
        <v>32</v>
      </c>
      <c r="K2584" s="247">
        <v>32</v>
      </c>
      <c r="L2584" s="249" t="s">
        <v>935</v>
      </c>
      <c r="M2584" s="249" t="s">
        <v>929</v>
      </c>
      <c r="N2584" s="248">
        <v>2233.9499999999998</v>
      </c>
      <c r="O2584" s="248">
        <v>7359.02</v>
      </c>
      <c r="P2584" s="247" t="s">
        <v>1456</v>
      </c>
      <c r="Q2584" s="247" t="s">
        <v>89</v>
      </c>
    </row>
    <row r="2585" spans="1:17" x14ac:dyDescent="0.25">
      <c r="A2585" s="247" t="s">
        <v>646</v>
      </c>
      <c r="B2585" s="247" t="s">
        <v>265</v>
      </c>
      <c r="C2585" s="247" t="s">
        <v>1343</v>
      </c>
      <c r="D2585" s="247" t="s">
        <v>569</v>
      </c>
      <c r="E2585" s="247" t="s">
        <v>711</v>
      </c>
      <c r="F2585" s="247" t="s">
        <v>2240</v>
      </c>
      <c r="G2585" s="247" t="s">
        <v>1352</v>
      </c>
      <c r="H2585" s="247" t="s">
        <v>392</v>
      </c>
      <c r="I2585" s="247" t="s">
        <v>2241</v>
      </c>
      <c r="J2585" s="247">
        <v>32</v>
      </c>
      <c r="K2585" s="247">
        <v>32</v>
      </c>
      <c r="L2585" s="249" t="s">
        <v>936</v>
      </c>
      <c r="M2585" s="249" t="s">
        <v>929</v>
      </c>
      <c r="N2585" s="248">
        <v>4258.01</v>
      </c>
      <c r="O2585" s="248">
        <v>11617.03</v>
      </c>
      <c r="P2585" s="247" t="s">
        <v>1456</v>
      </c>
      <c r="Q2585" s="247" t="s">
        <v>90</v>
      </c>
    </row>
    <row r="2586" spans="1:17" x14ac:dyDescent="0.25">
      <c r="A2586" s="247" t="s">
        <v>646</v>
      </c>
      <c r="B2586" s="247" t="s">
        <v>265</v>
      </c>
      <c r="C2586" s="247" t="s">
        <v>1343</v>
      </c>
      <c r="D2586" s="247" t="s">
        <v>569</v>
      </c>
      <c r="E2586" s="247" t="s">
        <v>711</v>
      </c>
      <c r="F2586" s="247" t="s">
        <v>2240</v>
      </c>
      <c r="G2586" s="247" t="s">
        <v>1352</v>
      </c>
      <c r="H2586" s="247" t="s">
        <v>392</v>
      </c>
      <c r="I2586" s="247" t="s">
        <v>2241</v>
      </c>
      <c r="J2586" s="247">
        <v>32</v>
      </c>
      <c r="K2586" s="247">
        <v>32</v>
      </c>
      <c r="L2586" s="249" t="s">
        <v>937</v>
      </c>
      <c r="M2586" s="249" t="s">
        <v>929</v>
      </c>
      <c r="N2586" s="248">
        <v>2972.47</v>
      </c>
      <c r="O2586" s="248">
        <v>14589.5</v>
      </c>
      <c r="P2586" s="247" t="s">
        <v>1456</v>
      </c>
      <c r="Q2586" s="247" t="s">
        <v>91</v>
      </c>
    </row>
    <row r="2587" spans="1:17" x14ac:dyDescent="0.25">
      <c r="A2587" s="247" t="s">
        <v>646</v>
      </c>
      <c r="B2587" s="247" t="s">
        <v>265</v>
      </c>
      <c r="C2587" s="247" t="s">
        <v>1343</v>
      </c>
      <c r="D2587" s="247" t="s">
        <v>569</v>
      </c>
      <c r="E2587" s="247" t="s">
        <v>711</v>
      </c>
      <c r="F2587" s="247" t="s">
        <v>2240</v>
      </c>
      <c r="G2587" s="247" t="s">
        <v>1352</v>
      </c>
      <c r="H2587" s="247" t="s">
        <v>392</v>
      </c>
      <c r="I2587" s="247" t="s">
        <v>2241</v>
      </c>
      <c r="J2587" s="247">
        <v>32</v>
      </c>
      <c r="K2587" s="247">
        <v>32</v>
      </c>
      <c r="L2587" s="249" t="s">
        <v>938</v>
      </c>
      <c r="M2587" s="249" t="s">
        <v>929</v>
      </c>
      <c r="N2587" s="248">
        <v>2916.22</v>
      </c>
      <c r="O2587" s="248">
        <v>17505.72</v>
      </c>
      <c r="P2587" s="247" t="s">
        <v>1456</v>
      </c>
      <c r="Q2587" s="247" t="s">
        <v>92</v>
      </c>
    </row>
    <row r="2588" spans="1:17" x14ac:dyDescent="0.25">
      <c r="A2588" s="247" t="s">
        <v>646</v>
      </c>
      <c r="B2588" s="247" t="s">
        <v>265</v>
      </c>
      <c r="C2588" s="247" t="s">
        <v>1343</v>
      </c>
      <c r="D2588" s="247" t="s">
        <v>569</v>
      </c>
      <c r="E2588" s="247" t="s">
        <v>711</v>
      </c>
      <c r="F2588" s="247" t="s">
        <v>2240</v>
      </c>
      <c r="G2588" s="247" t="s">
        <v>1352</v>
      </c>
      <c r="H2588" s="247" t="s">
        <v>392</v>
      </c>
      <c r="I2588" s="247" t="s">
        <v>2241</v>
      </c>
      <c r="J2588" s="247">
        <v>32</v>
      </c>
      <c r="K2588" s="247">
        <v>32</v>
      </c>
      <c r="L2588" s="249" t="s">
        <v>939</v>
      </c>
      <c r="M2588" s="249" t="s">
        <v>929</v>
      </c>
      <c r="N2588" s="248">
        <v>2953.41</v>
      </c>
      <c r="O2588" s="248">
        <v>20459.13</v>
      </c>
      <c r="P2588" s="247" t="s">
        <v>1456</v>
      </c>
      <c r="Q2588" s="247" t="s">
        <v>93</v>
      </c>
    </row>
    <row r="2589" spans="1:17" x14ac:dyDescent="0.25">
      <c r="A2589" s="247" t="s">
        <v>646</v>
      </c>
      <c r="B2589" s="247" t="s">
        <v>265</v>
      </c>
      <c r="C2589" s="247" t="s">
        <v>1343</v>
      </c>
      <c r="D2589" s="247" t="s">
        <v>569</v>
      </c>
      <c r="E2589" s="247" t="s">
        <v>711</v>
      </c>
      <c r="F2589" s="247" t="s">
        <v>2240</v>
      </c>
      <c r="G2589" s="247" t="s">
        <v>1352</v>
      </c>
      <c r="H2589" s="247" t="s">
        <v>392</v>
      </c>
      <c r="I2589" s="247" t="s">
        <v>2241</v>
      </c>
      <c r="J2589" s="247">
        <v>32</v>
      </c>
      <c r="K2589" s="247">
        <v>32</v>
      </c>
      <c r="L2589" s="249" t="s">
        <v>940</v>
      </c>
      <c r="M2589" s="249" t="s">
        <v>929</v>
      </c>
      <c r="N2589" s="248">
        <v>2907.91</v>
      </c>
      <c r="O2589" s="248">
        <v>23367.040000000001</v>
      </c>
      <c r="P2589" s="247" t="s">
        <v>1456</v>
      </c>
      <c r="Q2589" s="247" t="s">
        <v>94</v>
      </c>
    </row>
    <row r="2590" spans="1:17" x14ac:dyDescent="0.25">
      <c r="A2590" s="247" t="s">
        <v>646</v>
      </c>
      <c r="B2590" s="247" t="s">
        <v>265</v>
      </c>
      <c r="C2590" s="247" t="s">
        <v>1343</v>
      </c>
      <c r="D2590" s="247" t="s">
        <v>569</v>
      </c>
      <c r="E2590" s="247" t="s">
        <v>711</v>
      </c>
      <c r="F2590" s="247" t="s">
        <v>2240</v>
      </c>
      <c r="G2590" s="247" t="s">
        <v>1352</v>
      </c>
      <c r="H2590" s="247" t="s">
        <v>392</v>
      </c>
      <c r="I2590" s="247" t="s">
        <v>2241</v>
      </c>
      <c r="J2590" s="247">
        <v>32</v>
      </c>
      <c r="K2590" s="247">
        <v>32</v>
      </c>
      <c r="L2590" s="249" t="s">
        <v>642</v>
      </c>
      <c r="M2590" s="249" t="s">
        <v>929</v>
      </c>
      <c r="N2590" s="248">
        <v>4568.53</v>
      </c>
      <c r="O2590" s="248">
        <v>27935.57</v>
      </c>
      <c r="P2590" s="247" t="s">
        <v>1456</v>
      </c>
      <c r="Q2590" s="247" t="s">
        <v>95</v>
      </c>
    </row>
    <row r="2591" spans="1:17" x14ac:dyDescent="0.25">
      <c r="A2591" s="247" t="s">
        <v>646</v>
      </c>
      <c r="B2591" s="247" t="s">
        <v>265</v>
      </c>
      <c r="C2591" s="247" t="s">
        <v>1343</v>
      </c>
      <c r="D2591" s="247" t="s">
        <v>575</v>
      </c>
      <c r="E2591" s="247" t="s">
        <v>711</v>
      </c>
      <c r="F2591" s="247" t="s">
        <v>2242</v>
      </c>
      <c r="G2591" s="247" t="s">
        <v>1354</v>
      </c>
      <c r="H2591" s="247" t="s">
        <v>392</v>
      </c>
      <c r="I2591" s="247" t="s">
        <v>2243</v>
      </c>
      <c r="J2591" s="247">
        <v>32</v>
      </c>
      <c r="K2591" s="247">
        <v>32</v>
      </c>
      <c r="L2591" s="249" t="s">
        <v>646</v>
      </c>
      <c r="M2591" s="249" t="s">
        <v>933</v>
      </c>
      <c r="N2591" s="248">
        <v>1002.34</v>
      </c>
      <c r="O2591" s="248">
        <v>11350.18</v>
      </c>
      <c r="P2591" s="247" t="s">
        <v>1457</v>
      </c>
      <c r="Q2591" s="247" t="s">
        <v>84</v>
      </c>
    </row>
    <row r="2592" spans="1:17" x14ac:dyDescent="0.25">
      <c r="A2592" s="247" t="s">
        <v>646</v>
      </c>
      <c r="B2592" s="247" t="s">
        <v>265</v>
      </c>
      <c r="C2592" s="247" t="s">
        <v>1343</v>
      </c>
      <c r="D2592" s="247" t="s">
        <v>575</v>
      </c>
      <c r="E2592" s="247" t="s">
        <v>711</v>
      </c>
      <c r="F2592" s="247" t="s">
        <v>2242</v>
      </c>
      <c r="G2592" s="247" t="s">
        <v>1354</v>
      </c>
      <c r="H2592" s="247" t="s">
        <v>392</v>
      </c>
      <c r="I2592" s="247" t="s">
        <v>2243</v>
      </c>
      <c r="J2592" s="247">
        <v>32</v>
      </c>
      <c r="K2592" s="247">
        <v>32</v>
      </c>
      <c r="L2592" s="249" t="s">
        <v>650</v>
      </c>
      <c r="M2592" s="249" t="s">
        <v>933</v>
      </c>
      <c r="N2592" s="248">
        <v>693.63</v>
      </c>
      <c r="O2592" s="248">
        <v>12043.81</v>
      </c>
      <c r="P2592" s="247" t="s">
        <v>1457</v>
      </c>
      <c r="Q2592" s="247" t="s">
        <v>85</v>
      </c>
    </row>
    <row r="2593" spans="1:17" x14ac:dyDescent="0.25">
      <c r="A2593" s="247" t="s">
        <v>646</v>
      </c>
      <c r="B2593" s="247" t="s">
        <v>265</v>
      </c>
      <c r="C2593" s="247" t="s">
        <v>1343</v>
      </c>
      <c r="D2593" s="247" t="s">
        <v>575</v>
      </c>
      <c r="E2593" s="247" t="s">
        <v>711</v>
      </c>
      <c r="F2593" s="247" t="s">
        <v>2242</v>
      </c>
      <c r="G2593" s="247" t="s">
        <v>1354</v>
      </c>
      <c r="H2593" s="247" t="s">
        <v>392</v>
      </c>
      <c r="I2593" s="247" t="s">
        <v>2243</v>
      </c>
      <c r="J2593" s="247">
        <v>32</v>
      </c>
      <c r="K2593" s="247">
        <v>32</v>
      </c>
      <c r="L2593" s="249" t="s">
        <v>652</v>
      </c>
      <c r="M2593" s="249" t="s">
        <v>933</v>
      </c>
      <c r="N2593" s="248">
        <v>650.29999999999995</v>
      </c>
      <c r="O2593" s="248">
        <v>12694.11</v>
      </c>
      <c r="P2593" s="247" t="s">
        <v>1457</v>
      </c>
      <c r="Q2593" s="247" t="s">
        <v>86</v>
      </c>
    </row>
    <row r="2594" spans="1:17" x14ac:dyDescent="0.25">
      <c r="A2594" s="247" t="s">
        <v>646</v>
      </c>
      <c r="B2594" s="247" t="s">
        <v>265</v>
      </c>
      <c r="C2594" s="247" t="s">
        <v>1343</v>
      </c>
      <c r="D2594" s="247" t="s">
        <v>575</v>
      </c>
      <c r="E2594" s="247" t="s">
        <v>711</v>
      </c>
      <c r="F2594" s="247" t="s">
        <v>2242</v>
      </c>
      <c r="G2594" s="247" t="s">
        <v>1354</v>
      </c>
      <c r="H2594" s="247" t="s">
        <v>392</v>
      </c>
      <c r="I2594" s="247" t="s">
        <v>2243</v>
      </c>
      <c r="J2594" s="247">
        <v>32</v>
      </c>
      <c r="K2594" s="247">
        <v>32</v>
      </c>
      <c r="L2594" s="249" t="s">
        <v>789</v>
      </c>
      <c r="M2594" s="249" t="s">
        <v>929</v>
      </c>
      <c r="N2594" s="248">
        <v>651.63</v>
      </c>
      <c r="O2594" s="248">
        <v>651.63</v>
      </c>
      <c r="P2594" s="247" t="s">
        <v>1457</v>
      </c>
      <c r="Q2594" s="247" t="s">
        <v>87</v>
      </c>
    </row>
    <row r="2595" spans="1:17" x14ac:dyDescent="0.25">
      <c r="A2595" s="247" t="s">
        <v>646</v>
      </c>
      <c r="B2595" s="247" t="s">
        <v>265</v>
      </c>
      <c r="C2595" s="247" t="s">
        <v>1343</v>
      </c>
      <c r="D2595" s="247" t="s">
        <v>575</v>
      </c>
      <c r="E2595" s="247" t="s">
        <v>711</v>
      </c>
      <c r="F2595" s="247" t="s">
        <v>2242</v>
      </c>
      <c r="G2595" s="247" t="s">
        <v>1354</v>
      </c>
      <c r="H2595" s="247" t="s">
        <v>392</v>
      </c>
      <c r="I2595" s="247" t="s">
        <v>2243</v>
      </c>
      <c r="J2595" s="247">
        <v>32</v>
      </c>
      <c r="K2595" s="247">
        <v>32</v>
      </c>
      <c r="L2595" s="249" t="s">
        <v>791</v>
      </c>
      <c r="M2595" s="249" t="s">
        <v>929</v>
      </c>
      <c r="N2595" s="248">
        <v>546.96</v>
      </c>
      <c r="O2595" s="248">
        <v>1198.5899999999999</v>
      </c>
      <c r="P2595" s="247" t="s">
        <v>1457</v>
      </c>
      <c r="Q2595" s="247" t="s">
        <v>88</v>
      </c>
    </row>
    <row r="2596" spans="1:17" x14ac:dyDescent="0.25">
      <c r="A2596" s="247" t="s">
        <v>646</v>
      </c>
      <c r="B2596" s="247" t="s">
        <v>265</v>
      </c>
      <c r="C2596" s="247" t="s">
        <v>1343</v>
      </c>
      <c r="D2596" s="247" t="s">
        <v>575</v>
      </c>
      <c r="E2596" s="247" t="s">
        <v>711</v>
      </c>
      <c r="F2596" s="247" t="s">
        <v>2242</v>
      </c>
      <c r="G2596" s="247" t="s">
        <v>1354</v>
      </c>
      <c r="H2596" s="247" t="s">
        <v>392</v>
      </c>
      <c r="I2596" s="247" t="s">
        <v>2243</v>
      </c>
      <c r="J2596" s="247">
        <v>32</v>
      </c>
      <c r="K2596" s="247">
        <v>32</v>
      </c>
      <c r="L2596" s="249" t="s">
        <v>935</v>
      </c>
      <c r="M2596" s="249" t="s">
        <v>929</v>
      </c>
      <c r="N2596" s="248">
        <v>522.48</v>
      </c>
      <c r="O2596" s="248">
        <v>1721.07</v>
      </c>
      <c r="P2596" s="247" t="s">
        <v>1457</v>
      </c>
      <c r="Q2596" s="247" t="s">
        <v>89</v>
      </c>
    </row>
    <row r="2597" spans="1:17" x14ac:dyDescent="0.25">
      <c r="A2597" s="247" t="s">
        <v>646</v>
      </c>
      <c r="B2597" s="247" t="s">
        <v>265</v>
      </c>
      <c r="C2597" s="247" t="s">
        <v>1343</v>
      </c>
      <c r="D2597" s="247" t="s">
        <v>575</v>
      </c>
      <c r="E2597" s="247" t="s">
        <v>711</v>
      </c>
      <c r="F2597" s="247" t="s">
        <v>2242</v>
      </c>
      <c r="G2597" s="247" t="s">
        <v>1354</v>
      </c>
      <c r="H2597" s="247" t="s">
        <v>392</v>
      </c>
      <c r="I2597" s="247" t="s">
        <v>2243</v>
      </c>
      <c r="J2597" s="247">
        <v>32</v>
      </c>
      <c r="K2597" s="247">
        <v>32</v>
      </c>
      <c r="L2597" s="249" t="s">
        <v>936</v>
      </c>
      <c r="M2597" s="249" t="s">
        <v>929</v>
      </c>
      <c r="N2597" s="248">
        <v>995.81</v>
      </c>
      <c r="O2597" s="248">
        <v>2716.88</v>
      </c>
      <c r="P2597" s="247" t="s">
        <v>1457</v>
      </c>
      <c r="Q2597" s="247" t="s">
        <v>90</v>
      </c>
    </row>
    <row r="2598" spans="1:17" x14ac:dyDescent="0.25">
      <c r="A2598" s="247" t="s">
        <v>646</v>
      </c>
      <c r="B2598" s="247" t="s">
        <v>265</v>
      </c>
      <c r="C2598" s="247" t="s">
        <v>1343</v>
      </c>
      <c r="D2598" s="247" t="s">
        <v>575</v>
      </c>
      <c r="E2598" s="247" t="s">
        <v>711</v>
      </c>
      <c r="F2598" s="247" t="s">
        <v>2242</v>
      </c>
      <c r="G2598" s="247" t="s">
        <v>1354</v>
      </c>
      <c r="H2598" s="247" t="s">
        <v>392</v>
      </c>
      <c r="I2598" s="247" t="s">
        <v>2243</v>
      </c>
      <c r="J2598" s="247">
        <v>32</v>
      </c>
      <c r="K2598" s="247">
        <v>32</v>
      </c>
      <c r="L2598" s="249" t="s">
        <v>937</v>
      </c>
      <c r="M2598" s="249" t="s">
        <v>929</v>
      </c>
      <c r="N2598" s="248">
        <v>695.17</v>
      </c>
      <c r="O2598" s="248">
        <v>3412.05</v>
      </c>
      <c r="P2598" s="247" t="s">
        <v>1457</v>
      </c>
      <c r="Q2598" s="247" t="s">
        <v>91</v>
      </c>
    </row>
    <row r="2599" spans="1:17" x14ac:dyDescent="0.25">
      <c r="A2599" s="247" t="s">
        <v>646</v>
      </c>
      <c r="B2599" s="247" t="s">
        <v>265</v>
      </c>
      <c r="C2599" s="247" t="s">
        <v>1343</v>
      </c>
      <c r="D2599" s="247" t="s">
        <v>575</v>
      </c>
      <c r="E2599" s="247" t="s">
        <v>711</v>
      </c>
      <c r="F2599" s="247" t="s">
        <v>2242</v>
      </c>
      <c r="G2599" s="247" t="s">
        <v>1354</v>
      </c>
      <c r="H2599" s="247" t="s">
        <v>392</v>
      </c>
      <c r="I2599" s="247" t="s">
        <v>2243</v>
      </c>
      <c r="J2599" s="247">
        <v>32</v>
      </c>
      <c r="K2599" s="247">
        <v>32</v>
      </c>
      <c r="L2599" s="249" t="s">
        <v>938</v>
      </c>
      <c r="M2599" s="249" t="s">
        <v>929</v>
      </c>
      <c r="N2599" s="248">
        <v>682.02</v>
      </c>
      <c r="O2599" s="248">
        <v>4094.07</v>
      </c>
      <c r="P2599" s="247" t="s">
        <v>1457</v>
      </c>
      <c r="Q2599" s="247" t="s">
        <v>92</v>
      </c>
    </row>
    <row r="2600" spans="1:17" x14ac:dyDescent="0.25">
      <c r="A2600" s="247" t="s">
        <v>646</v>
      </c>
      <c r="B2600" s="247" t="s">
        <v>265</v>
      </c>
      <c r="C2600" s="247" t="s">
        <v>1343</v>
      </c>
      <c r="D2600" s="247" t="s">
        <v>575</v>
      </c>
      <c r="E2600" s="247" t="s">
        <v>711</v>
      </c>
      <c r="F2600" s="247" t="s">
        <v>2242</v>
      </c>
      <c r="G2600" s="247" t="s">
        <v>1354</v>
      </c>
      <c r="H2600" s="247" t="s">
        <v>392</v>
      </c>
      <c r="I2600" s="247" t="s">
        <v>2243</v>
      </c>
      <c r="J2600" s="247">
        <v>32</v>
      </c>
      <c r="K2600" s="247">
        <v>32</v>
      </c>
      <c r="L2600" s="249" t="s">
        <v>939</v>
      </c>
      <c r="M2600" s="249" t="s">
        <v>929</v>
      </c>
      <c r="N2600" s="248">
        <v>690.72</v>
      </c>
      <c r="O2600" s="248">
        <v>4784.79</v>
      </c>
      <c r="P2600" s="247" t="s">
        <v>1457</v>
      </c>
      <c r="Q2600" s="247" t="s">
        <v>93</v>
      </c>
    </row>
    <row r="2601" spans="1:17" x14ac:dyDescent="0.25">
      <c r="A2601" s="247" t="s">
        <v>646</v>
      </c>
      <c r="B2601" s="247" t="s">
        <v>265</v>
      </c>
      <c r="C2601" s="247" t="s">
        <v>1343</v>
      </c>
      <c r="D2601" s="247" t="s">
        <v>575</v>
      </c>
      <c r="E2601" s="247" t="s">
        <v>711</v>
      </c>
      <c r="F2601" s="247" t="s">
        <v>2242</v>
      </c>
      <c r="G2601" s="247" t="s">
        <v>1354</v>
      </c>
      <c r="H2601" s="247" t="s">
        <v>392</v>
      </c>
      <c r="I2601" s="247" t="s">
        <v>2243</v>
      </c>
      <c r="J2601" s="247">
        <v>32</v>
      </c>
      <c r="K2601" s="247">
        <v>32</v>
      </c>
      <c r="L2601" s="249" t="s">
        <v>940</v>
      </c>
      <c r="M2601" s="249" t="s">
        <v>929</v>
      </c>
      <c r="N2601" s="248">
        <v>680.05</v>
      </c>
      <c r="O2601" s="248">
        <v>5464.84</v>
      </c>
      <c r="P2601" s="247" t="s">
        <v>1457</v>
      </c>
      <c r="Q2601" s="247" t="s">
        <v>94</v>
      </c>
    </row>
    <row r="2602" spans="1:17" x14ac:dyDescent="0.25">
      <c r="A2602" s="247" t="s">
        <v>646</v>
      </c>
      <c r="B2602" s="247" t="s">
        <v>265</v>
      </c>
      <c r="C2602" s="247" t="s">
        <v>1343</v>
      </c>
      <c r="D2602" s="247" t="s">
        <v>575</v>
      </c>
      <c r="E2602" s="247" t="s">
        <v>711</v>
      </c>
      <c r="F2602" s="247" t="s">
        <v>2242</v>
      </c>
      <c r="G2602" s="247" t="s">
        <v>1354</v>
      </c>
      <c r="H2602" s="247" t="s">
        <v>392</v>
      </c>
      <c r="I2602" s="247" t="s">
        <v>2243</v>
      </c>
      <c r="J2602" s="247">
        <v>32</v>
      </c>
      <c r="K2602" s="247">
        <v>32</v>
      </c>
      <c r="L2602" s="249" t="s">
        <v>642</v>
      </c>
      <c r="M2602" s="249" t="s">
        <v>929</v>
      </c>
      <c r="N2602" s="248">
        <v>1068.45</v>
      </c>
      <c r="O2602" s="248">
        <v>6533.29</v>
      </c>
      <c r="P2602" s="247" t="s">
        <v>1457</v>
      </c>
      <c r="Q2602" s="247" t="s">
        <v>95</v>
      </c>
    </row>
    <row r="2603" spans="1:17" x14ac:dyDescent="0.25">
      <c r="A2603" s="247" t="s">
        <v>646</v>
      </c>
      <c r="B2603" s="247" t="s">
        <v>265</v>
      </c>
      <c r="C2603" s="247" t="s">
        <v>1343</v>
      </c>
      <c r="D2603" s="247" t="s">
        <v>1356</v>
      </c>
      <c r="E2603" s="247" t="s">
        <v>711</v>
      </c>
      <c r="F2603" s="247" t="s">
        <v>2244</v>
      </c>
      <c r="G2603" s="247" t="s">
        <v>1357</v>
      </c>
      <c r="H2603" s="247" t="s">
        <v>392</v>
      </c>
      <c r="I2603" s="247" t="s">
        <v>2245</v>
      </c>
      <c r="J2603" s="247">
        <v>32</v>
      </c>
      <c r="K2603" s="247">
        <v>32</v>
      </c>
      <c r="L2603" s="249" t="s">
        <v>646</v>
      </c>
      <c r="M2603" s="249" t="s">
        <v>933</v>
      </c>
      <c r="N2603" s="248">
        <v>0</v>
      </c>
      <c r="O2603" s="248">
        <v>1069.45</v>
      </c>
      <c r="P2603" s="247" t="s">
        <v>1458</v>
      </c>
      <c r="Q2603" s="247" t="s">
        <v>84</v>
      </c>
    </row>
    <row r="2604" spans="1:17" x14ac:dyDescent="0.25">
      <c r="A2604" s="247" t="s">
        <v>646</v>
      </c>
      <c r="B2604" s="247" t="s">
        <v>265</v>
      </c>
      <c r="C2604" s="247" t="s">
        <v>1343</v>
      </c>
      <c r="D2604" s="247" t="s">
        <v>1356</v>
      </c>
      <c r="E2604" s="247" t="s">
        <v>711</v>
      </c>
      <c r="F2604" s="247" t="s">
        <v>2244</v>
      </c>
      <c r="G2604" s="247" t="s">
        <v>1357</v>
      </c>
      <c r="H2604" s="247" t="s">
        <v>392</v>
      </c>
      <c r="I2604" s="247" t="s">
        <v>2245</v>
      </c>
      <c r="J2604" s="247">
        <v>32</v>
      </c>
      <c r="K2604" s="247">
        <v>32</v>
      </c>
      <c r="L2604" s="249" t="s">
        <v>650</v>
      </c>
      <c r="M2604" s="249" t="s">
        <v>933</v>
      </c>
      <c r="N2604" s="248">
        <v>0</v>
      </c>
      <c r="O2604" s="248">
        <v>1069.45</v>
      </c>
      <c r="P2604" s="247" t="s">
        <v>1458</v>
      </c>
      <c r="Q2604" s="247" t="s">
        <v>85</v>
      </c>
    </row>
    <row r="2605" spans="1:17" x14ac:dyDescent="0.25">
      <c r="A2605" s="247" t="s">
        <v>646</v>
      </c>
      <c r="B2605" s="247" t="s">
        <v>265</v>
      </c>
      <c r="C2605" s="247" t="s">
        <v>1343</v>
      </c>
      <c r="D2605" s="247" t="s">
        <v>1356</v>
      </c>
      <c r="E2605" s="247" t="s">
        <v>711</v>
      </c>
      <c r="F2605" s="247" t="s">
        <v>2244</v>
      </c>
      <c r="G2605" s="247" t="s">
        <v>1357</v>
      </c>
      <c r="H2605" s="247" t="s">
        <v>392</v>
      </c>
      <c r="I2605" s="247" t="s">
        <v>2245</v>
      </c>
      <c r="J2605" s="247">
        <v>32</v>
      </c>
      <c r="K2605" s="247">
        <v>32</v>
      </c>
      <c r="L2605" s="249" t="s">
        <v>652</v>
      </c>
      <c r="M2605" s="249" t="s">
        <v>933</v>
      </c>
      <c r="N2605" s="248">
        <v>0</v>
      </c>
      <c r="O2605" s="248">
        <v>1069.45</v>
      </c>
      <c r="P2605" s="247" t="s">
        <v>1458</v>
      </c>
      <c r="Q2605" s="247" t="s">
        <v>86</v>
      </c>
    </row>
    <row r="2606" spans="1:17" x14ac:dyDescent="0.25">
      <c r="A2606" s="247" t="s">
        <v>646</v>
      </c>
      <c r="B2606" s="247" t="s">
        <v>265</v>
      </c>
      <c r="C2606" s="247" t="s">
        <v>1343</v>
      </c>
      <c r="D2606" s="247" t="s">
        <v>1356</v>
      </c>
      <c r="E2606" s="247" t="s">
        <v>711</v>
      </c>
      <c r="F2606" s="247" t="s">
        <v>2244</v>
      </c>
      <c r="G2606" s="247" t="s">
        <v>1357</v>
      </c>
      <c r="H2606" s="247" t="s">
        <v>392</v>
      </c>
      <c r="I2606" s="247" t="s">
        <v>2245</v>
      </c>
      <c r="J2606" s="247">
        <v>32</v>
      </c>
      <c r="K2606" s="247">
        <v>32</v>
      </c>
      <c r="L2606" s="249" t="s">
        <v>789</v>
      </c>
      <c r="M2606" s="249" t="s">
        <v>929</v>
      </c>
      <c r="N2606" s="248">
        <v>269.66000000000003</v>
      </c>
      <c r="O2606" s="248">
        <v>269.66000000000003</v>
      </c>
      <c r="P2606" s="247" t="s">
        <v>1458</v>
      </c>
      <c r="Q2606" s="247" t="s">
        <v>87</v>
      </c>
    </row>
    <row r="2607" spans="1:17" x14ac:dyDescent="0.25">
      <c r="A2607" s="247" t="s">
        <v>646</v>
      </c>
      <c r="B2607" s="247" t="s">
        <v>265</v>
      </c>
      <c r="C2607" s="247" t="s">
        <v>1343</v>
      </c>
      <c r="D2607" s="247" t="s">
        <v>1356</v>
      </c>
      <c r="E2607" s="247" t="s">
        <v>711</v>
      </c>
      <c r="F2607" s="247" t="s">
        <v>2244</v>
      </c>
      <c r="G2607" s="247" t="s">
        <v>1357</v>
      </c>
      <c r="H2607" s="247" t="s">
        <v>392</v>
      </c>
      <c r="I2607" s="247" t="s">
        <v>2245</v>
      </c>
      <c r="J2607" s="247">
        <v>32</v>
      </c>
      <c r="K2607" s="247">
        <v>32</v>
      </c>
      <c r="L2607" s="249" t="s">
        <v>791</v>
      </c>
      <c r="M2607" s="249" t="s">
        <v>929</v>
      </c>
      <c r="N2607" s="248">
        <v>183.74</v>
      </c>
      <c r="O2607" s="248">
        <v>453.4</v>
      </c>
      <c r="P2607" s="247" t="s">
        <v>1458</v>
      </c>
      <c r="Q2607" s="247" t="s">
        <v>88</v>
      </c>
    </row>
    <row r="2608" spans="1:17" x14ac:dyDescent="0.25">
      <c r="A2608" s="247" t="s">
        <v>646</v>
      </c>
      <c r="B2608" s="247" t="s">
        <v>265</v>
      </c>
      <c r="C2608" s="247" t="s">
        <v>1343</v>
      </c>
      <c r="D2608" s="247" t="s">
        <v>1356</v>
      </c>
      <c r="E2608" s="247" t="s">
        <v>711</v>
      </c>
      <c r="F2608" s="247" t="s">
        <v>2244</v>
      </c>
      <c r="G2608" s="247" t="s">
        <v>1357</v>
      </c>
      <c r="H2608" s="247" t="s">
        <v>392</v>
      </c>
      <c r="I2608" s="247" t="s">
        <v>2245</v>
      </c>
      <c r="J2608" s="247">
        <v>32</v>
      </c>
      <c r="K2608" s="247">
        <v>32</v>
      </c>
      <c r="L2608" s="249" t="s">
        <v>935</v>
      </c>
      <c r="M2608" s="249" t="s">
        <v>929</v>
      </c>
      <c r="N2608" s="248">
        <v>0</v>
      </c>
      <c r="O2608" s="248">
        <v>453.4</v>
      </c>
      <c r="P2608" s="247" t="s">
        <v>1458</v>
      </c>
      <c r="Q2608" s="247" t="s">
        <v>89</v>
      </c>
    </row>
    <row r="2609" spans="1:17" x14ac:dyDescent="0.25">
      <c r="A2609" s="247" t="s">
        <v>646</v>
      </c>
      <c r="B2609" s="247" t="s">
        <v>265</v>
      </c>
      <c r="C2609" s="247" t="s">
        <v>1343</v>
      </c>
      <c r="D2609" s="247" t="s">
        <v>1356</v>
      </c>
      <c r="E2609" s="247" t="s">
        <v>711</v>
      </c>
      <c r="F2609" s="247" t="s">
        <v>2244</v>
      </c>
      <c r="G2609" s="247" t="s">
        <v>1357</v>
      </c>
      <c r="H2609" s="247" t="s">
        <v>392</v>
      </c>
      <c r="I2609" s="247" t="s">
        <v>2245</v>
      </c>
      <c r="J2609" s="247">
        <v>32</v>
      </c>
      <c r="K2609" s="247">
        <v>32</v>
      </c>
      <c r="L2609" s="249" t="s">
        <v>936</v>
      </c>
      <c r="M2609" s="249" t="s">
        <v>929</v>
      </c>
      <c r="N2609" s="248">
        <v>40.76</v>
      </c>
      <c r="O2609" s="248">
        <v>494.16</v>
      </c>
      <c r="P2609" s="247" t="s">
        <v>1458</v>
      </c>
      <c r="Q2609" s="247" t="s">
        <v>90</v>
      </c>
    </row>
    <row r="2610" spans="1:17" x14ac:dyDescent="0.25">
      <c r="A2610" s="247" t="s">
        <v>646</v>
      </c>
      <c r="B2610" s="247" t="s">
        <v>265</v>
      </c>
      <c r="C2610" s="247" t="s">
        <v>1343</v>
      </c>
      <c r="D2610" s="247" t="s">
        <v>1356</v>
      </c>
      <c r="E2610" s="247" t="s">
        <v>711</v>
      </c>
      <c r="F2610" s="247" t="s">
        <v>2244</v>
      </c>
      <c r="G2610" s="247" t="s">
        <v>1357</v>
      </c>
      <c r="H2610" s="247" t="s">
        <v>392</v>
      </c>
      <c r="I2610" s="247" t="s">
        <v>2245</v>
      </c>
      <c r="J2610" s="247">
        <v>32</v>
      </c>
      <c r="K2610" s="247">
        <v>32</v>
      </c>
      <c r="L2610" s="249" t="s">
        <v>937</v>
      </c>
      <c r="M2610" s="249" t="s">
        <v>929</v>
      </c>
      <c r="N2610" s="248">
        <v>35.979999999999997</v>
      </c>
      <c r="O2610" s="248">
        <v>530.14</v>
      </c>
      <c r="P2610" s="247" t="s">
        <v>1458</v>
      </c>
      <c r="Q2610" s="247" t="s">
        <v>91</v>
      </c>
    </row>
    <row r="2611" spans="1:17" x14ac:dyDescent="0.25">
      <c r="A2611" s="247" t="s">
        <v>646</v>
      </c>
      <c r="B2611" s="247" t="s">
        <v>265</v>
      </c>
      <c r="C2611" s="247" t="s">
        <v>1343</v>
      </c>
      <c r="D2611" s="247" t="s">
        <v>1356</v>
      </c>
      <c r="E2611" s="247" t="s">
        <v>711</v>
      </c>
      <c r="F2611" s="247" t="s">
        <v>2244</v>
      </c>
      <c r="G2611" s="247" t="s">
        <v>1357</v>
      </c>
      <c r="H2611" s="247" t="s">
        <v>392</v>
      </c>
      <c r="I2611" s="247" t="s">
        <v>2245</v>
      </c>
      <c r="J2611" s="247">
        <v>32</v>
      </c>
      <c r="K2611" s="247">
        <v>32</v>
      </c>
      <c r="L2611" s="249" t="s">
        <v>938</v>
      </c>
      <c r="M2611" s="249" t="s">
        <v>929</v>
      </c>
      <c r="N2611" s="248">
        <v>21.25</v>
      </c>
      <c r="O2611" s="248">
        <v>551.39</v>
      </c>
      <c r="P2611" s="247" t="s">
        <v>1458</v>
      </c>
      <c r="Q2611" s="247" t="s">
        <v>92</v>
      </c>
    </row>
    <row r="2612" spans="1:17" x14ac:dyDescent="0.25">
      <c r="A2612" s="247" t="s">
        <v>646</v>
      </c>
      <c r="B2612" s="247" t="s">
        <v>265</v>
      </c>
      <c r="C2612" s="247" t="s">
        <v>1343</v>
      </c>
      <c r="D2612" s="247" t="s">
        <v>1356</v>
      </c>
      <c r="E2612" s="247" t="s">
        <v>711</v>
      </c>
      <c r="F2612" s="247" t="s">
        <v>2244</v>
      </c>
      <c r="G2612" s="247" t="s">
        <v>1357</v>
      </c>
      <c r="H2612" s="247" t="s">
        <v>392</v>
      </c>
      <c r="I2612" s="247" t="s">
        <v>2245</v>
      </c>
      <c r="J2612" s="247">
        <v>32</v>
      </c>
      <c r="K2612" s="247">
        <v>32</v>
      </c>
      <c r="L2612" s="249" t="s">
        <v>939</v>
      </c>
      <c r="M2612" s="249" t="s">
        <v>929</v>
      </c>
      <c r="N2612" s="248">
        <v>21.95</v>
      </c>
      <c r="O2612" s="248">
        <v>573.34</v>
      </c>
      <c r="P2612" s="247" t="s">
        <v>1458</v>
      </c>
      <c r="Q2612" s="247" t="s">
        <v>93</v>
      </c>
    </row>
    <row r="2613" spans="1:17" x14ac:dyDescent="0.25">
      <c r="A2613" s="247" t="s">
        <v>646</v>
      </c>
      <c r="B2613" s="247" t="s">
        <v>265</v>
      </c>
      <c r="C2613" s="247" t="s">
        <v>1343</v>
      </c>
      <c r="D2613" s="247" t="s">
        <v>1356</v>
      </c>
      <c r="E2613" s="247" t="s">
        <v>711</v>
      </c>
      <c r="F2613" s="247" t="s">
        <v>2244</v>
      </c>
      <c r="G2613" s="247" t="s">
        <v>1357</v>
      </c>
      <c r="H2613" s="247" t="s">
        <v>392</v>
      </c>
      <c r="I2613" s="247" t="s">
        <v>2245</v>
      </c>
      <c r="J2613" s="247">
        <v>32</v>
      </c>
      <c r="K2613" s="247">
        <v>32</v>
      </c>
      <c r="L2613" s="249" t="s">
        <v>940</v>
      </c>
      <c r="M2613" s="249" t="s">
        <v>929</v>
      </c>
      <c r="N2613" s="248">
        <v>6.05</v>
      </c>
      <c r="O2613" s="248">
        <v>579.39</v>
      </c>
      <c r="P2613" s="247" t="s">
        <v>1458</v>
      </c>
      <c r="Q2613" s="247" t="s">
        <v>94</v>
      </c>
    </row>
    <row r="2614" spans="1:17" x14ac:dyDescent="0.25">
      <c r="A2614" s="247" t="s">
        <v>646</v>
      </c>
      <c r="B2614" s="247" t="s">
        <v>265</v>
      </c>
      <c r="C2614" s="247" t="s">
        <v>1343</v>
      </c>
      <c r="D2614" s="247" t="s">
        <v>1356</v>
      </c>
      <c r="E2614" s="247" t="s">
        <v>711</v>
      </c>
      <c r="F2614" s="247" t="s">
        <v>2244</v>
      </c>
      <c r="G2614" s="247" t="s">
        <v>1357</v>
      </c>
      <c r="H2614" s="247" t="s">
        <v>392</v>
      </c>
      <c r="I2614" s="247" t="s">
        <v>2245</v>
      </c>
      <c r="J2614" s="247">
        <v>32</v>
      </c>
      <c r="K2614" s="247">
        <v>32</v>
      </c>
      <c r="L2614" s="249" t="s">
        <v>642</v>
      </c>
      <c r="M2614" s="249" t="s">
        <v>929</v>
      </c>
      <c r="N2614" s="248">
        <v>22.23</v>
      </c>
      <c r="O2614" s="248">
        <v>601.62</v>
      </c>
      <c r="P2614" s="247" t="s">
        <v>1458</v>
      </c>
      <c r="Q2614" s="247" t="s">
        <v>95</v>
      </c>
    </row>
    <row r="2615" spans="1:17" x14ac:dyDescent="0.25">
      <c r="A2615" s="247" t="s">
        <v>646</v>
      </c>
      <c r="B2615" s="247" t="s">
        <v>265</v>
      </c>
      <c r="C2615" s="247" t="s">
        <v>1343</v>
      </c>
      <c r="D2615" s="247" t="s">
        <v>946</v>
      </c>
      <c r="E2615" s="247" t="s">
        <v>711</v>
      </c>
      <c r="F2615" s="247" t="s">
        <v>2246</v>
      </c>
      <c r="G2615" s="247" t="s">
        <v>1359</v>
      </c>
      <c r="H2615" s="247" t="s">
        <v>392</v>
      </c>
      <c r="I2615" s="247" t="s">
        <v>2247</v>
      </c>
      <c r="J2615" s="247">
        <v>32</v>
      </c>
      <c r="K2615" s="247">
        <v>32</v>
      </c>
      <c r="L2615" s="249" t="s">
        <v>646</v>
      </c>
      <c r="M2615" s="249" t="s">
        <v>933</v>
      </c>
      <c r="N2615" s="248">
        <v>234.76</v>
      </c>
      <c r="O2615" s="248">
        <v>3225.11</v>
      </c>
      <c r="P2615" s="247" t="s">
        <v>1459</v>
      </c>
      <c r="Q2615" s="247" t="s">
        <v>84</v>
      </c>
    </row>
    <row r="2616" spans="1:17" x14ac:dyDescent="0.25">
      <c r="A2616" s="247" t="s">
        <v>646</v>
      </c>
      <c r="B2616" s="247" t="s">
        <v>265</v>
      </c>
      <c r="C2616" s="247" t="s">
        <v>1343</v>
      </c>
      <c r="D2616" s="247" t="s">
        <v>946</v>
      </c>
      <c r="E2616" s="247" t="s">
        <v>711</v>
      </c>
      <c r="F2616" s="247" t="s">
        <v>2246</v>
      </c>
      <c r="G2616" s="247" t="s">
        <v>1359</v>
      </c>
      <c r="H2616" s="247" t="s">
        <v>392</v>
      </c>
      <c r="I2616" s="247" t="s">
        <v>2247</v>
      </c>
      <c r="J2616" s="247">
        <v>32</v>
      </c>
      <c r="K2616" s="247">
        <v>32</v>
      </c>
      <c r="L2616" s="249" t="s">
        <v>650</v>
      </c>
      <c r="M2616" s="249" t="s">
        <v>933</v>
      </c>
      <c r="N2616" s="248">
        <v>102.25</v>
      </c>
      <c r="O2616" s="248">
        <v>3327.36</v>
      </c>
      <c r="P2616" s="247" t="s">
        <v>1459</v>
      </c>
      <c r="Q2616" s="247" t="s">
        <v>85</v>
      </c>
    </row>
    <row r="2617" spans="1:17" x14ac:dyDescent="0.25">
      <c r="A2617" s="247" t="s">
        <v>646</v>
      </c>
      <c r="B2617" s="247" t="s">
        <v>265</v>
      </c>
      <c r="C2617" s="247" t="s">
        <v>1343</v>
      </c>
      <c r="D2617" s="247" t="s">
        <v>946</v>
      </c>
      <c r="E2617" s="247" t="s">
        <v>711</v>
      </c>
      <c r="F2617" s="247" t="s">
        <v>2246</v>
      </c>
      <c r="G2617" s="247" t="s">
        <v>1359</v>
      </c>
      <c r="H2617" s="247" t="s">
        <v>392</v>
      </c>
      <c r="I2617" s="247" t="s">
        <v>2247</v>
      </c>
      <c r="J2617" s="247">
        <v>32</v>
      </c>
      <c r="K2617" s="247">
        <v>32</v>
      </c>
      <c r="L2617" s="249" t="s">
        <v>652</v>
      </c>
      <c r="M2617" s="249" t="s">
        <v>933</v>
      </c>
      <c r="N2617" s="248">
        <v>21.33</v>
      </c>
      <c r="O2617" s="248">
        <v>3348.69</v>
      </c>
      <c r="P2617" s="247" t="s">
        <v>1459</v>
      </c>
      <c r="Q2617" s="247" t="s">
        <v>86</v>
      </c>
    </row>
    <row r="2618" spans="1:17" x14ac:dyDescent="0.25">
      <c r="A2618" s="247" t="s">
        <v>646</v>
      </c>
      <c r="B2618" s="247" t="s">
        <v>265</v>
      </c>
      <c r="C2618" s="247" t="s">
        <v>1343</v>
      </c>
      <c r="D2618" s="247" t="s">
        <v>946</v>
      </c>
      <c r="E2618" s="247" t="s">
        <v>711</v>
      </c>
      <c r="F2618" s="247" t="s">
        <v>2246</v>
      </c>
      <c r="G2618" s="247" t="s">
        <v>1359</v>
      </c>
      <c r="H2618" s="247" t="s">
        <v>392</v>
      </c>
      <c r="I2618" s="247" t="s">
        <v>2247</v>
      </c>
      <c r="J2618" s="247">
        <v>32</v>
      </c>
      <c r="K2618" s="247">
        <v>32</v>
      </c>
      <c r="L2618" s="249" t="s">
        <v>789</v>
      </c>
      <c r="M2618" s="249" t="s">
        <v>929</v>
      </c>
      <c r="N2618" s="248">
        <v>177.97</v>
      </c>
      <c r="O2618" s="248">
        <v>177.97</v>
      </c>
      <c r="P2618" s="247" t="s">
        <v>1459</v>
      </c>
      <c r="Q2618" s="247" t="s">
        <v>87</v>
      </c>
    </row>
    <row r="2619" spans="1:17" x14ac:dyDescent="0.25">
      <c r="A2619" s="247" t="s">
        <v>646</v>
      </c>
      <c r="B2619" s="247" t="s">
        <v>265</v>
      </c>
      <c r="C2619" s="247" t="s">
        <v>1343</v>
      </c>
      <c r="D2619" s="247" t="s">
        <v>946</v>
      </c>
      <c r="E2619" s="247" t="s">
        <v>711</v>
      </c>
      <c r="F2619" s="247" t="s">
        <v>2246</v>
      </c>
      <c r="G2619" s="247" t="s">
        <v>1359</v>
      </c>
      <c r="H2619" s="247" t="s">
        <v>392</v>
      </c>
      <c r="I2619" s="247" t="s">
        <v>2247</v>
      </c>
      <c r="J2619" s="247">
        <v>32</v>
      </c>
      <c r="K2619" s="247">
        <v>32</v>
      </c>
      <c r="L2619" s="249" t="s">
        <v>791</v>
      </c>
      <c r="M2619" s="249" t="s">
        <v>929</v>
      </c>
      <c r="N2619" s="248">
        <v>139.57</v>
      </c>
      <c r="O2619" s="248">
        <v>317.54000000000002</v>
      </c>
      <c r="P2619" s="247" t="s">
        <v>1459</v>
      </c>
      <c r="Q2619" s="247" t="s">
        <v>88</v>
      </c>
    </row>
    <row r="2620" spans="1:17" x14ac:dyDescent="0.25">
      <c r="A2620" s="247" t="s">
        <v>646</v>
      </c>
      <c r="B2620" s="247" t="s">
        <v>265</v>
      </c>
      <c r="C2620" s="247" t="s">
        <v>1343</v>
      </c>
      <c r="D2620" s="247" t="s">
        <v>946</v>
      </c>
      <c r="E2620" s="247" t="s">
        <v>711</v>
      </c>
      <c r="F2620" s="247" t="s">
        <v>2246</v>
      </c>
      <c r="G2620" s="247" t="s">
        <v>1359</v>
      </c>
      <c r="H2620" s="247" t="s">
        <v>392</v>
      </c>
      <c r="I2620" s="247" t="s">
        <v>2247</v>
      </c>
      <c r="J2620" s="247">
        <v>32</v>
      </c>
      <c r="K2620" s="247">
        <v>32</v>
      </c>
      <c r="L2620" s="249" t="s">
        <v>935</v>
      </c>
      <c r="M2620" s="249" t="s">
        <v>929</v>
      </c>
      <c r="N2620" s="248">
        <v>133.30000000000001</v>
      </c>
      <c r="O2620" s="248">
        <v>450.84</v>
      </c>
      <c r="P2620" s="247" t="s">
        <v>1459</v>
      </c>
      <c r="Q2620" s="247" t="s">
        <v>89</v>
      </c>
    </row>
    <row r="2621" spans="1:17" x14ac:dyDescent="0.25">
      <c r="A2621" s="247" t="s">
        <v>646</v>
      </c>
      <c r="B2621" s="247" t="s">
        <v>265</v>
      </c>
      <c r="C2621" s="247" t="s">
        <v>1343</v>
      </c>
      <c r="D2621" s="247" t="s">
        <v>946</v>
      </c>
      <c r="E2621" s="247" t="s">
        <v>711</v>
      </c>
      <c r="F2621" s="247" t="s">
        <v>2246</v>
      </c>
      <c r="G2621" s="247" t="s">
        <v>1359</v>
      </c>
      <c r="H2621" s="247" t="s">
        <v>392</v>
      </c>
      <c r="I2621" s="247" t="s">
        <v>2247</v>
      </c>
      <c r="J2621" s="247">
        <v>32</v>
      </c>
      <c r="K2621" s="247">
        <v>32</v>
      </c>
      <c r="L2621" s="249" t="s">
        <v>936</v>
      </c>
      <c r="M2621" s="249" t="s">
        <v>929</v>
      </c>
      <c r="N2621" s="248">
        <v>254.1</v>
      </c>
      <c r="O2621" s="248">
        <v>704.94</v>
      </c>
      <c r="P2621" s="247" t="s">
        <v>1459</v>
      </c>
      <c r="Q2621" s="247" t="s">
        <v>90</v>
      </c>
    </row>
    <row r="2622" spans="1:17" x14ac:dyDescent="0.25">
      <c r="A2622" s="247" t="s">
        <v>646</v>
      </c>
      <c r="B2622" s="247" t="s">
        <v>265</v>
      </c>
      <c r="C2622" s="247" t="s">
        <v>1343</v>
      </c>
      <c r="D2622" s="247" t="s">
        <v>946</v>
      </c>
      <c r="E2622" s="247" t="s">
        <v>711</v>
      </c>
      <c r="F2622" s="247" t="s">
        <v>2246</v>
      </c>
      <c r="G2622" s="247" t="s">
        <v>1359</v>
      </c>
      <c r="H2622" s="247" t="s">
        <v>392</v>
      </c>
      <c r="I2622" s="247" t="s">
        <v>2247</v>
      </c>
      <c r="J2622" s="247">
        <v>32</v>
      </c>
      <c r="K2622" s="247">
        <v>32</v>
      </c>
      <c r="L2622" s="249" t="s">
        <v>937</v>
      </c>
      <c r="M2622" s="249" t="s">
        <v>929</v>
      </c>
      <c r="N2622" s="248">
        <v>177.37</v>
      </c>
      <c r="O2622" s="248">
        <v>882.31</v>
      </c>
      <c r="P2622" s="247" t="s">
        <v>1459</v>
      </c>
      <c r="Q2622" s="247" t="s">
        <v>91</v>
      </c>
    </row>
    <row r="2623" spans="1:17" x14ac:dyDescent="0.25">
      <c r="A2623" s="247" t="s">
        <v>646</v>
      </c>
      <c r="B2623" s="247" t="s">
        <v>265</v>
      </c>
      <c r="C2623" s="247" t="s">
        <v>1343</v>
      </c>
      <c r="D2623" s="247" t="s">
        <v>946</v>
      </c>
      <c r="E2623" s="247" t="s">
        <v>711</v>
      </c>
      <c r="F2623" s="247" t="s">
        <v>2246</v>
      </c>
      <c r="G2623" s="247" t="s">
        <v>1359</v>
      </c>
      <c r="H2623" s="247" t="s">
        <v>392</v>
      </c>
      <c r="I2623" s="247" t="s">
        <v>2247</v>
      </c>
      <c r="J2623" s="247">
        <v>32</v>
      </c>
      <c r="K2623" s="247">
        <v>32</v>
      </c>
      <c r="L2623" s="249" t="s">
        <v>938</v>
      </c>
      <c r="M2623" s="249" t="s">
        <v>929</v>
      </c>
      <c r="N2623" s="248">
        <v>174.04</v>
      </c>
      <c r="O2623" s="248">
        <v>1056.3499999999999</v>
      </c>
      <c r="P2623" s="247" t="s">
        <v>1459</v>
      </c>
      <c r="Q2623" s="247" t="s">
        <v>92</v>
      </c>
    </row>
    <row r="2624" spans="1:17" x14ac:dyDescent="0.25">
      <c r="A2624" s="247" t="s">
        <v>646</v>
      </c>
      <c r="B2624" s="247" t="s">
        <v>265</v>
      </c>
      <c r="C2624" s="247" t="s">
        <v>1343</v>
      </c>
      <c r="D2624" s="247" t="s">
        <v>946</v>
      </c>
      <c r="E2624" s="247" t="s">
        <v>711</v>
      </c>
      <c r="F2624" s="247" t="s">
        <v>2246</v>
      </c>
      <c r="G2624" s="247" t="s">
        <v>1359</v>
      </c>
      <c r="H2624" s="247" t="s">
        <v>392</v>
      </c>
      <c r="I2624" s="247" t="s">
        <v>2247</v>
      </c>
      <c r="J2624" s="247">
        <v>32</v>
      </c>
      <c r="K2624" s="247">
        <v>32</v>
      </c>
      <c r="L2624" s="249" t="s">
        <v>939</v>
      </c>
      <c r="M2624" s="249" t="s">
        <v>929</v>
      </c>
      <c r="N2624" s="248">
        <v>176.25</v>
      </c>
      <c r="O2624" s="248">
        <v>1232.5999999999999</v>
      </c>
      <c r="P2624" s="247" t="s">
        <v>1459</v>
      </c>
      <c r="Q2624" s="247" t="s">
        <v>93</v>
      </c>
    </row>
    <row r="2625" spans="1:17" x14ac:dyDescent="0.25">
      <c r="A2625" s="247" t="s">
        <v>646</v>
      </c>
      <c r="B2625" s="247" t="s">
        <v>265</v>
      </c>
      <c r="C2625" s="247" t="s">
        <v>1343</v>
      </c>
      <c r="D2625" s="247" t="s">
        <v>946</v>
      </c>
      <c r="E2625" s="247" t="s">
        <v>711</v>
      </c>
      <c r="F2625" s="247" t="s">
        <v>2246</v>
      </c>
      <c r="G2625" s="247" t="s">
        <v>1359</v>
      </c>
      <c r="H2625" s="247" t="s">
        <v>392</v>
      </c>
      <c r="I2625" s="247" t="s">
        <v>2247</v>
      </c>
      <c r="J2625" s="247">
        <v>32</v>
      </c>
      <c r="K2625" s="247">
        <v>32</v>
      </c>
      <c r="L2625" s="249" t="s">
        <v>940</v>
      </c>
      <c r="M2625" s="249" t="s">
        <v>929</v>
      </c>
      <c r="N2625" s="248">
        <v>173.52</v>
      </c>
      <c r="O2625" s="248">
        <v>1406.12</v>
      </c>
      <c r="P2625" s="247" t="s">
        <v>1459</v>
      </c>
      <c r="Q2625" s="247" t="s">
        <v>94</v>
      </c>
    </row>
    <row r="2626" spans="1:17" x14ac:dyDescent="0.25">
      <c r="A2626" s="247" t="s">
        <v>646</v>
      </c>
      <c r="B2626" s="247" t="s">
        <v>265</v>
      </c>
      <c r="C2626" s="247" t="s">
        <v>1343</v>
      </c>
      <c r="D2626" s="247" t="s">
        <v>946</v>
      </c>
      <c r="E2626" s="247" t="s">
        <v>711</v>
      </c>
      <c r="F2626" s="247" t="s">
        <v>2246</v>
      </c>
      <c r="G2626" s="247" t="s">
        <v>1359</v>
      </c>
      <c r="H2626" s="247" t="s">
        <v>392</v>
      </c>
      <c r="I2626" s="247" t="s">
        <v>2247</v>
      </c>
      <c r="J2626" s="247">
        <v>32</v>
      </c>
      <c r="K2626" s="247">
        <v>32</v>
      </c>
      <c r="L2626" s="249" t="s">
        <v>642</v>
      </c>
      <c r="M2626" s="249" t="s">
        <v>929</v>
      </c>
      <c r="N2626" s="248">
        <v>250.22</v>
      </c>
      <c r="O2626" s="248">
        <v>1656.34</v>
      </c>
      <c r="P2626" s="247" t="s">
        <v>1459</v>
      </c>
      <c r="Q2626" s="247" t="s">
        <v>95</v>
      </c>
    </row>
    <row r="2627" spans="1:17" x14ac:dyDescent="0.25">
      <c r="A2627" s="247" t="s">
        <v>646</v>
      </c>
      <c r="B2627" s="247" t="s">
        <v>265</v>
      </c>
      <c r="C2627" s="247" t="s">
        <v>1343</v>
      </c>
      <c r="D2627" s="247" t="s">
        <v>1361</v>
      </c>
      <c r="E2627" s="247" t="s">
        <v>711</v>
      </c>
      <c r="F2627" s="247" t="s">
        <v>2248</v>
      </c>
      <c r="G2627" s="247" t="s">
        <v>1362</v>
      </c>
      <c r="H2627" s="247" t="s">
        <v>392</v>
      </c>
      <c r="I2627" s="247" t="s">
        <v>2249</v>
      </c>
      <c r="J2627" s="247">
        <v>31</v>
      </c>
      <c r="K2627" s="247">
        <v>31</v>
      </c>
      <c r="L2627" s="249" t="s">
        <v>646</v>
      </c>
      <c r="M2627" s="249" t="s">
        <v>933</v>
      </c>
      <c r="N2627" s="248">
        <v>4981.07</v>
      </c>
      <c r="O2627" s="248">
        <v>40843.199999999997</v>
      </c>
      <c r="P2627" s="247" t="s">
        <v>1460</v>
      </c>
      <c r="Q2627" s="247" t="s">
        <v>84</v>
      </c>
    </row>
    <row r="2628" spans="1:17" x14ac:dyDescent="0.25">
      <c r="A2628" s="247" t="s">
        <v>646</v>
      </c>
      <c r="B2628" s="247" t="s">
        <v>265</v>
      </c>
      <c r="C2628" s="247" t="s">
        <v>1343</v>
      </c>
      <c r="D2628" s="247" t="s">
        <v>1361</v>
      </c>
      <c r="E2628" s="247" t="s">
        <v>711</v>
      </c>
      <c r="F2628" s="247" t="s">
        <v>2248</v>
      </c>
      <c r="G2628" s="247" t="s">
        <v>1362</v>
      </c>
      <c r="H2628" s="247" t="s">
        <v>392</v>
      </c>
      <c r="I2628" s="247" t="s">
        <v>2249</v>
      </c>
      <c r="J2628" s="247">
        <v>31</v>
      </c>
      <c r="K2628" s="247">
        <v>31</v>
      </c>
      <c r="L2628" s="249" t="s">
        <v>650</v>
      </c>
      <c r="M2628" s="249" t="s">
        <v>933</v>
      </c>
      <c r="N2628" s="248">
        <v>3249.93</v>
      </c>
      <c r="O2628" s="248">
        <v>44093.13</v>
      </c>
      <c r="P2628" s="247" t="s">
        <v>1460</v>
      </c>
      <c r="Q2628" s="247" t="s">
        <v>85</v>
      </c>
    </row>
    <row r="2629" spans="1:17" x14ac:dyDescent="0.25">
      <c r="A2629" s="247" t="s">
        <v>646</v>
      </c>
      <c r="B2629" s="247" t="s">
        <v>265</v>
      </c>
      <c r="C2629" s="247" t="s">
        <v>1343</v>
      </c>
      <c r="D2629" s="247" t="s">
        <v>1361</v>
      </c>
      <c r="E2629" s="247" t="s">
        <v>711</v>
      </c>
      <c r="F2629" s="247" t="s">
        <v>2248</v>
      </c>
      <c r="G2629" s="247" t="s">
        <v>1362</v>
      </c>
      <c r="H2629" s="247" t="s">
        <v>392</v>
      </c>
      <c r="I2629" s="247" t="s">
        <v>2249</v>
      </c>
      <c r="J2629" s="247">
        <v>31</v>
      </c>
      <c r="K2629" s="247">
        <v>31</v>
      </c>
      <c r="L2629" s="249" t="s">
        <v>652</v>
      </c>
      <c r="M2629" s="249" t="s">
        <v>933</v>
      </c>
      <c r="N2629" s="248">
        <v>2993.87</v>
      </c>
      <c r="O2629" s="248">
        <v>47087</v>
      </c>
      <c r="P2629" s="247" t="s">
        <v>1460</v>
      </c>
      <c r="Q2629" s="247" t="s">
        <v>86</v>
      </c>
    </row>
    <row r="2630" spans="1:17" x14ac:dyDescent="0.25">
      <c r="A2630" s="247" t="s">
        <v>646</v>
      </c>
      <c r="B2630" s="247" t="s">
        <v>265</v>
      </c>
      <c r="C2630" s="247" t="s">
        <v>1343</v>
      </c>
      <c r="D2630" s="247" t="s">
        <v>1361</v>
      </c>
      <c r="E2630" s="247" t="s">
        <v>711</v>
      </c>
      <c r="F2630" s="247" t="s">
        <v>2248</v>
      </c>
      <c r="G2630" s="247" t="s">
        <v>1362</v>
      </c>
      <c r="H2630" s="247" t="s">
        <v>392</v>
      </c>
      <c r="I2630" s="247" t="s">
        <v>2249</v>
      </c>
      <c r="J2630" s="247">
        <v>31</v>
      </c>
      <c r="K2630" s="247">
        <v>31</v>
      </c>
      <c r="L2630" s="249" t="s">
        <v>789</v>
      </c>
      <c r="M2630" s="249" t="s">
        <v>929</v>
      </c>
      <c r="N2630" s="248">
        <v>3096.25</v>
      </c>
      <c r="O2630" s="248">
        <v>3096.25</v>
      </c>
      <c r="P2630" s="247" t="s">
        <v>1460</v>
      </c>
      <c r="Q2630" s="247" t="s">
        <v>87</v>
      </c>
    </row>
    <row r="2631" spans="1:17" x14ac:dyDescent="0.25">
      <c r="A2631" s="247" t="s">
        <v>646</v>
      </c>
      <c r="B2631" s="247" t="s">
        <v>265</v>
      </c>
      <c r="C2631" s="247" t="s">
        <v>1343</v>
      </c>
      <c r="D2631" s="247" t="s">
        <v>1361</v>
      </c>
      <c r="E2631" s="247" t="s">
        <v>711</v>
      </c>
      <c r="F2631" s="247" t="s">
        <v>2248</v>
      </c>
      <c r="G2631" s="247" t="s">
        <v>1362</v>
      </c>
      <c r="H2631" s="247" t="s">
        <v>392</v>
      </c>
      <c r="I2631" s="247" t="s">
        <v>2249</v>
      </c>
      <c r="J2631" s="247">
        <v>31</v>
      </c>
      <c r="K2631" s="247">
        <v>31</v>
      </c>
      <c r="L2631" s="249" t="s">
        <v>791</v>
      </c>
      <c r="M2631" s="249" t="s">
        <v>929</v>
      </c>
      <c r="N2631" s="248">
        <v>3005.86</v>
      </c>
      <c r="O2631" s="248">
        <v>6102.11</v>
      </c>
      <c r="P2631" s="247" t="s">
        <v>1460</v>
      </c>
      <c r="Q2631" s="247" t="s">
        <v>88</v>
      </c>
    </row>
    <row r="2632" spans="1:17" x14ac:dyDescent="0.25">
      <c r="A2632" s="247" t="s">
        <v>646</v>
      </c>
      <c r="B2632" s="247" t="s">
        <v>265</v>
      </c>
      <c r="C2632" s="247" t="s">
        <v>1343</v>
      </c>
      <c r="D2632" s="247" t="s">
        <v>1361</v>
      </c>
      <c r="E2632" s="247" t="s">
        <v>711</v>
      </c>
      <c r="F2632" s="247" t="s">
        <v>2248</v>
      </c>
      <c r="G2632" s="247" t="s">
        <v>1362</v>
      </c>
      <c r="H2632" s="247" t="s">
        <v>392</v>
      </c>
      <c r="I2632" s="247" t="s">
        <v>2249</v>
      </c>
      <c r="J2632" s="247">
        <v>31</v>
      </c>
      <c r="K2632" s="247">
        <v>31</v>
      </c>
      <c r="L2632" s="249" t="s">
        <v>935</v>
      </c>
      <c r="M2632" s="249" t="s">
        <v>929</v>
      </c>
      <c r="N2632" s="248">
        <v>2986.1</v>
      </c>
      <c r="O2632" s="248">
        <v>9088.2099999999991</v>
      </c>
      <c r="P2632" s="247" t="s">
        <v>1460</v>
      </c>
      <c r="Q2632" s="247" t="s">
        <v>89</v>
      </c>
    </row>
    <row r="2633" spans="1:17" x14ac:dyDescent="0.25">
      <c r="A2633" s="247" t="s">
        <v>646</v>
      </c>
      <c r="B2633" s="247" t="s">
        <v>265</v>
      </c>
      <c r="C2633" s="247" t="s">
        <v>1343</v>
      </c>
      <c r="D2633" s="247" t="s">
        <v>1361</v>
      </c>
      <c r="E2633" s="247" t="s">
        <v>711</v>
      </c>
      <c r="F2633" s="247" t="s">
        <v>2248</v>
      </c>
      <c r="G2633" s="247" t="s">
        <v>1362</v>
      </c>
      <c r="H2633" s="247" t="s">
        <v>392</v>
      </c>
      <c r="I2633" s="247" t="s">
        <v>2249</v>
      </c>
      <c r="J2633" s="247">
        <v>31</v>
      </c>
      <c r="K2633" s="247">
        <v>31</v>
      </c>
      <c r="L2633" s="249" t="s">
        <v>936</v>
      </c>
      <c r="M2633" s="249" t="s">
        <v>929</v>
      </c>
      <c r="N2633" s="248">
        <v>5718.78</v>
      </c>
      <c r="O2633" s="248">
        <v>14806.99</v>
      </c>
      <c r="P2633" s="247" t="s">
        <v>1460</v>
      </c>
      <c r="Q2633" s="247" t="s">
        <v>90</v>
      </c>
    </row>
    <row r="2634" spans="1:17" x14ac:dyDescent="0.25">
      <c r="A2634" s="247" t="s">
        <v>646</v>
      </c>
      <c r="B2634" s="247" t="s">
        <v>265</v>
      </c>
      <c r="C2634" s="247" t="s">
        <v>1343</v>
      </c>
      <c r="D2634" s="247" t="s">
        <v>1361</v>
      </c>
      <c r="E2634" s="247" t="s">
        <v>711</v>
      </c>
      <c r="F2634" s="247" t="s">
        <v>2248</v>
      </c>
      <c r="G2634" s="247" t="s">
        <v>1362</v>
      </c>
      <c r="H2634" s="247" t="s">
        <v>392</v>
      </c>
      <c r="I2634" s="247" t="s">
        <v>2249</v>
      </c>
      <c r="J2634" s="247">
        <v>31</v>
      </c>
      <c r="K2634" s="247">
        <v>31</v>
      </c>
      <c r="L2634" s="249" t="s">
        <v>937</v>
      </c>
      <c r="M2634" s="249" t="s">
        <v>929</v>
      </c>
      <c r="N2634" s="248">
        <v>3819.19</v>
      </c>
      <c r="O2634" s="248">
        <v>18626.18</v>
      </c>
      <c r="P2634" s="247" t="s">
        <v>1460</v>
      </c>
      <c r="Q2634" s="247" t="s">
        <v>91</v>
      </c>
    </row>
    <row r="2635" spans="1:17" x14ac:dyDescent="0.25">
      <c r="A2635" s="247" t="s">
        <v>646</v>
      </c>
      <c r="B2635" s="247" t="s">
        <v>265</v>
      </c>
      <c r="C2635" s="247" t="s">
        <v>1343</v>
      </c>
      <c r="D2635" s="247" t="s">
        <v>1361</v>
      </c>
      <c r="E2635" s="247" t="s">
        <v>711</v>
      </c>
      <c r="F2635" s="247" t="s">
        <v>2248</v>
      </c>
      <c r="G2635" s="247" t="s">
        <v>1362</v>
      </c>
      <c r="H2635" s="247" t="s">
        <v>392</v>
      </c>
      <c r="I2635" s="247" t="s">
        <v>2249</v>
      </c>
      <c r="J2635" s="247">
        <v>31</v>
      </c>
      <c r="K2635" s="247">
        <v>31</v>
      </c>
      <c r="L2635" s="249" t="s">
        <v>938</v>
      </c>
      <c r="M2635" s="249" t="s">
        <v>929</v>
      </c>
      <c r="N2635" s="248">
        <v>1732.2</v>
      </c>
      <c r="O2635" s="248">
        <v>20358.38</v>
      </c>
      <c r="P2635" s="247" t="s">
        <v>1460</v>
      </c>
      <c r="Q2635" s="247" t="s">
        <v>92</v>
      </c>
    </row>
    <row r="2636" spans="1:17" x14ac:dyDescent="0.25">
      <c r="A2636" s="247" t="s">
        <v>646</v>
      </c>
      <c r="B2636" s="247" t="s">
        <v>265</v>
      </c>
      <c r="C2636" s="247" t="s">
        <v>1343</v>
      </c>
      <c r="D2636" s="247" t="s">
        <v>1361</v>
      </c>
      <c r="E2636" s="247" t="s">
        <v>711</v>
      </c>
      <c r="F2636" s="247" t="s">
        <v>2248</v>
      </c>
      <c r="G2636" s="247" t="s">
        <v>1362</v>
      </c>
      <c r="H2636" s="247" t="s">
        <v>392</v>
      </c>
      <c r="I2636" s="247" t="s">
        <v>2249</v>
      </c>
      <c r="J2636" s="247">
        <v>31</v>
      </c>
      <c r="K2636" s="247">
        <v>31</v>
      </c>
      <c r="L2636" s="249" t="s">
        <v>939</v>
      </c>
      <c r="M2636" s="249" t="s">
        <v>929</v>
      </c>
      <c r="N2636" s="248">
        <v>3885.35</v>
      </c>
      <c r="O2636" s="248">
        <v>24243.73</v>
      </c>
      <c r="P2636" s="247" t="s">
        <v>1460</v>
      </c>
      <c r="Q2636" s="247" t="s">
        <v>93</v>
      </c>
    </row>
    <row r="2637" spans="1:17" x14ac:dyDescent="0.25">
      <c r="A2637" s="247" t="s">
        <v>646</v>
      </c>
      <c r="B2637" s="247" t="s">
        <v>265</v>
      </c>
      <c r="C2637" s="247" t="s">
        <v>1343</v>
      </c>
      <c r="D2637" s="247" t="s">
        <v>1361</v>
      </c>
      <c r="E2637" s="247" t="s">
        <v>711</v>
      </c>
      <c r="F2637" s="247" t="s">
        <v>2248</v>
      </c>
      <c r="G2637" s="247" t="s">
        <v>1362</v>
      </c>
      <c r="H2637" s="247" t="s">
        <v>392</v>
      </c>
      <c r="I2637" s="247" t="s">
        <v>2249</v>
      </c>
      <c r="J2637" s="247">
        <v>31</v>
      </c>
      <c r="K2637" s="247">
        <v>31</v>
      </c>
      <c r="L2637" s="249" t="s">
        <v>940</v>
      </c>
      <c r="M2637" s="249" t="s">
        <v>929</v>
      </c>
      <c r="N2637" s="248">
        <v>3702.23</v>
      </c>
      <c r="O2637" s="248">
        <v>27945.96</v>
      </c>
      <c r="P2637" s="247" t="s">
        <v>1460</v>
      </c>
      <c r="Q2637" s="247" t="s">
        <v>94</v>
      </c>
    </row>
    <row r="2638" spans="1:17" x14ac:dyDescent="0.25">
      <c r="A2638" s="247" t="s">
        <v>646</v>
      </c>
      <c r="B2638" s="247" t="s">
        <v>265</v>
      </c>
      <c r="C2638" s="247" t="s">
        <v>1343</v>
      </c>
      <c r="D2638" s="247" t="s">
        <v>1361</v>
      </c>
      <c r="E2638" s="247" t="s">
        <v>711</v>
      </c>
      <c r="F2638" s="247" t="s">
        <v>2248</v>
      </c>
      <c r="G2638" s="247" t="s">
        <v>1362</v>
      </c>
      <c r="H2638" s="247" t="s">
        <v>392</v>
      </c>
      <c r="I2638" s="247" t="s">
        <v>2249</v>
      </c>
      <c r="J2638" s="247">
        <v>31</v>
      </c>
      <c r="K2638" s="247">
        <v>31</v>
      </c>
      <c r="L2638" s="249" t="s">
        <v>642</v>
      </c>
      <c r="M2638" s="249" t="s">
        <v>929</v>
      </c>
      <c r="N2638" s="248">
        <v>5733.9</v>
      </c>
      <c r="O2638" s="248">
        <v>33679.86</v>
      </c>
      <c r="P2638" s="247" t="s">
        <v>1460</v>
      </c>
      <c r="Q2638" s="247" t="s">
        <v>95</v>
      </c>
    </row>
    <row r="2639" spans="1:17" x14ac:dyDescent="0.25">
      <c r="A2639" s="247" t="s">
        <v>646</v>
      </c>
      <c r="B2639" s="247" t="s">
        <v>265</v>
      </c>
      <c r="C2639" s="247" t="s">
        <v>1343</v>
      </c>
      <c r="D2639" s="247" t="s">
        <v>1049</v>
      </c>
      <c r="E2639" s="247" t="s">
        <v>711</v>
      </c>
      <c r="F2639" s="247" t="s">
        <v>2250</v>
      </c>
      <c r="G2639" s="247" t="s">
        <v>1450</v>
      </c>
      <c r="H2639" s="247" t="s">
        <v>392</v>
      </c>
      <c r="I2639" s="247" t="s">
        <v>2251</v>
      </c>
      <c r="J2639" s="247">
        <v>30</v>
      </c>
      <c r="K2639" s="247">
        <v>30</v>
      </c>
      <c r="L2639" s="249" t="s">
        <v>646</v>
      </c>
      <c r="M2639" s="249" t="s">
        <v>933</v>
      </c>
      <c r="N2639" s="248">
        <v>-599.70000000000005</v>
      </c>
      <c r="O2639" s="248">
        <v>-6356.78</v>
      </c>
      <c r="P2639" s="247" t="s">
        <v>1461</v>
      </c>
      <c r="Q2639" s="247" t="s">
        <v>84</v>
      </c>
    </row>
    <row r="2640" spans="1:17" x14ac:dyDescent="0.25">
      <c r="A2640" s="247" t="s">
        <v>646</v>
      </c>
      <c r="B2640" s="247" t="s">
        <v>265</v>
      </c>
      <c r="C2640" s="247" t="s">
        <v>1343</v>
      </c>
      <c r="D2640" s="247" t="s">
        <v>1049</v>
      </c>
      <c r="E2640" s="247" t="s">
        <v>711</v>
      </c>
      <c r="F2640" s="247" t="s">
        <v>2250</v>
      </c>
      <c r="G2640" s="247" t="s">
        <v>1450</v>
      </c>
      <c r="H2640" s="247" t="s">
        <v>392</v>
      </c>
      <c r="I2640" s="247" t="s">
        <v>2251</v>
      </c>
      <c r="J2640" s="247">
        <v>30</v>
      </c>
      <c r="K2640" s="247">
        <v>30</v>
      </c>
      <c r="L2640" s="249" t="s">
        <v>650</v>
      </c>
      <c r="M2640" s="249" t="s">
        <v>933</v>
      </c>
      <c r="N2640" s="248">
        <v>-586.17999999999995</v>
      </c>
      <c r="O2640" s="248">
        <v>-6942.96</v>
      </c>
      <c r="P2640" s="247" t="s">
        <v>1461</v>
      </c>
      <c r="Q2640" s="247" t="s">
        <v>85</v>
      </c>
    </row>
    <row r="2641" spans="1:17" x14ac:dyDescent="0.25">
      <c r="A2641" s="247" t="s">
        <v>646</v>
      </c>
      <c r="B2641" s="247" t="s">
        <v>265</v>
      </c>
      <c r="C2641" s="247" t="s">
        <v>1343</v>
      </c>
      <c r="D2641" s="247" t="s">
        <v>1049</v>
      </c>
      <c r="E2641" s="247" t="s">
        <v>711</v>
      </c>
      <c r="F2641" s="247" t="s">
        <v>2250</v>
      </c>
      <c r="G2641" s="247" t="s">
        <v>1450</v>
      </c>
      <c r="H2641" s="247" t="s">
        <v>392</v>
      </c>
      <c r="I2641" s="247" t="s">
        <v>2251</v>
      </c>
      <c r="J2641" s="247">
        <v>30</v>
      </c>
      <c r="K2641" s="247">
        <v>30</v>
      </c>
      <c r="L2641" s="249" t="s">
        <v>652</v>
      </c>
      <c r="M2641" s="249" t="s">
        <v>933</v>
      </c>
      <c r="N2641" s="248">
        <v>-592.09</v>
      </c>
      <c r="O2641" s="248">
        <v>-7535.05</v>
      </c>
      <c r="P2641" s="247" t="s">
        <v>1461</v>
      </c>
      <c r="Q2641" s="247" t="s">
        <v>86</v>
      </c>
    </row>
    <row r="2642" spans="1:17" x14ac:dyDescent="0.25">
      <c r="A2642" s="247" t="s">
        <v>646</v>
      </c>
      <c r="B2642" s="247" t="s">
        <v>265</v>
      </c>
      <c r="C2642" s="247" t="s">
        <v>1343</v>
      </c>
      <c r="D2642" s="247" t="s">
        <v>1049</v>
      </c>
      <c r="E2642" s="247" t="s">
        <v>711</v>
      </c>
      <c r="F2642" s="247" t="s">
        <v>2250</v>
      </c>
      <c r="G2642" s="247" t="s">
        <v>1450</v>
      </c>
      <c r="H2642" s="247" t="s">
        <v>392</v>
      </c>
      <c r="I2642" s="247" t="s">
        <v>2251</v>
      </c>
      <c r="J2642" s="247">
        <v>30</v>
      </c>
      <c r="K2642" s="247">
        <v>30</v>
      </c>
      <c r="L2642" s="249" t="s">
        <v>789</v>
      </c>
      <c r="M2642" s="249" t="s">
        <v>929</v>
      </c>
      <c r="N2642" s="248">
        <v>-690.77</v>
      </c>
      <c r="O2642" s="248">
        <v>-690.77</v>
      </c>
      <c r="P2642" s="247" t="s">
        <v>1461</v>
      </c>
      <c r="Q2642" s="247" t="s">
        <v>87</v>
      </c>
    </row>
    <row r="2643" spans="1:17" x14ac:dyDescent="0.25">
      <c r="A2643" s="247" t="s">
        <v>646</v>
      </c>
      <c r="B2643" s="247" t="s">
        <v>265</v>
      </c>
      <c r="C2643" s="247" t="s">
        <v>1343</v>
      </c>
      <c r="D2643" s="247" t="s">
        <v>1049</v>
      </c>
      <c r="E2643" s="247" t="s">
        <v>711</v>
      </c>
      <c r="F2643" s="247" t="s">
        <v>2250</v>
      </c>
      <c r="G2643" s="247" t="s">
        <v>1450</v>
      </c>
      <c r="H2643" s="247" t="s">
        <v>392</v>
      </c>
      <c r="I2643" s="247" t="s">
        <v>2251</v>
      </c>
      <c r="J2643" s="247">
        <v>30</v>
      </c>
      <c r="K2643" s="247">
        <v>30</v>
      </c>
      <c r="L2643" s="249" t="s">
        <v>791</v>
      </c>
      <c r="M2643" s="249" t="s">
        <v>929</v>
      </c>
      <c r="N2643" s="248">
        <v>-690.77</v>
      </c>
      <c r="O2643" s="248">
        <v>-1381.54</v>
      </c>
      <c r="P2643" s="247" t="s">
        <v>1461</v>
      </c>
      <c r="Q2643" s="247" t="s">
        <v>88</v>
      </c>
    </row>
    <row r="2644" spans="1:17" x14ac:dyDescent="0.25">
      <c r="A2644" s="247" t="s">
        <v>646</v>
      </c>
      <c r="B2644" s="247" t="s">
        <v>265</v>
      </c>
      <c r="C2644" s="247" t="s">
        <v>1343</v>
      </c>
      <c r="D2644" s="247" t="s">
        <v>1049</v>
      </c>
      <c r="E2644" s="247" t="s">
        <v>711</v>
      </c>
      <c r="F2644" s="247" t="s">
        <v>2250</v>
      </c>
      <c r="G2644" s="247" t="s">
        <v>1450</v>
      </c>
      <c r="H2644" s="247" t="s">
        <v>392</v>
      </c>
      <c r="I2644" s="247" t="s">
        <v>2251</v>
      </c>
      <c r="J2644" s="247">
        <v>30</v>
      </c>
      <c r="K2644" s="247">
        <v>30</v>
      </c>
      <c r="L2644" s="249" t="s">
        <v>935</v>
      </c>
      <c r="M2644" s="249" t="s">
        <v>929</v>
      </c>
      <c r="N2644" s="248">
        <v>-690.77</v>
      </c>
      <c r="O2644" s="248">
        <v>-2072.31</v>
      </c>
      <c r="P2644" s="247" t="s">
        <v>1461</v>
      </c>
      <c r="Q2644" s="247" t="s">
        <v>89</v>
      </c>
    </row>
    <row r="2645" spans="1:17" x14ac:dyDescent="0.25">
      <c r="A2645" s="247" t="s">
        <v>646</v>
      </c>
      <c r="B2645" s="247" t="s">
        <v>265</v>
      </c>
      <c r="C2645" s="247" t="s">
        <v>1343</v>
      </c>
      <c r="D2645" s="247" t="s">
        <v>1049</v>
      </c>
      <c r="E2645" s="247" t="s">
        <v>711</v>
      </c>
      <c r="F2645" s="247" t="s">
        <v>2250</v>
      </c>
      <c r="G2645" s="247" t="s">
        <v>1450</v>
      </c>
      <c r="H2645" s="247" t="s">
        <v>392</v>
      </c>
      <c r="I2645" s="247" t="s">
        <v>2251</v>
      </c>
      <c r="J2645" s="247">
        <v>30</v>
      </c>
      <c r="K2645" s="247">
        <v>30</v>
      </c>
      <c r="L2645" s="249" t="s">
        <v>936</v>
      </c>
      <c r="M2645" s="249" t="s">
        <v>929</v>
      </c>
      <c r="N2645" s="248">
        <v>-690.77</v>
      </c>
      <c r="O2645" s="248">
        <v>-2763.08</v>
      </c>
      <c r="P2645" s="247" t="s">
        <v>1461</v>
      </c>
      <c r="Q2645" s="247" t="s">
        <v>90</v>
      </c>
    </row>
    <row r="2646" spans="1:17" x14ac:dyDescent="0.25">
      <c r="A2646" s="247" t="s">
        <v>646</v>
      </c>
      <c r="B2646" s="247" t="s">
        <v>265</v>
      </c>
      <c r="C2646" s="247" t="s">
        <v>1343</v>
      </c>
      <c r="D2646" s="247" t="s">
        <v>1049</v>
      </c>
      <c r="E2646" s="247" t="s">
        <v>711</v>
      </c>
      <c r="F2646" s="247" t="s">
        <v>2250</v>
      </c>
      <c r="G2646" s="247" t="s">
        <v>1450</v>
      </c>
      <c r="H2646" s="247" t="s">
        <v>392</v>
      </c>
      <c r="I2646" s="247" t="s">
        <v>2251</v>
      </c>
      <c r="J2646" s="247">
        <v>30</v>
      </c>
      <c r="K2646" s="247">
        <v>30</v>
      </c>
      <c r="L2646" s="249" t="s">
        <v>937</v>
      </c>
      <c r="M2646" s="249" t="s">
        <v>929</v>
      </c>
      <c r="N2646" s="248">
        <v>-690.77</v>
      </c>
      <c r="O2646" s="248">
        <v>-3453.85</v>
      </c>
      <c r="P2646" s="247" t="s">
        <v>1461</v>
      </c>
      <c r="Q2646" s="247" t="s">
        <v>91</v>
      </c>
    </row>
    <row r="2647" spans="1:17" x14ac:dyDescent="0.25">
      <c r="A2647" s="247" t="s">
        <v>646</v>
      </c>
      <c r="B2647" s="247" t="s">
        <v>265</v>
      </c>
      <c r="C2647" s="247" t="s">
        <v>1343</v>
      </c>
      <c r="D2647" s="247" t="s">
        <v>1049</v>
      </c>
      <c r="E2647" s="247" t="s">
        <v>711</v>
      </c>
      <c r="F2647" s="247" t="s">
        <v>2250</v>
      </c>
      <c r="G2647" s="247" t="s">
        <v>1450</v>
      </c>
      <c r="H2647" s="247" t="s">
        <v>392</v>
      </c>
      <c r="I2647" s="247" t="s">
        <v>2251</v>
      </c>
      <c r="J2647" s="247">
        <v>30</v>
      </c>
      <c r="K2647" s="247">
        <v>30</v>
      </c>
      <c r="L2647" s="249" t="s">
        <v>938</v>
      </c>
      <c r="M2647" s="249" t="s">
        <v>929</v>
      </c>
      <c r="N2647" s="248">
        <v>-690.77</v>
      </c>
      <c r="O2647" s="248">
        <v>-4144.62</v>
      </c>
      <c r="P2647" s="247" t="s">
        <v>1461</v>
      </c>
      <c r="Q2647" s="247" t="s">
        <v>92</v>
      </c>
    </row>
    <row r="2648" spans="1:17" x14ac:dyDescent="0.25">
      <c r="A2648" s="247" t="s">
        <v>646</v>
      </c>
      <c r="B2648" s="247" t="s">
        <v>265</v>
      </c>
      <c r="C2648" s="247" t="s">
        <v>1343</v>
      </c>
      <c r="D2648" s="247" t="s">
        <v>1049</v>
      </c>
      <c r="E2648" s="247" t="s">
        <v>711</v>
      </c>
      <c r="F2648" s="247" t="s">
        <v>2250</v>
      </c>
      <c r="G2648" s="247" t="s">
        <v>1450</v>
      </c>
      <c r="H2648" s="247" t="s">
        <v>392</v>
      </c>
      <c r="I2648" s="247" t="s">
        <v>2251</v>
      </c>
      <c r="J2648" s="247">
        <v>30</v>
      </c>
      <c r="K2648" s="247">
        <v>30</v>
      </c>
      <c r="L2648" s="249" t="s">
        <v>939</v>
      </c>
      <c r="M2648" s="249" t="s">
        <v>929</v>
      </c>
      <c r="N2648" s="248">
        <v>-690.77</v>
      </c>
      <c r="O2648" s="248">
        <v>-4835.3900000000003</v>
      </c>
      <c r="P2648" s="247" t="s">
        <v>1461</v>
      </c>
      <c r="Q2648" s="247" t="s">
        <v>93</v>
      </c>
    </row>
    <row r="2649" spans="1:17" x14ac:dyDescent="0.25">
      <c r="A2649" s="247" t="s">
        <v>646</v>
      </c>
      <c r="B2649" s="247" t="s">
        <v>265</v>
      </c>
      <c r="C2649" s="247" t="s">
        <v>1343</v>
      </c>
      <c r="D2649" s="247" t="s">
        <v>1049</v>
      </c>
      <c r="E2649" s="247" t="s">
        <v>711</v>
      </c>
      <c r="F2649" s="247" t="s">
        <v>2250</v>
      </c>
      <c r="G2649" s="247" t="s">
        <v>1450</v>
      </c>
      <c r="H2649" s="247" t="s">
        <v>392</v>
      </c>
      <c r="I2649" s="247" t="s">
        <v>2251</v>
      </c>
      <c r="J2649" s="247">
        <v>30</v>
      </c>
      <c r="K2649" s="247">
        <v>30</v>
      </c>
      <c r="L2649" s="249" t="s">
        <v>940</v>
      </c>
      <c r="M2649" s="249" t="s">
        <v>929</v>
      </c>
      <c r="N2649" s="248">
        <v>-690.77</v>
      </c>
      <c r="O2649" s="248">
        <v>-5526.16</v>
      </c>
      <c r="P2649" s="247" t="s">
        <v>1461</v>
      </c>
      <c r="Q2649" s="247" t="s">
        <v>94</v>
      </c>
    </row>
    <row r="2650" spans="1:17" x14ac:dyDescent="0.25">
      <c r="A2650" s="247" t="s">
        <v>646</v>
      </c>
      <c r="B2650" s="247" t="s">
        <v>265</v>
      </c>
      <c r="C2650" s="247" t="s">
        <v>1343</v>
      </c>
      <c r="D2650" s="247" t="s">
        <v>1049</v>
      </c>
      <c r="E2650" s="247" t="s">
        <v>711</v>
      </c>
      <c r="F2650" s="247" t="s">
        <v>2250</v>
      </c>
      <c r="G2650" s="247" t="s">
        <v>1450</v>
      </c>
      <c r="H2650" s="247" t="s">
        <v>392</v>
      </c>
      <c r="I2650" s="247" t="s">
        <v>2251</v>
      </c>
      <c r="J2650" s="247">
        <v>30</v>
      </c>
      <c r="K2650" s="247">
        <v>30</v>
      </c>
      <c r="L2650" s="249" t="s">
        <v>642</v>
      </c>
      <c r="M2650" s="249" t="s">
        <v>929</v>
      </c>
      <c r="N2650" s="248">
        <v>-690.77</v>
      </c>
      <c r="O2650" s="248">
        <v>-6216.93</v>
      </c>
      <c r="P2650" s="247" t="s">
        <v>1461</v>
      </c>
      <c r="Q2650" s="247" t="s">
        <v>95</v>
      </c>
    </row>
    <row r="2651" spans="1:17" x14ac:dyDescent="0.25">
      <c r="A2651" s="247" t="s">
        <v>646</v>
      </c>
      <c r="B2651" s="247" t="s">
        <v>265</v>
      </c>
      <c r="C2651" s="247" t="s">
        <v>1343</v>
      </c>
      <c r="D2651" s="247" t="s">
        <v>1172</v>
      </c>
      <c r="E2651" s="247" t="s">
        <v>711</v>
      </c>
      <c r="F2651" s="247" t="s">
        <v>2252</v>
      </c>
      <c r="G2651" s="247" t="s">
        <v>1364</v>
      </c>
      <c r="H2651" s="247" t="s">
        <v>392</v>
      </c>
      <c r="I2651" s="247" t="s">
        <v>2253</v>
      </c>
      <c r="J2651" s="247">
        <v>33</v>
      </c>
      <c r="K2651" s="247">
        <v>33</v>
      </c>
      <c r="L2651" s="249" t="s">
        <v>646</v>
      </c>
      <c r="M2651" s="249" t="s">
        <v>933</v>
      </c>
      <c r="N2651" s="248">
        <v>5951.54</v>
      </c>
      <c r="O2651" s="248">
        <v>25628.6</v>
      </c>
      <c r="P2651" s="247" t="s">
        <v>1462</v>
      </c>
      <c r="Q2651" s="247" t="s">
        <v>84</v>
      </c>
    </row>
    <row r="2652" spans="1:17" x14ac:dyDescent="0.25">
      <c r="A2652" s="247" t="s">
        <v>646</v>
      </c>
      <c r="B2652" s="247" t="s">
        <v>265</v>
      </c>
      <c r="C2652" s="247" t="s">
        <v>1343</v>
      </c>
      <c r="D2652" s="247" t="s">
        <v>1172</v>
      </c>
      <c r="E2652" s="247" t="s">
        <v>711</v>
      </c>
      <c r="F2652" s="247" t="s">
        <v>2252</v>
      </c>
      <c r="G2652" s="247" t="s">
        <v>1364</v>
      </c>
      <c r="H2652" s="247" t="s">
        <v>392</v>
      </c>
      <c r="I2652" s="247" t="s">
        <v>2253</v>
      </c>
      <c r="J2652" s="247">
        <v>33</v>
      </c>
      <c r="K2652" s="247">
        <v>33</v>
      </c>
      <c r="L2652" s="249" t="s">
        <v>650</v>
      </c>
      <c r="M2652" s="249" t="s">
        <v>933</v>
      </c>
      <c r="N2652" s="248">
        <v>4988.1099999999997</v>
      </c>
      <c r="O2652" s="248">
        <v>30616.71</v>
      </c>
      <c r="P2652" s="247" t="s">
        <v>1462</v>
      </c>
      <c r="Q2652" s="247" t="s">
        <v>85</v>
      </c>
    </row>
    <row r="2653" spans="1:17" x14ac:dyDescent="0.25">
      <c r="A2653" s="247" t="s">
        <v>646</v>
      </c>
      <c r="B2653" s="247" t="s">
        <v>265</v>
      </c>
      <c r="C2653" s="247" t="s">
        <v>1343</v>
      </c>
      <c r="D2653" s="247" t="s">
        <v>1172</v>
      </c>
      <c r="E2653" s="247" t="s">
        <v>711</v>
      </c>
      <c r="F2653" s="247" t="s">
        <v>2252</v>
      </c>
      <c r="G2653" s="247" t="s">
        <v>1364</v>
      </c>
      <c r="H2653" s="247" t="s">
        <v>392</v>
      </c>
      <c r="I2653" s="247" t="s">
        <v>2253</v>
      </c>
      <c r="J2653" s="247">
        <v>33</v>
      </c>
      <c r="K2653" s="247">
        <v>33</v>
      </c>
      <c r="L2653" s="249" t="s">
        <v>652</v>
      </c>
      <c r="M2653" s="249" t="s">
        <v>933</v>
      </c>
      <c r="N2653" s="248">
        <v>7343.92</v>
      </c>
      <c r="O2653" s="248">
        <v>37960.629999999997</v>
      </c>
      <c r="P2653" s="247" t="s">
        <v>1462</v>
      </c>
      <c r="Q2653" s="247" t="s">
        <v>86</v>
      </c>
    </row>
    <row r="2654" spans="1:17" x14ac:dyDescent="0.25">
      <c r="A2654" s="247" t="s">
        <v>646</v>
      </c>
      <c r="B2654" s="247" t="s">
        <v>265</v>
      </c>
      <c r="C2654" s="247" t="s">
        <v>1343</v>
      </c>
      <c r="D2654" s="247" t="s">
        <v>1172</v>
      </c>
      <c r="E2654" s="247" t="s">
        <v>711</v>
      </c>
      <c r="F2654" s="247" t="s">
        <v>2252</v>
      </c>
      <c r="G2654" s="247" t="s">
        <v>1364</v>
      </c>
      <c r="H2654" s="247" t="s">
        <v>392</v>
      </c>
      <c r="I2654" s="247" t="s">
        <v>2253</v>
      </c>
      <c r="J2654" s="247">
        <v>33</v>
      </c>
      <c r="K2654" s="247">
        <v>33</v>
      </c>
      <c r="L2654" s="249" t="s">
        <v>789</v>
      </c>
      <c r="M2654" s="249" t="s">
        <v>929</v>
      </c>
      <c r="N2654" s="248">
        <v>15669.63</v>
      </c>
      <c r="O2654" s="248">
        <v>15669.63</v>
      </c>
      <c r="P2654" s="247" t="s">
        <v>1462</v>
      </c>
      <c r="Q2654" s="247" t="s">
        <v>87</v>
      </c>
    </row>
    <row r="2655" spans="1:17" x14ac:dyDescent="0.25">
      <c r="A2655" s="247" t="s">
        <v>646</v>
      </c>
      <c r="B2655" s="247" t="s">
        <v>265</v>
      </c>
      <c r="C2655" s="247" t="s">
        <v>1343</v>
      </c>
      <c r="D2655" s="247" t="s">
        <v>1172</v>
      </c>
      <c r="E2655" s="247" t="s">
        <v>711</v>
      </c>
      <c r="F2655" s="247" t="s">
        <v>2252</v>
      </c>
      <c r="G2655" s="247" t="s">
        <v>1364</v>
      </c>
      <c r="H2655" s="247" t="s">
        <v>392</v>
      </c>
      <c r="I2655" s="247" t="s">
        <v>2253</v>
      </c>
      <c r="J2655" s="247">
        <v>33</v>
      </c>
      <c r="K2655" s="247">
        <v>33</v>
      </c>
      <c r="L2655" s="249" t="s">
        <v>791</v>
      </c>
      <c r="M2655" s="249" t="s">
        <v>929</v>
      </c>
      <c r="N2655" s="248">
        <v>7361.12</v>
      </c>
      <c r="O2655" s="248">
        <v>23030.75</v>
      </c>
      <c r="P2655" s="247" t="s">
        <v>1462</v>
      </c>
      <c r="Q2655" s="247" t="s">
        <v>88</v>
      </c>
    </row>
    <row r="2656" spans="1:17" x14ac:dyDescent="0.25">
      <c r="A2656" s="247" t="s">
        <v>646</v>
      </c>
      <c r="B2656" s="247" t="s">
        <v>265</v>
      </c>
      <c r="C2656" s="247" t="s">
        <v>1343</v>
      </c>
      <c r="D2656" s="247" t="s">
        <v>1172</v>
      </c>
      <c r="E2656" s="247" t="s">
        <v>711</v>
      </c>
      <c r="F2656" s="247" t="s">
        <v>2252</v>
      </c>
      <c r="G2656" s="247" t="s">
        <v>1364</v>
      </c>
      <c r="H2656" s="247" t="s">
        <v>392</v>
      </c>
      <c r="I2656" s="247" t="s">
        <v>2253</v>
      </c>
      <c r="J2656" s="247">
        <v>33</v>
      </c>
      <c r="K2656" s="247">
        <v>33</v>
      </c>
      <c r="L2656" s="249" t="s">
        <v>935</v>
      </c>
      <c r="M2656" s="249" t="s">
        <v>929</v>
      </c>
      <c r="N2656" s="248">
        <v>2427.4699999999998</v>
      </c>
      <c r="O2656" s="248">
        <v>25458.22</v>
      </c>
      <c r="P2656" s="247" t="s">
        <v>1462</v>
      </c>
      <c r="Q2656" s="247" t="s">
        <v>89</v>
      </c>
    </row>
    <row r="2657" spans="1:17" x14ac:dyDescent="0.25">
      <c r="A2657" s="247" t="s">
        <v>646</v>
      </c>
      <c r="B2657" s="247" t="s">
        <v>265</v>
      </c>
      <c r="C2657" s="247" t="s">
        <v>1343</v>
      </c>
      <c r="D2657" s="247" t="s">
        <v>1172</v>
      </c>
      <c r="E2657" s="247" t="s">
        <v>711</v>
      </c>
      <c r="F2657" s="247" t="s">
        <v>2252</v>
      </c>
      <c r="G2657" s="247" t="s">
        <v>1364</v>
      </c>
      <c r="H2657" s="247" t="s">
        <v>392</v>
      </c>
      <c r="I2657" s="247" t="s">
        <v>2253</v>
      </c>
      <c r="J2657" s="247">
        <v>33</v>
      </c>
      <c r="K2657" s="247">
        <v>33</v>
      </c>
      <c r="L2657" s="249" t="s">
        <v>936</v>
      </c>
      <c r="M2657" s="249" t="s">
        <v>929</v>
      </c>
      <c r="N2657" s="248">
        <v>1131.56</v>
      </c>
      <c r="O2657" s="248">
        <v>26589.78</v>
      </c>
      <c r="P2657" s="247" t="s">
        <v>1462</v>
      </c>
      <c r="Q2657" s="247" t="s">
        <v>90</v>
      </c>
    </row>
    <row r="2658" spans="1:17" x14ac:dyDescent="0.25">
      <c r="A2658" s="247" t="s">
        <v>646</v>
      </c>
      <c r="B2658" s="247" t="s">
        <v>265</v>
      </c>
      <c r="C2658" s="247" t="s">
        <v>1343</v>
      </c>
      <c r="D2658" s="247" t="s">
        <v>1172</v>
      </c>
      <c r="E2658" s="247" t="s">
        <v>711</v>
      </c>
      <c r="F2658" s="247" t="s">
        <v>2252</v>
      </c>
      <c r="G2658" s="247" t="s">
        <v>1364</v>
      </c>
      <c r="H2658" s="247" t="s">
        <v>392</v>
      </c>
      <c r="I2658" s="247" t="s">
        <v>2253</v>
      </c>
      <c r="J2658" s="247">
        <v>33</v>
      </c>
      <c r="K2658" s="247">
        <v>33</v>
      </c>
      <c r="L2658" s="249" t="s">
        <v>937</v>
      </c>
      <c r="M2658" s="249" t="s">
        <v>929</v>
      </c>
      <c r="N2658" s="248">
        <v>3397.84</v>
      </c>
      <c r="O2658" s="248">
        <v>29987.62</v>
      </c>
      <c r="P2658" s="247" t="s">
        <v>1462</v>
      </c>
      <c r="Q2658" s="247" t="s">
        <v>91</v>
      </c>
    </row>
    <row r="2659" spans="1:17" x14ac:dyDescent="0.25">
      <c r="A2659" s="247" t="s">
        <v>646</v>
      </c>
      <c r="B2659" s="247" t="s">
        <v>265</v>
      </c>
      <c r="C2659" s="247" t="s">
        <v>1343</v>
      </c>
      <c r="D2659" s="247" t="s">
        <v>1172</v>
      </c>
      <c r="E2659" s="247" t="s">
        <v>711</v>
      </c>
      <c r="F2659" s="247" t="s">
        <v>2252</v>
      </c>
      <c r="G2659" s="247" t="s">
        <v>1364</v>
      </c>
      <c r="H2659" s="247" t="s">
        <v>392</v>
      </c>
      <c r="I2659" s="247" t="s">
        <v>2253</v>
      </c>
      <c r="J2659" s="247">
        <v>33</v>
      </c>
      <c r="K2659" s="247">
        <v>33</v>
      </c>
      <c r="L2659" s="249" t="s">
        <v>938</v>
      </c>
      <c r="M2659" s="249" t="s">
        <v>929</v>
      </c>
      <c r="N2659" s="248">
        <v>1038.3599999999999</v>
      </c>
      <c r="O2659" s="248">
        <v>31025.98</v>
      </c>
      <c r="P2659" s="247" t="s">
        <v>1462</v>
      </c>
      <c r="Q2659" s="247" t="s">
        <v>92</v>
      </c>
    </row>
    <row r="2660" spans="1:17" x14ac:dyDescent="0.25">
      <c r="A2660" s="247" t="s">
        <v>646</v>
      </c>
      <c r="B2660" s="247" t="s">
        <v>265</v>
      </c>
      <c r="C2660" s="247" t="s">
        <v>1343</v>
      </c>
      <c r="D2660" s="247" t="s">
        <v>1172</v>
      </c>
      <c r="E2660" s="247" t="s">
        <v>711</v>
      </c>
      <c r="F2660" s="247" t="s">
        <v>2252</v>
      </c>
      <c r="G2660" s="247" t="s">
        <v>1364</v>
      </c>
      <c r="H2660" s="247" t="s">
        <v>392</v>
      </c>
      <c r="I2660" s="247" t="s">
        <v>2253</v>
      </c>
      <c r="J2660" s="247">
        <v>33</v>
      </c>
      <c r="K2660" s="247">
        <v>33</v>
      </c>
      <c r="L2660" s="249" t="s">
        <v>939</v>
      </c>
      <c r="M2660" s="249" t="s">
        <v>929</v>
      </c>
      <c r="N2660" s="248">
        <v>1095.0999999999999</v>
      </c>
      <c r="O2660" s="248">
        <v>32121.08</v>
      </c>
      <c r="P2660" s="247" t="s">
        <v>1462</v>
      </c>
      <c r="Q2660" s="247" t="s">
        <v>93</v>
      </c>
    </row>
    <row r="2661" spans="1:17" x14ac:dyDescent="0.25">
      <c r="A2661" s="247" t="s">
        <v>646</v>
      </c>
      <c r="B2661" s="247" t="s">
        <v>265</v>
      </c>
      <c r="C2661" s="247" t="s">
        <v>1343</v>
      </c>
      <c r="D2661" s="247" t="s">
        <v>1172</v>
      </c>
      <c r="E2661" s="247" t="s">
        <v>711</v>
      </c>
      <c r="F2661" s="247" t="s">
        <v>2252</v>
      </c>
      <c r="G2661" s="247" t="s">
        <v>1364</v>
      </c>
      <c r="H2661" s="247" t="s">
        <v>392</v>
      </c>
      <c r="I2661" s="247" t="s">
        <v>2253</v>
      </c>
      <c r="J2661" s="247">
        <v>33</v>
      </c>
      <c r="K2661" s="247">
        <v>33</v>
      </c>
      <c r="L2661" s="249" t="s">
        <v>940</v>
      </c>
      <c r="M2661" s="249" t="s">
        <v>929</v>
      </c>
      <c r="N2661" s="248">
        <v>4540.8100000000004</v>
      </c>
      <c r="O2661" s="248">
        <v>36661.89</v>
      </c>
      <c r="P2661" s="247" t="s">
        <v>1462</v>
      </c>
      <c r="Q2661" s="247" t="s">
        <v>94</v>
      </c>
    </row>
    <row r="2662" spans="1:17" x14ac:dyDescent="0.25">
      <c r="A2662" s="247" t="s">
        <v>646</v>
      </c>
      <c r="B2662" s="247" t="s">
        <v>265</v>
      </c>
      <c r="C2662" s="247" t="s">
        <v>1343</v>
      </c>
      <c r="D2662" s="247" t="s">
        <v>1172</v>
      </c>
      <c r="E2662" s="247" t="s">
        <v>711</v>
      </c>
      <c r="F2662" s="247" t="s">
        <v>2252</v>
      </c>
      <c r="G2662" s="247" t="s">
        <v>1364</v>
      </c>
      <c r="H2662" s="247" t="s">
        <v>392</v>
      </c>
      <c r="I2662" s="247" t="s">
        <v>2253</v>
      </c>
      <c r="J2662" s="247">
        <v>33</v>
      </c>
      <c r="K2662" s="247">
        <v>33</v>
      </c>
      <c r="L2662" s="249" t="s">
        <v>642</v>
      </c>
      <c r="M2662" s="249" t="s">
        <v>929</v>
      </c>
      <c r="N2662" s="248">
        <v>1473.4</v>
      </c>
      <c r="O2662" s="248">
        <v>38135.29</v>
      </c>
      <c r="P2662" s="247" t="s">
        <v>1462</v>
      </c>
      <c r="Q2662" s="247" t="s">
        <v>95</v>
      </c>
    </row>
    <row r="2663" spans="1:17" x14ac:dyDescent="0.25">
      <c r="A2663" s="247" t="s">
        <v>646</v>
      </c>
      <c r="B2663" s="247" t="s">
        <v>265</v>
      </c>
      <c r="C2663" s="247" t="s">
        <v>1343</v>
      </c>
      <c r="D2663" s="247" t="s">
        <v>926</v>
      </c>
      <c r="E2663" s="247" t="s">
        <v>755</v>
      </c>
      <c r="F2663" s="247" t="s">
        <v>2254</v>
      </c>
      <c r="G2663" s="247" t="s">
        <v>1344</v>
      </c>
      <c r="H2663" s="247" t="s">
        <v>402</v>
      </c>
      <c r="I2663" s="247" t="s">
        <v>2255</v>
      </c>
      <c r="J2663" s="247">
        <v>29</v>
      </c>
      <c r="K2663" s="247">
        <v>29</v>
      </c>
      <c r="L2663" s="249" t="s">
        <v>646</v>
      </c>
      <c r="M2663" s="249" t="s">
        <v>933</v>
      </c>
      <c r="N2663" s="248">
        <v>1016.97</v>
      </c>
      <c r="O2663" s="248">
        <v>1016.97</v>
      </c>
      <c r="P2663" s="247" t="s">
        <v>1463</v>
      </c>
      <c r="Q2663" s="247" t="s">
        <v>84</v>
      </c>
    </row>
    <row r="2664" spans="1:17" x14ac:dyDescent="0.25">
      <c r="A2664" s="247" t="s">
        <v>646</v>
      </c>
      <c r="B2664" s="247" t="s">
        <v>265</v>
      </c>
      <c r="C2664" s="247" t="s">
        <v>1343</v>
      </c>
      <c r="D2664" s="247" t="s">
        <v>926</v>
      </c>
      <c r="E2664" s="247" t="s">
        <v>755</v>
      </c>
      <c r="F2664" s="247" t="s">
        <v>2254</v>
      </c>
      <c r="G2664" s="247" t="s">
        <v>1344</v>
      </c>
      <c r="H2664" s="247" t="s">
        <v>402</v>
      </c>
      <c r="I2664" s="247" t="s">
        <v>2255</v>
      </c>
      <c r="J2664" s="247">
        <v>29</v>
      </c>
      <c r="K2664" s="247">
        <v>29</v>
      </c>
      <c r="L2664" s="249" t="s">
        <v>650</v>
      </c>
      <c r="M2664" s="249" t="s">
        <v>933</v>
      </c>
      <c r="N2664" s="248">
        <v>734.48</v>
      </c>
      <c r="O2664" s="248">
        <v>1751.45</v>
      </c>
      <c r="P2664" s="247" t="s">
        <v>1463</v>
      </c>
      <c r="Q2664" s="247" t="s">
        <v>85</v>
      </c>
    </row>
    <row r="2665" spans="1:17" x14ac:dyDescent="0.25">
      <c r="A2665" s="247" t="s">
        <v>646</v>
      </c>
      <c r="B2665" s="247" t="s">
        <v>265</v>
      </c>
      <c r="C2665" s="247" t="s">
        <v>1343</v>
      </c>
      <c r="D2665" s="247" t="s">
        <v>926</v>
      </c>
      <c r="E2665" s="247" t="s">
        <v>755</v>
      </c>
      <c r="F2665" s="247" t="s">
        <v>2254</v>
      </c>
      <c r="G2665" s="247" t="s">
        <v>1344</v>
      </c>
      <c r="H2665" s="247" t="s">
        <v>402</v>
      </c>
      <c r="I2665" s="247" t="s">
        <v>2255</v>
      </c>
      <c r="J2665" s="247">
        <v>29</v>
      </c>
      <c r="K2665" s="247">
        <v>29</v>
      </c>
      <c r="L2665" s="249" t="s">
        <v>652</v>
      </c>
      <c r="M2665" s="249" t="s">
        <v>933</v>
      </c>
      <c r="N2665" s="248">
        <v>2185.42</v>
      </c>
      <c r="O2665" s="248">
        <v>3936.87</v>
      </c>
      <c r="P2665" s="247" t="s">
        <v>1463</v>
      </c>
      <c r="Q2665" s="247" t="s">
        <v>86</v>
      </c>
    </row>
    <row r="2666" spans="1:17" x14ac:dyDescent="0.25">
      <c r="A2666" s="247" t="s">
        <v>646</v>
      </c>
      <c r="B2666" s="247" t="s">
        <v>265</v>
      </c>
      <c r="C2666" s="247" t="s">
        <v>1343</v>
      </c>
      <c r="D2666" s="247" t="s">
        <v>926</v>
      </c>
      <c r="E2666" s="247" t="s">
        <v>755</v>
      </c>
      <c r="F2666" s="247" t="s">
        <v>2254</v>
      </c>
      <c r="G2666" s="247" t="s">
        <v>1344</v>
      </c>
      <c r="H2666" s="247" t="s">
        <v>402</v>
      </c>
      <c r="I2666" s="247" t="s">
        <v>2255</v>
      </c>
      <c r="J2666" s="247">
        <v>29</v>
      </c>
      <c r="K2666" s="247">
        <v>29</v>
      </c>
      <c r="L2666" s="249" t="s">
        <v>789</v>
      </c>
      <c r="M2666" s="249" t="s">
        <v>929</v>
      </c>
      <c r="N2666" s="248">
        <v>1115.1199999999999</v>
      </c>
      <c r="O2666" s="248">
        <v>1115.1199999999999</v>
      </c>
      <c r="P2666" s="247" t="s">
        <v>1463</v>
      </c>
      <c r="Q2666" s="247" t="s">
        <v>87</v>
      </c>
    </row>
    <row r="2667" spans="1:17" x14ac:dyDescent="0.25">
      <c r="A2667" s="247" t="s">
        <v>646</v>
      </c>
      <c r="B2667" s="247" t="s">
        <v>265</v>
      </c>
      <c r="C2667" s="247" t="s">
        <v>1343</v>
      </c>
      <c r="D2667" s="247" t="s">
        <v>926</v>
      </c>
      <c r="E2667" s="247" t="s">
        <v>755</v>
      </c>
      <c r="F2667" s="247" t="s">
        <v>2254</v>
      </c>
      <c r="G2667" s="247" t="s">
        <v>1344</v>
      </c>
      <c r="H2667" s="247" t="s">
        <v>402</v>
      </c>
      <c r="I2667" s="247" t="s">
        <v>2255</v>
      </c>
      <c r="J2667" s="247">
        <v>29</v>
      </c>
      <c r="K2667" s="247">
        <v>29</v>
      </c>
      <c r="L2667" s="249" t="s">
        <v>791</v>
      </c>
      <c r="M2667" s="249" t="s">
        <v>929</v>
      </c>
      <c r="N2667" s="248">
        <v>1115.1199999999999</v>
      </c>
      <c r="O2667" s="248">
        <v>2230.2399999999998</v>
      </c>
      <c r="P2667" s="247" t="s">
        <v>1463</v>
      </c>
      <c r="Q2667" s="247" t="s">
        <v>88</v>
      </c>
    </row>
    <row r="2668" spans="1:17" x14ac:dyDescent="0.25">
      <c r="A2668" s="247" t="s">
        <v>646</v>
      </c>
      <c r="B2668" s="247" t="s">
        <v>265</v>
      </c>
      <c r="C2668" s="247" t="s">
        <v>1343</v>
      </c>
      <c r="D2668" s="247" t="s">
        <v>926</v>
      </c>
      <c r="E2668" s="247" t="s">
        <v>755</v>
      </c>
      <c r="F2668" s="247" t="s">
        <v>2254</v>
      </c>
      <c r="G2668" s="247" t="s">
        <v>1344</v>
      </c>
      <c r="H2668" s="247" t="s">
        <v>402</v>
      </c>
      <c r="I2668" s="247" t="s">
        <v>2255</v>
      </c>
      <c r="J2668" s="247">
        <v>29</v>
      </c>
      <c r="K2668" s="247">
        <v>29</v>
      </c>
      <c r="L2668" s="249" t="s">
        <v>935</v>
      </c>
      <c r="M2668" s="249" t="s">
        <v>929</v>
      </c>
      <c r="N2668" s="248">
        <v>1115.1199999999999</v>
      </c>
      <c r="O2668" s="248">
        <v>3345.36</v>
      </c>
      <c r="P2668" s="247" t="s">
        <v>1463</v>
      </c>
      <c r="Q2668" s="247" t="s">
        <v>89</v>
      </c>
    </row>
    <row r="2669" spans="1:17" x14ac:dyDescent="0.25">
      <c r="A2669" s="247" t="s">
        <v>646</v>
      </c>
      <c r="B2669" s="247" t="s">
        <v>265</v>
      </c>
      <c r="C2669" s="247" t="s">
        <v>1343</v>
      </c>
      <c r="D2669" s="247" t="s">
        <v>926</v>
      </c>
      <c r="E2669" s="247" t="s">
        <v>755</v>
      </c>
      <c r="F2669" s="247" t="s">
        <v>2254</v>
      </c>
      <c r="G2669" s="247" t="s">
        <v>1344</v>
      </c>
      <c r="H2669" s="247" t="s">
        <v>402</v>
      </c>
      <c r="I2669" s="247" t="s">
        <v>2255</v>
      </c>
      <c r="J2669" s="247">
        <v>29</v>
      </c>
      <c r="K2669" s="247">
        <v>29</v>
      </c>
      <c r="L2669" s="249" t="s">
        <v>936</v>
      </c>
      <c r="M2669" s="249" t="s">
        <v>929</v>
      </c>
      <c r="N2669" s="248">
        <v>1115.1199999999999</v>
      </c>
      <c r="O2669" s="248">
        <v>4460.4799999999996</v>
      </c>
      <c r="P2669" s="247" t="s">
        <v>1463</v>
      </c>
      <c r="Q2669" s="247" t="s">
        <v>90</v>
      </c>
    </row>
    <row r="2670" spans="1:17" x14ac:dyDescent="0.25">
      <c r="A2670" s="247" t="s">
        <v>646</v>
      </c>
      <c r="B2670" s="247" t="s">
        <v>265</v>
      </c>
      <c r="C2670" s="247" t="s">
        <v>1343</v>
      </c>
      <c r="D2670" s="247" t="s">
        <v>926</v>
      </c>
      <c r="E2670" s="247" t="s">
        <v>755</v>
      </c>
      <c r="F2670" s="247" t="s">
        <v>2254</v>
      </c>
      <c r="G2670" s="247" t="s">
        <v>1344</v>
      </c>
      <c r="H2670" s="247" t="s">
        <v>402</v>
      </c>
      <c r="I2670" s="247" t="s">
        <v>2255</v>
      </c>
      <c r="J2670" s="247">
        <v>29</v>
      </c>
      <c r="K2670" s="247">
        <v>29</v>
      </c>
      <c r="L2670" s="249" t="s">
        <v>937</v>
      </c>
      <c r="M2670" s="249" t="s">
        <v>929</v>
      </c>
      <c r="N2670" s="248">
        <v>1115.1199999999999</v>
      </c>
      <c r="O2670" s="248">
        <v>5575.6</v>
      </c>
      <c r="P2670" s="247" t="s">
        <v>1463</v>
      </c>
      <c r="Q2670" s="247" t="s">
        <v>91</v>
      </c>
    </row>
    <row r="2671" spans="1:17" x14ac:dyDescent="0.25">
      <c r="A2671" s="247" t="s">
        <v>646</v>
      </c>
      <c r="B2671" s="247" t="s">
        <v>265</v>
      </c>
      <c r="C2671" s="247" t="s">
        <v>1343</v>
      </c>
      <c r="D2671" s="247" t="s">
        <v>926</v>
      </c>
      <c r="E2671" s="247" t="s">
        <v>755</v>
      </c>
      <c r="F2671" s="247" t="s">
        <v>2254</v>
      </c>
      <c r="G2671" s="247" t="s">
        <v>1344</v>
      </c>
      <c r="H2671" s="247" t="s">
        <v>402</v>
      </c>
      <c r="I2671" s="247" t="s">
        <v>2255</v>
      </c>
      <c r="J2671" s="247">
        <v>29</v>
      </c>
      <c r="K2671" s="247">
        <v>29</v>
      </c>
      <c r="L2671" s="249" t="s">
        <v>938</v>
      </c>
      <c r="M2671" s="249" t="s">
        <v>929</v>
      </c>
      <c r="N2671" s="248">
        <v>1115.1199999999999</v>
      </c>
      <c r="O2671" s="248">
        <v>6690.72</v>
      </c>
      <c r="P2671" s="247" t="s">
        <v>1463</v>
      </c>
      <c r="Q2671" s="247" t="s">
        <v>92</v>
      </c>
    </row>
    <row r="2672" spans="1:17" x14ac:dyDescent="0.25">
      <c r="A2672" s="247" t="s">
        <v>646</v>
      </c>
      <c r="B2672" s="247" t="s">
        <v>265</v>
      </c>
      <c r="C2672" s="247" t="s">
        <v>1343</v>
      </c>
      <c r="D2672" s="247" t="s">
        <v>926</v>
      </c>
      <c r="E2672" s="247" t="s">
        <v>755</v>
      </c>
      <c r="F2672" s="247" t="s">
        <v>2254</v>
      </c>
      <c r="G2672" s="247" t="s">
        <v>1344</v>
      </c>
      <c r="H2672" s="247" t="s">
        <v>402</v>
      </c>
      <c r="I2672" s="247" t="s">
        <v>2255</v>
      </c>
      <c r="J2672" s="247">
        <v>29</v>
      </c>
      <c r="K2672" s="247">
        <v>29</v>
      </c>
      <c r="L2672" s="249" t="s">
        <v>939</v>
      </c>
      <c r="M2672" s="249" t="s">
        <v>929</v>
      </c>
      <c r="N2672" s="248">
        <v>1115.1199999999999</v>
      </c>
      <c r="O2672" s="248">
        <v>7805.84</v>
      </c>
      <c r="P2672" s="247" t="s">
        <v>1463</v>
      </c>
      <c r="Q2672" s="247" t="s">
        <v>93</v>
      </c>
    </row>
    <row r="2673" spans="1:17" x14ac:dyDescent="0.25">
      <c r="A2673" s="247" t="s">
        <v>646</v>
      </c>
      <c r="B2673" s="247" t="s">
        <v>265</v>
      </c>
      <c r="C2673" s="247" t="s">
        <v>1343</v>
      </c>
      <c r="D2673" s="247" t="s">
        <v>926</v>
      </c>
      <c r="E2673" s="247" t="s">
        <v>755</v>
      </c>
      <c r="F2673" s="247" t="s">
        <v>2254</v>
      </c>
      <c r="G2673" s="247" t="s">
        <v>1344</v>
      </c>
      <c r="H2673" s="247" t="s">
        <v>402</v>
      </c>
      <c r="I2673" s="247" t="s">
        <v>2255</v>
      </c>
      <c r="J2673" s="247">
        <v>29</v>
      </c>
      <c r="K2673" s="247">
        <v>29</v>
      </c>
      <c r="L2673" s="249" t="s">
        <v>940</v>
      </c>
      <c r="M2673" s="249" t="s">
        <v>929</v>
      </c>
      <c r="N2673" s="248">
        <v>1115.1199999999999</v>
      </c>
      <c r="O2673" s="248">
        <v>8920.9599999999991</v>
      </c>
      <c r="P2673" s="247" t="s">
        <v>1463</v>
      </c>
      <c r="Q2673" s="247" t="s">
        <v>94</v>
      </c>
    </row>
    <row r="2674" spans="1:17" x14ac:dyDescent="0.25">
      <c r="A2674" s="247" t="s">
        <v>646</v>
      </c>
      <c r="B2674" s="247" t="s">
        <v>265</v>
      </c>
      <c r="C2674" s="247" t="s">
        <v>1343</v>
      </c>
      <c r="D2674" s="247" t="s">
        <v>926</v>
      </c>
      <c r="E2674" s="247" t="s">
        <v>755</v>
      </c>
      <c r="F2674" s="247" t="s">
        <v>2254</v>
      </c>
      <c r="G2674" s="247" t="s">
        <v>1344</v>
      </c>
      <c r="H2674" s="247" t="s">
        <v>402</v>
      </c>
      <c r="I2674" s="247" t="s">
        <v>2255</v>
      </c>
      <c r="J2674" s="247">
        <v>29</v>
      </c>
      <c r="K2674" s="247">
        <v>29</v>
      </c>
      <c r="L2674" s="249" t="s">
        <v>642</v>
      </c>
      <c r="M2674" s="249" t="s">
        <v>929</v>
      </c>
      <c r="N2674" s="248">
        <v>1115.1199999999999</v>
      </c>
      <c r="O2674" s="248">
        <v>10036.08</v>
      </c>
      <c r="P2674" s="247" t="s">
        <v>1463</v>
      </c>
      <c r="Q2674" s="247" t="s">
        <v>95</v>
      </c>
    </row>
    <row r="2675" spans="1:17" x14ac:dyDescent="0.25">
      <c r="A2675" s="247" t="s">
        <v>646</v>
      </c>
      <c r="B2675" s="247" t="s">
        <v>265</v>
      </c>
      <c r="C2675" s="247" t="s">
        <v>1343</v>
      </c>
      <c r="D2675" s="247" t="s">
        <v>711</v>
      </c>
      <c r="E2675" s="247" t="s">
        <v>755</v>
      </c>
      <c r="F2675" s="247" t="s">
        <v>2256</v>
      </c>
      <c r="G2675" s="247" t="s">
        <v>1346</v>
      </c>
      <c r="H2675" s="247" t="s">
        <v>402</v>
      </c>
      <c r="I2675" s="247" t="s">
        <v>2257</v>
      </c>
      <c r="J2675" s="247">
        <v>30</v>
      </c>
      <c r="K2675" s="247">
        <v>30</v>
      </c>
      <c r="L2675" s="249" t="s">
        <v>646</v>
      </c>
      <c r="M2675" s="249" t="s">
        <v>933</v>
      </c>
      <c r="N2675" s="248">
        <v>245.87</v>
      </c>
      <c r="O2675" s="248">
        <v>245.87</v>
      </c>
      <c r="P2675" s="247" t="s">
        <v>1464</v>
      </c>
      <c r="Q2675" s="247" t="s">
        <v>84</v>
      </c>
    </row>
    <row r="2676" spans="1:17" x14ac:dyDescent="0.25">
      <c r="A2676" s="247" t="s">
        <v>646</v>
      </c>
      <c r="B2676" s="247" t="s">
        <v>265</v>
      </c>
      <c r="C2676" s="247" t="s">
        <v>1343</v>
      </c>
      <c r="D2676" s="247" t="s">
        <v>711</v>
      </c>
      <c r="E2676" s="247" t="s">
        <v>755</v>
      </c>
      <c r="F2676" s="247" t="s">
        <v>2256</v>
      </c>
      <c r="G2676" s="247" t="s">
        <v>1346</v>
      </c>
      <c r="H2676" s="247" t="s">
        <v>402</v>
      </c>
      <c r="I2676" s="247" t="s">
        <v>2257</v>
      </c>
      <c r="J2676" s="247">
        <v>30</v>
      </c>
      <c r="K2676" s="247">
        <v>30</v>
      </c>
      <c r="L2676" s="249" t="s">
        <v>650</v>
      </c>
      <c r="M2676" s="249" t="s">
        <v>933</v>
      </c>
      <c r="N2676" s="248">
        <v>156.31</v>
      </c>
      <c r="O2676" s="248">
        <v>402.18</v>
      </c>
      <c r="P2676" s="247" t="s">
        <v>1464</v>
      </c>
      <c r="Q2676" s="247" t="s">
        <v>85</v>
      </c>
    </row>
    <row r="2677" spans="1:17" x14ac:dyDescent="0.25">
      <c r="A2677" s="247" t="s">
        <v>646</v>
      </c>
      <c r="B2677" s="247" t="s">
        <v>265</v>
      </c>
      <c r="C2677" s="247" t="s">
        <v>1343</v>
      </c>
      <c r="D2677" s="247" t="s">
        <v>711</v>
      </c>
      <c r="E2677" s="247" t="s">
        <v>755</v>
      </c>
      <c r="F2677" s="247" t="s">
        <v>2256</v>
      </c>
      <c r="G2677" s="247" t="s">
        <v>1346</v>
      </c>
      <c r="H2677" s="247" t="s">
        <v>402</v>
      </c>
      <c r="I2677" s="247" t="s">
        <v>2257</v>
      </c>
      <c r="J2677" s="247">
        <v>30</v>
      </c>
      <c r="K2677" s="247">
        <v>30</v>
      </c>
      <c r="L2677" s="249" t="s">
        <v>652</v>
      </c>
      <c r="M2677" s="249" t="s">
        <v>933</v>
      </c>
      <c r="N2677" s="248">
        <v>152.47999999999999</v>
      </c>
      <c r="O2677" s="248">
        <v>554.66</v>
      </c>
      <c r="P2677" s="247" t="s">
        <v>1464</v>
      </c>
      <c r="Q2677" s="247" t="s">
        <v>86</v>
      </c>
    </row>
    <row r="2678" spans="1:17" x14ac:dyDescent="0.25">
      <c r="A2678" s="247" t="s">
        <v>646</v>
      </c>
      <c r="B2678" s="247" t="s">
        <v>265</v>
      </c>
      <c r="C2678" s="247" t="s">
        <v>1343</v>
      </c>
      <c r="D2678" s="247" t="s">
        <v>711</v>
      </c>
      <c r="E2678" s="247" t="s">
        <v>755</v>
      </c>
      <c r="F2678" s="247" t="s">
        <v>2256</v>
      </c>
      <c r="G2678" s="247" t="s">
        <v>1346</v>
      </c>
      <c r="H2678" s="247" t="s">
        <v>402</v>
      </c>
      <c r="I2678" s="247" t="s">
        <v>2257</v>
      </c>
      <c r="J2678" s="247">
        <v>30</v>
      </c>
      <c r="K2678" s="247">
        <v>30</v>
      </c>
      <c r="L2678" s="249" t="s">
        <v>789</v>
      </c>
      <c r="M2678" s="249" t="s">
        <v>929</v>
      </c>
      <c r="N2678" s="248">
        <v>160.47</v>
      </c>
      <c r="O2678" s="248">
        <v>160.47</v>
      </c>
      <c r="P2678" s="247" t="s">
        <v>1464</v>
      </c>
      <c r="Q2678" s="247" t="s">
        <v>87</v>
      </c>
    </row>
    <row r="2679" spans="1:17" x14ac:dyDescent="0.25">
      <c r="A2679" s="247" t="s">
        <v>646</v>
      </c>
      <c r="B2679" s="247" t="s">
        <v>265</v>
      </c>
      <c r="C2679" s="247" t="s">
        <v>1343</v>
      </c>
      <c r="D2679" s="247" t="s">
        <v>711</v>
      </c>
      <c r="E2679" s="247" t="s">
        <v>755</v>
      </c>
      <c r="F2679" s="247" t="s">
        <v>2256</v>
      </c>
      <c r="G2679" s="247" t="s">
        <v>1346</v>
      </c>
      <c r="H2679" s="247" t="s">
        <v>402</v>
      </c>
      <c r="I2679" s="247" t="s">
        <v>2257</v>
      </c>
      <c r="J2679" s="247">
        <v>30</v>
      </c>
      <c r="K2679" s="247">
        <v>30</v>
      </c>
      <c r="L2679" s="249" t="s">
        <v>791</v>
      </c>
      <c r="M2679" s="249" t="s">
        <v>929</v>
      </c>
      <c r="N2679" s="248">
        <v>152.91999999999999</v>
      </c>
      <c r="O2679" s="248">
        <v>313.39</v>
      </c>
      <c r="P2679" s="247" t="s">
        <v>1464</v>
      </c>
      <c r="Q2679" s="247" t="s">
        <v>88</v>
      </c>
    </row>
    <row r="2680" spans="1:17" x14ac:dyDescent="0.25">
      <c r="A2680" s="247" t="s">
        <v>646</v>
      </c>
      <c r="B2680" s="247" t="s">
        <v>265</v>
      </c>
      <c r="C2680" s="247" t="s">
        <v>1343</v>
      </c>
      <c r="D2680" s="247" t="s">
        <v>711</v>
      </c>
      <c r="E2680" s="247" t="s">
        <v>755</v>
      </c>
      <c r="F2680" s="247" t="s">
        <v>2256</v>
      </c>
      <c r="G2680" s="247" t="s">
        <v>1346</v>
      </c>
      <c r="H2680" s="247" t="s">
        <v>402</v>
      </c>
      <c r="I2680" s="247" t="s">
        <v>2257</v>
      </c>
      <c r="J2680" s="247">
        <v>30</v>
      </c>
      <c r="K2680" s="247">
        <v>30</v>
      </c>
      <c r="L2680" s="249" t="s">
        <v>935</v>
      </c>
      <c r="M2680" s="249" t="s">
        <v>929</v>
      </c>
      <c r="N2680" s="248">
        <v>151.83000000000001</v>
      </c>
      <c r="O2680" s="248">
        <v>465.22</v>
      </c>
      <c r="P2680" s="247" t="s">
        <v>1464</v>
      </c>
      <c r="Q2680" s="247" t="s">
        <v>89</v>
      </c>
    </row>
    <row r="2681" spans="1:17" x14ac:dyDescent="0.25">
      <c r="A2681" s="247" t="s">
        <v>646</v>
      </c>
      <c r="B2681" s="247" t="s">
        <v>265</v>
      </c>
      <c r="C2681" s="247" t="s">
        <v>1343</v>
      </c>
      <c r="D2681" s="247" t="s">
        <v>711</v>
      </c>
      <c r="E2681" s="247" t="s">
        <v>755</v>
      </c>
      <c r="F2681" s="247" t="s">
        <v>2256</v>
      </c>
      <c r="G2681" s="247" t="s">
        <v>1346</v>
      </c>
      <c r="H2681" s="247" t="s">
        <v>402</v>
      </c>
      <c r="I2681" s="247" t="s">
        <v>2257</v>
      </c>
      <c r="J2681" s="247">
        <v>30</v>
      </c>
      <c r="K2681" s="247">
        <v>30</v>
      </c>
      <c r="L2681" s="249" t="s">
        <v>936</v>
      </c>
      <c r="M2681" s="249" t="s">
        <v>929</v>
      </c>
      <c r="N2681" s="248">
        <v>293.72000000000003</v>
      </c>
      <c r="O2681" s="248">
        <v>758.94</v>
      </c>
      <c r="P2681" s="247" t="s">
        <v>1464</v>
      </c>
      <c r="Q2681" s="247" t="s">
        <v>90</v>
      </c>
    </row>
    <row r="2682" spans="1:17" x14ac:dyDescent="0.25">
      <c r="A2682" s="247" t="s">
        <v>646</v>
      </c>
      <c r="B2682" s="247" t="s">
        <v>265</v>
      </c>
      <c r="C2682" s="247" t="s">
        <v>1343</v>
      </c>
      <c r="D2682" s="247" t="s">
        <v>711</v>
      </c>
      <c r="E2682" s="247" t="s">
        <v>755</v>
      </c>
      <c r="F2682" s="247" t="s">
        <v>2256</v>
      </c>
      <c r="G2682" s="247" t="s">
        <v>1346</v>
      </c>
      <c r="H2682" s="247" t="s">
        <v>402</v>
      </c>
      <c r="I2682" s="247" t="s">
        <v>2257</v>
      </c>
      <c r="J2682" s="247">
        <v>30</v>
      </c>
      <c r="K2682" s="247">
        <v>30</v>
      </c>
      <c r="L2682" s="249" t="s">
        <v>937</v>
      </c>
      <c r="M2682" s="249" t="s">
        <v>929</v>
      </c>
      <c r="N2682" s="248">
        <v>176.94</v>
      </c>
      <c r="O2682" s="248">
        <v>935.88</v>
      </c>
      <c r="P2682" s="247" t="s">
        <v>1464</v>
      </c>
      <c r="Q2682" s="247" t="s">
        <v>91</v>
      </c>
    </row>
    <row r="2683" spans="1:17" x14ac:dyDescent="0.25">
      <c r="A2683" s="247" t="s">
        <v>646</v>
      </c>
      <c r="B2683" s="247" t="s">
        <v>265</v>
      </c>
      <c r="C2683" s="247" t="s">
        <v>1343</v>
      </c>
      <c r="D2683" s="247" t="s">
        <v>711</v>
      </c>
      <c r="E2683" s="247" t="s">
        <v>755</v>
      </c>
      <c r="F2683" s="247" t="s">
        <v>2256</v>
      </c>
      <c r="G2683" s="247" t="s">
        <v>1346</v>
      </c>
      <c r="H2683" s="247" t="s">
        <v>402</v>
      </c>
      <c r="I2683" s="247" t="s">
        <v>2257</v>
      </c>
      <c r="J2683" s="247">
        <v>30</v>
      </c>
      <c r="K2683" s="247">
        <v>30</v>
      </c>
      <c r="L2683" s="249" t="s">
        <v>938</v>
      </c>
      <c r="M2683" s="249" t="s">
        <v>929</v>
      </c>
      <c r="N2683" s="248">
        <v>170.84</v>
      </c>
      <c r="O2683" s="248">
        <v>1106.72</v>
      </c>
      <c r="P2683" s="247" t="s">
        <v>1464</v>
      </c>
      <c r="Q2683" s="247" t="s">
        <v>92</v>
      </c>
    </row>
    <row r="2684" spans="1:17" x14ac:dyDescent="0.25">
      <c r="A2684" s="247" t="s">
        <v>646</v>
      </c>
      <c r="B2684" s="247" t="s">
        <v>265</v>
      </c>
      <c r="C2684" s="247" t="s">
        <v>1343</v>
      </c>
      <c r="D2684" s="247" t="s">
        <v>711</v>
      </c>
      <c r="E2684" s="247" t="s">
        <v>755</v>
      </c>
      <c r="F2684" s="247" t="s">
        <v>2256</v>
      </c>
      <c r="G2684" s="247" t="s">
        <v>1346</v>
      </c>
      <c r="H2684" s="247" t="s">
        <v>402</v>
      </c>
      <c r="I2684" s="247" t="s">
        <v>2257</v>
      </c>
      <c r="J2684" s="247">
        <v>30</v>
      </c>
      <c r="K2684" s="247">
        <v>30</v>
      </c>
      <c r="L2684" s="249" t="s">
        <v>939</v>
      </c>
      <c r="M2684" s="249" t="s">
        <v>929</v>
      </c>
      <c r="N2684" s="248">
        <v>372.19</v>
      </c>
      <c r="O2684" s="248">
        <v>1478.91</v>
      </c>
      <c r="P2684" s="247" t="s">
        <v>1464</v>
      </c>
      <c r="Q2684" s="247" t="s">
        <v>93</v>
      </c>
    </row>
    <row r="2685" spans="1:17" x14ac:dyDescent="0.25">
      <c r="A2685" s="247" t="s">
        <v>646</v>
      </c>
      <c r="B2685" s="247" t="s">
        <v>265</v>
      </c>
      <c r="C2685" s="247" t="s">
        <v>1343</v>
      </c>
      <c r="D2685" s="247" t="s">
        <v>711</v>
      </c>
      <c r="E2685" s="247" t="s">
        <v>755</v>
      </c>
      <c r="F2685" s="247" t="s">
        <v>2256</v>
      </c>
      <c r="G2685" s="247" t="s">
        <v>1346</v>
      </c>
      <c r="H2685" s="247" t="s">
        <v>402</v>
      </c>
      <c r="I2685" s="247" t="s">
        <v>2257</v>
      </c>
      <c r="J2685" s="247">
        <v>30</v>
      </c>
      <c r="K2685" s="247">
        <v>30</v>
      </c>
      <c r="L2685" s="249" t="s">
        <v>940</v>
      </c>
      <c r="M2685" s="249" t="s">
        <v>929</v>
      </c>
      <c r="N2685" s="248">
        <v>353.74</v>
      </c>
      <c r="O2685" s="248">
        <v>1832.65</v>
      </c>
      <c r="P2685" s="247" t="s">
        <v>1464</v>
      </c>
      <c r="Q2685" s="247" t="s">
        <v>94</v>
      </c>
    </row>
    <row r="2686" spans="1:17" x14ac:dyDescent="0.25">
      <c r="A2686" s="247" t="s">
        <v>646</v>
      </c>
      <c r="B2686" s="247" t="s">
        <v>265</v>
      </c>
      <c r="C2686" s="247" t="s">
        <v>1343</v>
      </c>
      <c r="D2686" s="247" t="s">
        <v>711</v>
      </c>
      <c r="E2686" s="247" t="s">
        <v>755</v>
      </c>
      <c r="F2686" s="247" t="s">
        <v>2256</v>
      </c>
      <c r="G2686" s="247" t="s">
        <v>1346</v>
      </c>
      <c r="H2686" s="247" t="s">
        <v>402</v>
      </c>
      <c r="I2686" s="247" t="s">
        <v>2257</v>
      </c>
      <c r="J2686" s="247">
        <v>30</v>
      </c>
      <c r="K2686" s="247">
        <v>30</v>
      </c>
      <c r="L2686" s="249" t="s">
        <v>642</v>
      </c>
      <c r="M2686" s="249" t="s">
        <v>929</v>
      </c>
      <c r="N2686" s="248">
        <v>504.44</v>
      </c>
      <c r="O2686" s="248">
        <v>2337.09</v>
      </c>
      <c r="P2686" s="247" t="s">
        <v>1464</v>
      </c>
      <c r="Q2686" s="247" t="s">
        <v>95</v>
      </c>
    </row>
    <row r="2687" spans="1:17" x14ac:dyDescent="0.25">
      <c r="A2687" s="247" t="s">
        <v>646</v>
      </c>
      <c r="B2687" s="247" t="s">
        <v>265</v>
      </c>
      <c r="C2687" s="247" t="s">
        <v>1343</v>
      </c>
      <c r="D2687" s="247" t="s">
        <v>755</v>
      </c>
      <c r="E2687" s="247" t="s">
        <v>755</v>
      </c>
      <c r="F2687" s="247" t="s">
        <v>2258</v>
      </c>
      <c r="G2687" s="247" t="s">
        <v>1388</v>
      </c>
      <c r="H2687" s="247" t="s">
        <v>402</v>
      </c>
      <c r="I2687" s="247" t="s">
        <v>2259</v>
      </c>
      <c r="J2687" s="247">
        <v>30</v>
      </c>
      <c r="K2687" s="247">
        <v>30</v>
      </c>
      <c r="L2687" s="249" t="s">
        <v>646</v>
      </c>
      <c r="M2687" s="249" t="s">
        <v>933</v>
      </c>
      <c r="N2687" s="248">
        <v>43</v>
      </c>
      <c r="O2687" s="248">
        <v>43</v>
      </c>
      <c r="P2687" s="247" t="s">
        <v>1465</v>
      </c>
      <c r="Q2687" s="247" t="s">
        <v>84</v>
      </c>
    </row>
    <row r="2688" spans="1:17" x14ac:dyDescent="0.25">
      <c r="A2688" s="247" t="s">
        <v>646</v>
      </c>
      <c r="B2688" s="247" t="s">
        <v>265</v>
      </c>
      <c r="C2688" s="247" t="s">
        <v>1343</v>
      </c>
      <c r="D2688" s="247" t="s">
        <v>755</v>
      </c>
      <c r="E2688" s="247" t="s">
        <v>755</v>
      </c>
      <c r="F2688" s="247" t="s">
        <v>2258</v>
      </c>
      <c r="G2688" s="247" t="s">
        <v>1388</v>
      </c>
      <c r="H2688" s="247" t="s">
        <v>402</v>
      </c>
      <c r="I2688" s="247" t="s">
        <v>2259</v>
      </c>
      <c r="J2688" s="247">
        <v>30</v>
      </c>
      <c r="K2688" s="247">
        <v>30</v>
      </c>
      <c r="L2688" s="249" t="s">
        <v>650</v>
      </c>
      <c r="M2688" s="249" t="s">
        <v>933</v>
      </c>
      <c r="N2688" s="248">
        <v>43</v>
      </c>
      <c r="O2688" s="248">
        <v>86</v>
      </c>
      <c r="P2688" s="247" t="s">
        <v>1465</v>
      </c>
      <c r="Q2688" s="247" t="s">
        <v>85</v>
      </c>
    </row>
    <row r="2689" spans="1:17" x14ac:dyDescent="0.25">
      <c r="A2689" s="247" t="s">
        <v>646</v>
      </c>
      <c r="B2689" s="247" t="s">
        <v>265</v>
      </c>
      <c r="C2689" s="247" t="s">
        <v>1343</v>
      </c>
      <c r="D2689" s="247" t="s">
        <v>755</v>
      </c>
      <c r="E2689" s="247" t="s">
        <v>755</v>
      </c>
      <c r="F2689" s="247" t="s">
        <v>2258</v>
      </c>
      <c r="G2689" s="247" t="s">
        <v>1388</v>
      </c>
      <c r="H2689" s="247" t="s">
        <v>402</v>
      </c>
      <c r="I2689" s="247" t="s">
        <v>2259</v>
      </c>
      <c r="J2689" s="247">
        <v>30</v>
      </c>
      <c r="K2689" s="247">
        <v>30</v>
      </c>
      <c r="L2689" s="249" t="s">
        <v>652</v>
      </c>
      <c r="M2689" s="249" t="s">
        <v>933</v>
      </c>
      <c r="N2689" s="248">
        <v>43</v>
      </c>
      <c r="O2689" s="248">
        <v>129</v>
      </c>
      <c r="P2689" s="247" t="s">
        <v>1465</v>
      </c>
      <c r="Q2689" s="247" t="s">
        <v>86</v>
      </c>
    </row>
    <row r="2690" spans="1:17" x14ac:dyDescent="0.25">
      <c r="A2690" s="247" t="s">
        <v>646</v>
      </c>
      <c r="B2690" s="247" t="s">
        <v>265</v>
      </c>
      <c r="C2690" s="247" t="s">
        <v>1343</v>
      </c>
      <c r="D2690" s="247" t="s">
        <v>755</v>
      </c>
      <c r="E2690" s="247" t="s">
        <v>755</v>
      </c>
      <c r="F2690" s="247" t="s">
        <v>2258</v>
      </c>
      <c r="G2690" s="247" t="s">
        <v>1388</v>
      </c>
      <c r="H2690" s="247" t="s">
        <v>402</v>
      </c>
      <c r="I2690" s="247" t="s">
        <v>2259</v>
      </c>
      <c r="J2690" s="247">
        <v>30</v>
      </c>
      <c r="K2690" s="247">
        <v>30</v>
      </c>
      <c r="L2690" s="249" t="s">
        <v>789</v>
      </c>
      <c r="M2690" s="249" t="s">
        <v>929</v>
      </c>
      <c r="N2690" s="248">
        <v>43</v>
      </c>
      <c r="O2690" s="248">
        <v>43</v>
      </c>
      <c r="P2690" s="247" t="s">
        <v>1465</v>
      </c>
      <c r="Q2690" s="247" t="s">
        <v>87</v>
      </c>
    </row>
    <row r="2691" spans="1:17" x14ac:dyDescent="0.25">
      <c r="A2691" s="247" t="s">
        <v>646</v>
      </c>
      <c r="B2691" s="247" t="s">
        <v>265</v>
      </c>
      <c r="C2691" s="247" t="s">
        <v>1343</v>
      </c>
      <c r="D2691" s="247" t="s">
        <v>755</v>
      </c>
      <c r="E2691" s="247" t="s">
        <v>755</v>
      </c>
      <c r="F2691" s="247" t="s">
        <v>2258</v>
      </c>
      <c r="G2691" s="247" t="s">
        <v>1388</v>
      </c>
      <c r="H2691" s="247" t="s">
        <v>402</v>
      </c>
      <c r="I2691" s="247" t="s">
        <v>2259</v>
      </c>
      <c r="J2691" s="247">
        <v>30</v>
      </c>
      <c r="K2691" s="247">
        <v>30</v>
      </c>
      <c r="L2691" s="249" t="s">
        <v>791</v>
      </c>
      <c r="M2691" s="249" t="s">
        <v>929</v>
      </c>
      <c r="N2691" s="248">
        <v>43</v>
      </c>
      <c r="O2691" s="248">
        <v>86</v>
      </c>
      <c r="P2691" s="247" t="s">
        <v>1465</v>
      </c>
      <c r="Q2691" s="247" t="s">
        <v>88</v>
      </c>
    </row>
    <row r="2692" spans="1:17" x14ac:dyDescent="0.25">
      <c r="A2692" s="247" t="s">
        <v>646</v>
      </c>
      <c r="B2692" s="247" t="s">
        <v>265</v>
      </c>
      <c r="C2692" s="247" t="s">
        <v>1343</v>
      </c>
      <c r="D2692" s="247" t="s">
        <v>755</v>
      </c>
      <c r="E2692" s="247" t="s">
        <v>755</v>
      </c>
      <c r="F2692" s="247" t="s">
        <v>2258</v>
      </c>
      <c r="G2692" s="247" t="s">
        <v>1388</v>
      </c>
      <c r="H2692" s="247" t="s">
        <v>402</v>
      </c>
      <c r="I2692" s="247" t="s">
        <v>2259</v>
      </c>
      <c r="J2692" s="247">
        <v>30</v>
      </c>
      <c r="K2692" s="247">
        <v>30</v>
      </c>
      <c r="L2692" s="249" t="s">
        <v>935</v>
      </c>
      <c r="M2692" s="249" t="s">
        <v>929</v>
      </c>
      <c r="N2692" s="248">
        <v>43</v>
      </c>
      <c r="O2692" s="248">
        <v>129</v>
      </c>
      <c r="P2692" s="247" t="s">
        <v>1465</v>
      </c>
      <c r="Q2692" s="247" t="s">
        <v>89</v>
      </c>
    </row>
    <row r="2693" spans="1:17" x14ac:dyDescent="0.25">
      <c r="A2693" s="247" t="s">
        <v>646</v>
      </c>
      <c r="B2693" s="247" t="s">
        <v>265</v>
      </c>
      <c r="C2693" s="247" t="s">
        <v>1343</v>
      </c>
      <c r="D2693" s="247" t="s">
        <v>755</v>
      </c>
      <c r="E2693" s="247" t="s">
        <v>755</v>
      </c>
      <c r="F2693" s="247" t="s">
        <v>2258</v>
      </c>
      <c r="G2693" s="247" t="s">
        <v>1388</v>
      </c>
      <c r="H2693" s="247" t="s">
        <v>402</v>
      </c>
      <c r="I2693" s="247" t="s">
        <v>2259</v>
      </c>
      <c r="J2693" s="247">
        <v>30</v>
      </c>
      <c r="K2693" s="247">
        <v>30</v>
      </c>
      <c r="L2693" s="249" t="s">
        <v>936</v>
      </c>
      <c r="M2693" s="249" t="s">
        <v>929</v>
      </c>
      <c r="N2693" s="248">
        <v>43</v>
      </c>
      <c r="O2693" s="248">
        <v>172</v>
      </c>
      <c r="P2693" s="247" t="s">
        <v>1465</v>
      </c>
      <c r="Q2693" s="247" t="s">
        <v>90</v>
      </c>
    </row>
    <row r="2694" spans="1:17" x14ac:dyDescent="0.25">
      <c r="A2694" s="247" t="s">
        <v>646</v>
      </c>
      <c r="B2694" s="247" t="s">
        <v>265</v>
      </c>
      <c r="C2694" s="247" t="s">
        <v>1343</v>
      </c>
      <c r="D2694" s="247" t="s">
        <v>755</v>
      </c>
      <c r="E2694" s="247" t="s">
        <v>755</v>
      </c>
      <c r="F2694" s="247" t="s">
        <v>2258</v>
      </c>
      <c r="G2694" s="247" t="s">
        <v>1388</v>
      </c>
      <c r="H2694" s="247" t="s">
        <v>402</v>
      </c>
      <c r="I2694" s="247" t="s">
        <v>2259</v>
      </c>
      <c r="J2694" s="247">
        <v>30</v>
      </c>
      <c r="K2694" s="247">
        <v>30</v>
      </c>
      <c r="L2694" s="249" t="s">
        <v>937</v>
      </c>
      <c r="M2694" s="249" t="s">
        <v>929</v>
      </c>
      <c r="N2694" s="248">
        <v>43</v>
      </c>
      <c r="O2694" s="248">
        <v>215</v>
      </c>
      <c r="P2694" s="247" t="s">
        <v>1465</v>
      </c>
      <c r="Q2694" s="247" t="s">
        <v>91</v>
      </c>
    </row>
    <row r="2695" spans="1:17" x14ac:dyDescent="0.25">
      <c r="A2695" s="247" t="s">
        <v>646</v>
      </c>
      <c r="B2695" s="247" t="s">
        <v>265</v>
      </c>
      <c r="C2695" s="247" t="s">
        <v>1343</v>
      </c>
      <c r="D2695" s="247" t="s">
        <v>755</v>
      </c>
      <c r="E2695" s="247" t="s">
        <v>755</v>
      </c>
      <c r="F2695" s="247" t="s">
        <v>2258</v>
      </c>
      <c r="G2695" s="247" t="s">
        <v>1388</v>
      </c>
      <c r="H2695" s="247" t="s">
        <v>402</v>
      </c>
      <c r="I2695" s="247" t="s">
        <v>2259</v>
      </c>
      <c r="J2695" s="247">
        <v>30</v>
      </c>
      <c r="K2695" s="247">
        <v>30</v>
      </c>
      <c r="L2695" s="249" t="s">
        <v>938</v>
      </c>
      <c r="M2695" s="249" t="s">
        <v>929</v>
      </c>
      <c r="N2695" s="248">
        <v>64.5</v>
      </c>
      <c r="O2695" s="248">
        <v>279.5</v>
      </c>
      <c r="P2695" s="247" t="s">
        <v>1465</v>
      </c>
      <c r="Q2695" s="247" t="s">
        <v>92</v>
      </c>
    </row>
    <row r="2696" spans="1:17" x14ac:dyDescent="0.25">
      <c r="A2696" s="247" t="s">
        <v>646</v>
      </c>
      <c r="B2696" s="247" t="s">
        <v>265</v>
      </c>
      <c r="C2696" s="247" t="s">
        <v>1343</v>
      </c>
      <c r="D2696" s="247" t="s">
        <v>755</v>
      </c>
      <c r="E2696" s="247" t="s">
        <v>755</v>
      </c>
      <c r="F2696" s="247" t="s">
        <v>2258</v>
      </c>
      <c r="G2696" s="247" t="s">
        <v>1388</v>
      </c>
      <c r="H2696" s="247" t="s">
        <v>402</v>
      </c>
      <c r="I2696" s="247" t="s">
        <v>2259</v>
      </c>
      <c r="J2696" s="247">
        <v>30</v>
      </c>
      <c r="K2696" s="247">
        <v>30</v>
      </c>
      <c r="L2696" s="249" t="s">
        <v>939</v>
      </c>
      <c r="M2696" s="249" t="s">
        <v>929</v>
      </c>
      <c r="N2696" s="248">
        <v>64.5</v>
      </c>
      <c r="O2696" s="248">
        <v>344</v>
      </c>
      <c r="P2696" s="247" t="s">
        <v>1465</v>
      </c>
      <c r="Q2696" s="247" t="s">
        <v>93</v>
      </c>
    </row>
    <row r="2697" spans="1:17" x14ac:dyDescent="0.25">
      <c r="A2697" s="247" t="s">
        <v>646</v>
      </c>
      <c r="B2697" s="247" t="s">
        <v>265</v>
      </c>
      <c r="C2697" s="247" t="s">
        <v>1343</v>
      </c>
      <c r="D2697" s="247" t="s">
        <v>755</v>
      </c>
      <c r="E2697" s="247" t="s">
        <v>755</v>
      </c>
      <c r="F2697" s="247" t="s">
        <v>2258</v>
      </c>
      <c r="G2697" s="247" t="s">
        <v>1388</v>
      </c>
      <c r="H2697" s="247" t="s">
        <v>402</v>
      </c>
      <c r="I2697" s="247" t="s">
        <v>2259</v>
      </c>
      <c r="J2697" s="247">
        <v>30</v>
      </c>
      <c r="K2697" s="247">
        <v>30</v>
      </c>
      <c r="L2697" s="249" t="s">
        <v>940</v>
      </c>
      <c r="M2697" s="249" t="s">
        <v>929</v>
      </c>
      <c r="N2697" s="248">
        <v>64.5</v>
      </c>
      <c r="O2697" s="248">
        <v>408.5</v>
      </c>
      <c r="P2697" s="247" t="s">
        <v>1465</v>
      </c>
      <c r="Q2697" s="247" t="s">
        <v>94</v>
      </c>
    </row>
    <row r="2698" spans="1:17" x14ac:dyDescent="0.25">
      <c r="A2698" s="247" t="s">
        <v>646</v>
      </c>
      <c r="B2698" s="247" t="s">
        <v>265</v>
      </c>
      <c r="C2698" s="247" t="s">
        <v>1343</v>
      </c>
      <c r="D2698" s="247" t="s">
        <v>755</v>
      </c>
      <c r="E2698" s="247" t="s">
        <v>755</v>
      </c>
      <c r="F2698" s="247" t="s">
        <v>2258</v>
      </c>
      <c r="G2698" s="247" t="s">
        <v>1388</v>
      </c>
      <c r="H2698" s="247" t="s">
        <v>402</v>
      </c>
      <c r="I2698" s="247" t="s">
        <v>2259</v>
      </c>
      <c r="J2698" s="247">
        <v>30</v>
      </c>
      <c r="K2698" s="247">
        <v>30</v>
      </c>
      <c r="L2698" s="249" t="s">
        <v>642</v>
      </c>
      <c r="M2698" s="249" t="s">
        <v>929</v>
      </c>
      <c r="N2698" s="248">
        <v>64.5</v>
      </c>
      <c r="O2698" s="248">
        <v>473</v>
      </c>
      <c r="P2698" s="247" t="s">
        <v>1465</v>
      </c>
      <c r="Q2698" s="247" t="s">
        <v>95</v>
      </c>
    </row>
    <row r="2699" spans="1:17" x14ac:dyDescent="0.25">
      <c r="A2699" s="247" t="s">
        <v>646</v>
      </c>
      <c r="B2699" s="247" t="s">
        <v>265</v>
      </c>
      <c r="C2699" s="247" t="s">
        <v>1343</v>
      </c>
      <c r="D2699" s="247" t="s">
        <v>823</v>
      </c>
      <c r="E2699" s="247" t="s">
        <v>755</v>
      </c>
      <c r="F2699" s="247" t="s">
        <v>2260</v>
      </c>
      <c r="G2699" s="247" t="s">
        <v>1390</v>
      </c>
      <c r="H2699" s="247" t="s">
        <v>402</v>
      </c>
      <c r="I2699" s="247" t="s">
        <v>2261</v>
      </c>
      <c r="J2699" s="247">
        <v>28</v>
      </c>
      <c r="K2699" s="247">
        <v>28</v>
      </c>
      <c r="L2699" s="249" t="s">
        <v>652</v>
      </c>
      <c r="M2699" s="249" t="s">
        <v>933</v>
      </c>
      <c r="N2699" s="248">
        <v>276.95999999999998</v>
      </c>
      <c r="O2699" s="248">
        <v>276.95999999999998</v>
      </c>
      <c r="P2699" s="247" t="s">
        <v>1466</v>
      </c>
      <c r="Q2699" s="247" t="s">
        <v>86</v>
      </c>
    </row>
    <row r="2700" spans="1:17" x14ac:dyDescent="0.25">
      <c r="A2700" s="247" t="s">
        <v>646</v>
      </c>
      <c r="B2700" s="247" t="s">
        <v>265</v>
      </c>
      <c r="C2700" s="247" t="s">
        <v>1343</v>
      </c>
      <c r="D2700" s="247" t="s">
        <v>823</v>
      </c>
      <c r="E2700" s="247" t="s">
        <v>755</v>
      </c>
      <c r="F2700" s="247" t="s">
        <v>2260</v>
      </c>
      <c r="G2700" s="247" t="s">
        <v>1390</v>
      </c>
      <c r="H2700" s="247" t="s">
        <v>402</v>
      </c>
      <c r="I2700" s="247" t="s">
        <v>2261</v>
      </c>
      <c r="J2700" s="247">
        <v>28</v>
      </c>
      <c r="K2700" s="247">
        <v>28</v>
      </c>
      <c r="L2700" s="249" t="s">
        <v>789</v>
      </c>
      <c r="M2700" s="249" t="s">
        <v>929</v>
      </c>
      <c r="N2700" s="248">
        <v>200.8</v>
      </c>
      <c r="O2700" s="248">
        <v>200.8</v>
      </c>
      <c r="P2700" s="247" t="s">
        <v>1466</v>
      </c>
      <c r="Q2700" s="247" t="s">
        <v>87</v>
      </c>
    </row>
    <row r="2701" spans="1:17" x14ac:dyDescent="0.25">
      <c r="A2701" s="247" t="s">
        <v>646</v>
      </c>
      <c r="B2701" s="247" t="s">
        <v>265</v>
      </c>
      <c r="C2701" s="247" t="s">
        <v>1343</v>
      </c>
      <c r="D2701" s="247" t="s">
        <v>823</v>
      </c>
      <c r="E2701" s="247" t="s">
        <v>755</v>
      </c>
      <c r="F2701" s="247" t="s">
        <v>2260</v>
      </c>
      <c r="G2701" s="247" t="s">
        <v>1390</v>
      </c>
      <c r="H2701" s="247" t="s">
        <v>402</v>
      </c>
      <c r="I2701" s="247" t="s">
        <v>2261</v>
      </c>
      <c r="J2701" s="247">
        <v>28</v>
      </c>
      <c r="K2701" s="247">
        <v>28</v>
      </c>
      <c r="L2701" s="249" t="s">
        <v>791</v>
      </c>
      <c r="M2701" s="249" t="s">
        <v>929</v>
      </c>
      <c r="N2701" s="248">
        <v>200.8</v>
      </c>
      <c r="O2701" s="248">
        <v>401.6</v>
      </c>
      <c r="P2701" s="247" t="s">
        <v>1466</v>
      </c>
      <c r="Q2701" s="247" t="s">
        <v>88</v>
      </c>
    </row>
    <row r="2702" spans="1:17" x14ac:dyDescent="0.25">
      <c r="A2702" s="247" t="s">
        <v>646</v>
      </c>
      <c r="B2702" s="247" t="s">
        <v>265</v>
      </c>
      <c r="C2702" s="247" t="s">
        <v>1343</v>
      </c>
      <c r="D2702" s="247" t="s">
        <v>823</v>
      </c>
      <c r="E2702" s="247" t="s">
        <v>755</v>
      </c>
      <c r="F2702" s="247" t="s">
        <v>2260</v>
      </c>
      <c r="G2702" s="247" t="s">
        <v>1390</v>
      </c>
      <c r="H2702" s="247" t="s">
        <v>402</v>
      </c>
      <c r="I2702" s="247" t="s">
        <v>2261</v>
      </c>
      <c r="J2702" s="247">
        <v>28</v>
      </c>
      <c r="K2702" s="247">
        <v>28</v>
      </c>
      <c r="L2702" s="249" t="s">
        <v>935</v>
      </c>
      <c r="M2702" s="249" t="s">
        <v>929</v>
      </c>
      <c r="N2702" s="248">
        <v>200.8</v>
      </c>
      <c r="O2702" s="248">
        <v>602.4</v>
      </c>
      <c r="P2702" s="247" t="s">
        <v>1466</v>
      </c>
      <c r="Q2702" s="247" t="s">
        <v>89</v>
      </c>
    </row>
    <row r="2703" spans="1:17" x14ac:dyDescent="0.25">
      <c r="A2703" s="247" t="s">
        <v>646</v>
      </c>
      <c r="B2703" s="247" t="s">
        <v>265</v>
      </c>
      <c r="C2703" s="247" t="s">
        <v>1343</v>
      </c>
      <c r="D2703" s="247" t="s">
        <v>823</v>
      </c>
      <c r="E2703" s="247" t="s">
        <v>755</v>
      </c>
      <c r="F2703" s="247" t="s">
        <v>2260</v>
      </c>
      <c r="G2703" s="247" t="s">
        <v>1390</v>
      </c>
      <c r="H2703" s="247" t="s">
        <v>402</v>
      </c>
      <c r="I2703" s="247" t="s">
        <v>2261</v>
      </c>
      <c r="J2703" s="247">
        <v>28</v>
      </c>
      <c r="K2703" s="247">
        <v>28</v>
      </c>
      <c r="L2703" s="249" t="s">
        <v>936</v>
      </c>
      <c r="M2703" s="249" t="s">
        <v>929</v>
      </c>
      <c r="N2703" s="248">
        <v>200.8</v>
      </c>
      <c r="O2703" s="248">
        <v>803.2</v>
      </c>
      <c r="P2703" s="247" t="s">
        <v>1466</v>
      </c>
      <c r="Q2703" s="247" t="s">
        <v>90</v>
      </c>
    </row>
    <row r="2704" spans="1:17" x14ac:dyDescent="0.25">
      <c r="A2704" s="247" t="s">
        <v>646</v>
      </c>
      <c r="B2704" s="247" t="s">
        <v>265</v>
      </c>
      <c r="C2704" s="247" t="s">
        <v>1343</v>
      </c>
      <c r="D2704" s="247" t="s">
        <v>823</v>
      </c>
      <c r="E2704" s="247" t="s">
        <v>755</v>
      </c>
      <c r="F2704" s="247" t="s">
        <v>2260</v>
      </c>
      <c r="G2704" s="247" t="s">
        <v>1390</v>
      </c>
      <c r="H2704" s="247" t="s">
        <v>402</v>
      </c>
      <c r="I2704" s="247" t="s">
        <v>2261</v>
      </c>
      <c r="J2704" s="247">
        <v>28</v>
      </c>
      <c r="K2704" s="247">
        <v>28</v>
      </c>
      <c r="L2704" s="249" t="s">
        <v>937</v>
      </c>
      <c r="M2704" s="249" t="s">
        <v>929</v>
      </c>
      <c r="N2704" s="248">
        <v>200.8</v>
      </c>
      <c r="O2704" s="248">
        <v>1004</v>
      </c>
      <c r="P2704" s="247" t="s">
        <v>1466</v>
      </c>
      <c r="Q2704" s="247" t="s">
        <v>91</v>
      </c>
    </row>
    <row r="2705" spans="1:17" x14ac:dyDescent="0.25">
      <c r="A2705" s="247" t="s">
        <v>646</v>
      </c>
      <c r="B2705" s="247" t="s">
        <v>265</v>
      </c>
      <c r="C2705" s="247" t="s">
        <v>1343</v>
      </c>
      <c r="D2705" s="247" t="s">
        <v>823</v>
      </c>
      <c r="E2705" s="247" t="s">
        <v>755</v>
      </c>
      <c r="F2705" s="247" t="s">
        <v>2260</v>
      </c>
      <c r="G2705" s="247" t="s">
        <v>1390</v>
      </c>
      <c r="H2705" s="247" t="s">
        <v>402</v>
      </c>
      <c r="I2705" s="247" t="s">
        <v>2261</v>
      </c>
      <c r="J2705" s="247">
        <v>28</v>
      </c>
      <c r="K2705" s="247">
        <v>28</v>
      </c>
      <c r="L2705" s="249" t="s">
        <v>938</v>
      </c>
      <c r="M2705" s="249" t="s">
        <v>929</v>
      </c>
      <c r="N2705" s="248">
        <v>200.8</v>
      </c>
      <c r="O2705" s="248">
        <v>1204.8</v>
      </c>
      <c r="P2705" s="247" t="s">
        <v>1466</v>
      </c>
      <c r="Q2705" s="247" t="s">
        <v>92</v>
      </c>
    </row>
    <row r="2706" spans="1:17" x14ac:dyDescent="0.25">
      <c r="A2706" s="247" t="s">
        <v>646</v>
      </c>
      <c r="B2706" s="247" t="s">
        <v>265</v>
      </c>
      <c r="C2706" s="247" t="s">
        <v>1343</v>
      </c>
      <c r="D2706" s="247" t="s">
        <v>823</v>
      </c>
      <c r="E2706" s="247" t="s">
        <v>755</v>
      </c>
      <c r="F2706" s="247" t="s">
        <v>2260</v>
      </c>
      <c r="G2706" s="247" t="s">
        <v>1390</v>
      </c>
      <c r="H2706" s="247" t="s">
        <v>402</v>
      </c>
      <c r="I2706" s="247" t="s">
        <v>2261</v>
      </c>
      <c r="J2706" s="247">
        <v>28</v>
      </c>
      <c r="K2706" s="247">
        <v>28</v>
      </c>
      <c r="L2706" s="249" t="s">
        <v>939</v>
      </c>
      <c r="M2706" s="249" t="s">
        <v>929</v>
      </c>
      <c r="N2706" s="248">
        <v>200.8</v>
      </c>
      <c r="O2706" s="248">
        <v>1405.6</v>
      </c>
      <c r="P2706" s="247" t="s">
        <v>1466</v>
      </c>
      <c r="Q2706" s="247" t="s">
        <v>93</v>
      </c>
    </row>
    <row r="2707" spans="1:17" x14ac:dyDescent="0.25">
      <c r="A2707" s="247" t="s">
        <v>646</v>
      </c>
      <c r="B2707" s="247" t="s">
        <v>265</v>
      </c>
      <c r="C2707" s="247" t="s">
        <v>1343</v>
      </c>
      <c r="D2707" s="247" t="s">
        <v>823</v>
      </c>
      <c r="E2707" s="247" t="s">
        <v>755</v>
      </c>
      <c r="F2707" s="247" t="s">
        <v>2260</v>
      </c>
      <c r="G2707" s="247" t="s">
        <v>1390</v>
      </c>
      <c r="H2707" s="247" t="s">
        <v>402</v>
      </c>
      <c r="I2707" s="247" t="s">
        <v>2261</v>
      </c>
      <c r="J2707" s="247">
        <v>28</v>
      </c>
      <c r="K2707" s="247">
        <v>28</v>
      </c>
      <c r="L2707" s="249" t="s">
        <v>940</v>
      </c>
      <c r="M2707" s="249" t="s">
        <v>929</v>
      </c>
      <c r="N2707" s="248">
        <v>200.8</v>
      </c>
      <c r="O2707" s="248">
        <v>1606.4</v>
      </c>
      <c r="P2707" s="247" t="s">
        <v>1466</v>
      </c>
      <c r="Q2707" s="247" t="s">
        <v>94</v>
      </c>
    </row>
    <row r="2708" spans="1:17" x14ac:dyDescent="0.25">
      <c r="A2708" s="247" t="s">
        <v>646</v>
      </c>
      <c r="B2708" s="247" t="s">
        <v>265</v>
      </c>
      <c r="C2708" s="247" t="s">
        <v>1343</v>
      </c>
      <c r="D2708" s="247" t="s">
        <v>823</v>
      </c>
      <c r="E2708" s="247" t="s">
        <v>755</v>
      </c>
      <c r="F2708" s="247" t="s">
        <v>2260</v>
      </c>
      <c r="G2708" s="247" t="s">
        <v>1390</v>
      </c>
      <c r="H2708" s="247" t="s">
        <v>402</v>
      </c>
      <c r="I2708" s="247" t="s">
        <v>2261</v>
      </c>
      <c r="J2708" s="247">
        <v>28</v>
      </c>
      <c r="K2708" s="247">
        <v>28</v>
      </c>
      <c r="L2708" s="249" t="s">
        <v>642</v>
      </c>
      <c r="M2708" s="249" t="s">
        <v>929</v>
      </c>
      <c r="N2708" s="248">
        <v>200.8</v>
      </c>
      <c r="O2708" s="248">
        <v>1807.2</v>
      </c>
      <c r="P2708" s="247" t="s">
        <v>1466</v>
      </c>
      <c r="Q2708" s="247" t="s">
        <v>95</v>
      </c>
    </row>
    <row r="2709" spans="1:17" x14ac:dyDescent="0.25">
      <c r="A2709" s="247" t="s">
        <v>646</v>
      </c>
      <c r="B2709" s="247" t="s">
        <v>265</v>
      </c>
      <c r="C2709" s="247" t="s">
        <v>1343</v>
      </c>
      <c r="D2709" s="247" t="s">
        <v>569</v>
      </c>
      <c r="E2709" s="247" t="s">
        <v>755</v>
      </c>
      <c r="F2709" s="247" t="s">
        <v>2262</v>
      </c>
      <c r="G2709" s="247" t="s">
        <v>1352</v>
      </c>
      <c r="H2709" s="247" t="s">
        <v>402</v>
      </c>
      <c r="I2709" s="247" t="s">
        <v>2263</v>
      </c>
      <c r="J2709" s="247">
        <v>32</v>
      </c>
      <c r="K2709" s="247">
        <v>32</v>
      </c>
      <c r="L2709" s="249" t="s">
        <v>646</v>
      </c>
      <c r="M2709" s="249" t="s">
        <v>933</v>
      </c>
      <c r="N2709" s="248">
        <v>553.91</v>
      </c>
      <c r="O2709" s="248">
        <v>553.91</v>
      </c>
      <c r="P2709" s="247" t="s">
        <v>1467</v>
      </c>
      <c r="Q2709" s="247" t="s">
        <v>84</v>
      </c>
    </row>
    <row r="2710" spans="1:17" x14ac:dyDescent="0.25">
      <c r="A2710" s="247" t="s">
        <v>646</v>
      </c>
      <c r="B2710" s="247" t="s">
        <v>265</v>
      </c>
      <c r="C2710" s="247" t="s">
        <v>1343</v>
      </c>
      <c r="D2710" s="247" t="s">
        <v>569</v>
      </c>
      <c r="E2710" s="247" t="s">
        <v>755</v>
      </c>
      <c r="F2710" s="247" t="s">
        <v>2262</v>
      </c>
      <c r="G2710" s="247" t="s">
        <v>1352</v>
      </c>
      <c r="H2710" s="247" t="s">
        <v>402</v>
      </c>
      <c r="I2710" s="247" t="s">
        <v>2263</v>
      </c>
      <c r="J2710" s="247">
        <v>32</v>
      </c>
      <c r="K2710" s="247">
        <v>32</v>
      </c>
      <c r="L2710" s="249" t="s">
        <v>650</v>
      </c>
      <c r="M2710" s="249" t="s">
        <v>933</v>
      </c>
      <c r="N2710" s="248">
        <v>353.29</v>
      </c>
      <c r="O2710" s="248">
        <v>907.2</v>
      </c>
      <c r="P2710" s="247" t="s">
        <v>1467</v>
      </c>
      <c r="Q2710" s="247" t="s">
        <v>85</v>
      </c>
    </row>
    <row r="2711" spans="1:17" x14ac:dyDescent="0.25">
      <c r="A2711" s="247" t="s">
        <v>646</v>
      </c>
      <c r="B2711" s="247" t="s">
        <v>265</v>
      </c>
      <c r="C2711" s="247" t="s">
        <v>1343</v>
      </c>
      <c r="D2711" s="247" t="s">
        <v>569</v>
      </c>
      <c r="E2711" s="247" t="s">
        <v>755</v>
      </c>
      <c r="F2711" s="247" t="s">
        <v>2262</v>
      </c>
      <c r="G2711" s="247" t="s">
        <v>1352</v>
      </c>
      <c r="H2711" s="247" t="s">
        <v>402</v>
      </c>
      <c r="I2711" s="247" t="s">
        <v>2263</v>
      </c>
      <c r="J2711" s="247">
        <v>32</v>
      </c>
      <c r="K2711" s="247">
        <v>32</v>
      </c>
      <c r="L2711" s="249" t="s">
        <v>652</v>
      </c>
      <c r="M2711" s="249" t="s">
        <v>933</v>
      </c>
      <c r="N2711" s="248">
        <v>369.88</v>
      </c>
      <c r="O2711" s="248">
        <v>1277.08</v>
      </c>
      <c r="P2711" s="247" t="s">
        <v>1467</v>
      </c>
      <c r="Q2711" s="247" t="s">
        <v>86</v>
      </c>
    </row>
    <row r="2712" spans="1:17" x14ac:dyDescent="0.25">
      <c r="A2712" s="247" t="s">
        <v>646</v>
      </c>
      <c r="B2712" s="247" t="s">
        <v>265</v>
      </c>
      <c r="C2712" s="247" t="s">
        <v>1343</v>
      </c>
      <c r="D2712" s="247" t="s">
        <v>569</v>
      </c>
      <c r="E2712" s="247" t="s">
        <v>755</v>
      </c>
      <c r="F2712" s="247" t="s">
        <v>2262</v>
      </c>
      <c r="G2712" s="247" t="s">
        <v>1352</v>
      </c>
      <c r="H2712" s="247" t="s">
        <v>402</v>
      </c>
      <c r="I2712" s="247" t="s">
        <v>2263</v>
      </c>
      <c r="J2712" s="247">
        <v>32</v>
      </c>
      <c r="K2712" s="247">
        <v>32</v>
      </c>
      <c r="L2712" s="249" t="s">
        <v>789</v>
      </c>
      <c r="M2712" s="249" t="s">
        <v>929</v>
      </c>
      <c r="N2712" s="248">
        <v>415.47</v>
      </c>
      <c r="O2712" s="248">
        <v>415.47</v>
      </c>
      <c r="P2712" s="247" t="s">
        <v>1467</v>
      </c>
      <c r="Q2712" s="247" t="s">
        <v>87</v>
      </c>
    </row>
    <row r="2713" spans="1:17" x14ac:dyDescent="0.25">
      <c r="A2713" s="247" t="s">
        <v>646</v>
      </c>
      <c r="B2713" s="247" t="s">
        <v>265</v>
      </c>
      <c r="C2713" s="247" t="s">
        <v>1343</v>
      </c>
      <c r="D2713" s="247" t="s">
        <v>569</v>
      </c>
      <c r="E2713" s="247" t="s">
        <v>755</v>
      </c>
      <c r="F2713" s="247" t="s">
        <v>2262</v>
      </c>
      <c r="G2713" s="247" t="s">
        <v>1352</v>
      </c>
      <c r="H2713" s="247" t="s">
        <v>402</v>
      </c>
      <c r="I2713" s="247" t="s">
        <v>2263</v>
      </c>
      <c r="J2713" s="247">
        <v>32</v>
      </c>
      <c r="K2713" s="247">
        <v>32</v>
      </c>
      <c r="L2713" s="249" t="s">
        <v>791</v>
      </c>
      <c r="M2713" s="249" t="s">
        <v>929</v>
      </c>
      <c r="N2713" s="248">
        <v>348.25</v>
      </c>
      <c r="O2713" s="248">
        <v>763.72</v>
      </c>
      <c r="P2713" s="247" t="s">
        <v>1467</v>
      </c>
      <c r="Q2713" s="247" t="s">
        <v>88</v>
      </c>
    </row>
    <row r="2714" spans="1:17" x14ac:dyDescent="0.25">
      <c r="A2714" s="247" t="s">
        <v>646</v>
      </c>
      <c r="B2714" s="247" t="s">
        <v>265</v>
      </c>
      <c r="C2714" s="247" t="s">
        <v>1343</v>
      </c>
      <c r="D2714" s="247" t="s">
        <v>569</v>
      </c>
      <c r="E2714" s="247" t="s">
        <v>755</v>
      </c>
      <c r="F2714" s="247" t="s">
        <v>2262</v>
      </c>
      <c r="G2714" s="247" t="s">
        <v>1352</v>
      </c>
      <c r="H2714" s="247" t="s">
        <v>402</v>
      </c>
      <c r="I2714" s="247" t="s">
        <v>2263</v>
      </c>
      <c r="J2714" s="247">
        <v>32</v>
      </c>
      <c r="K2714" s="247">
        <v>32</v>
      </c>
      <c r="L2714" s="249" t="s">
        <v>935</v>
      </c>
      <c r="M2714" s="249" t="s">
        <v>929</v>
      </c>
      <c r="N2714" s="248">
        <v>376.79</v>
      </c>
      <c r="O2714" s="248">
        <v>1140.51</v>
      </c>
      <c r="P2714" s="247" t="s">
        <v>1467</v>
      </c>
      <c r="Q2714" s="247" t="s">
        <v>89</v>
      </c>
    </row>
    <row r="2715" spans="1:17" x14ac:dyDescent="0.25">
      <c r="A2715" s="247" t="s">
        <v>646</v>
      </c>
      <c r="B2715" s="247" t="s">
        <v>265</v>
      </c>
      <c r="C2715" s="247" t="s">
        <v>1343</v>
      </c>
      <c r="D2715" s="247" t="s">
        <v>569</v>
      </c>
      <c r="E2715" s="247" t="s">
        <v>755</v>
      </c>
      <c r="F2715" s="247" t="s">
        <v>2262</v>
      </c>
      <c r="G2715" s="247" t="s">
        <v>1352</v>
      </c>
      <c r="H2715" s="247" t="s">
        <v>402</v>
      </c>
      <c r="I2715" s="247" t="s">
        <v>2263</v>
      </c>
      <c r="J2715" s="247">
        <v>32</v>
      </c>
      <c r="K2715" s="247">
        <v>32</v>
      </c>
      <c r="L2715" s="249" t="s">
        <v>936</v>
      </c>
      <c r="M2715" s="249" t="s">
        <v>929</v>
      </c>
      <c r="N2715" s="248">
        <v>715.72</v>
      </c>
      <c r="O2715" s="248">
        <v>1856.23</v>
      </c>
      <c r="P2715" s="247" t="s">
        <v>1467</v>
      </c>
      <c r="Q2715" s="247" t="s">
        <v>90</v>
      </c>
    </row>
    <row r="2716" spans="1:17" x14ac:dyDescent="0.25">
      <c r="A2716" s="247" t="s">
        <v>646</v>
      </c>
      <c r="B2716" s="247" t="s">
        <v>265</v>
      </c>
      <c r="C2716" s="247" t="s">
        <v>1343</v>
      </c>
      <c r="D2716" s="247" t="s">
        <v>569</v>
      </c>
      <c r="E2716" s="247" t="s">
        <v>755</v>
      </c>
      <c r="F2716" s="247" t="s">
        <v>2262</v>
      </c>
      <c r="G2716" s="247" t="s">
        <v>1352</v>
      </c>
      <c r="H2716" s="247" t="s">
        <v>402</v>
      </c>
      <c r="I2716" s="247" t="s">
        <v>2263</v>
      </c>
      <c r="J2716" s="247">
        <v>32</v>
      </c>
      <c r="K2716" s="247">
        <v>32</v>
      </c>
      <c r="L2716" s="249" t="s">
        <v>937</v>
      </c>
      <c r="M2716" s="249" t="s">
        <v>929</v>
      </c>
      <c r="N2716" s="248">
        <v>438.87</v>
      </c>
      <c r="O2716" s="248">
        <v>2295.1</v>
      </c>
      <c r="P2716" s="247" t="s">
        <v>1467</v>
      </c>
      <c r="Q2716" s="247" t="s">
        <v>91</v>
      </c>
    </row>
    <row r="2717" spans="1:17" x14ac:dyDescent="0.25">
      <c r="A2717" s="247" t="s">
        <v>646</v>
      </c>
      <c r="B2717" s="247" t="s">
        <v>265</v>
      </c>
      <c r="C2717" s="247" t="s">
        <v>1343</v>
      </c>
      <c r="D2717" s="247" t="s">
        <v>569</v>
      </c>
      <c r="E2717" s="247" t="s">
        <v>755</v>
      </c>
      <c r="F2717" s="247" t="s">
        <v>2262</v>
      </c>
      <c r="G2717" s="247" t="s">
        <v>1352</v>
      </c>
      <c r="H2717" s="247" t="s">
        <v>402</v>
      </c>
      <c r="I2717" s="247" t="s">
        <v>2263</v>
      </c>
      <c r="J2717" s="247">
        <v>32</v>
      </c>
      <c r="K2717" s="247">
        <v>32</v>
      </c>
      <c r="L2717" s="249" t="s">
        <v>938</v>
      </c>
      <c r="M2717" s="249" t="s">
        <v>929</v>
      </c>
      <c r="N2717" s="248">
        <v>440.82</v>
      </c>
      <c r="O2717" s="248">
        <v>2735.92</v>
      </c>
      <c r="P2717" s="247" t="s">
        <v>1467</v>
      </c>
      <c r="Q2717" s="247" t="s">
        <v>92</v>
      </c>
    </row>
    <row r="2718" spans="1:17" x14ac:dyDescent="0.25">
      <c r="A2718" s="247" t="s">
        <v>646</v>
      </c>
      <c r="B2718" s="247" t="s">
        <v>265</v>
      </c>
      <c r="C2718" s="247" t="s">
        <v>1343</v>
      </c>
      <c r="D2718" s="247" t="s">
        <v>569</v>
      </c>
      <c r="E2718" s="247" t="s">
        <v>755</v>
      </c>
      <c r="F2718" s="247" t="s">
        <v>2262</v>
      </c>
      <c r="G2718" s="247" t="s">
        <v>1352</v>
      </c>
      <c r="H2718" s="247" t="s">
        <v>402</v>
      </c>
      <c r="I2718" s="247" t="s">
        <v>2263</v>
      </c>
      <c r="J2718" s="247">
        <v>32</v>
      </c>
      <c r="K2718" s="247">
        <v>32</v>
      </c>
      <c r="L2718" s="249" t="s">
        <v>939</v>
      </c>
      <c r="M2718" s="249" t="s">
        <v>929</v>
      </c>
      <c r="N2718" s="248">
        <v>461.5</v>
      </c>
      <c r="O2718" s="248">
        <v>3197.42</v>
      </c>
      <c r="P2718" s="247" t="s">
        <v>1467</v>
      </c>
      <c r="Q2718" s="247" t="s">
        <v>93</v>
      </c>
    </row>
    <row r="2719" spans="1:17" x14ac:dyDescent="0.25">
      <c r="A2719" s="247" t="s">
        <v>646</v>
      </c>
      <c r="B2719" s="247" t="s">
        <v>265</v>
      </c>
      <c r="C2719" s="247" t="s">
        <v>1343</v>
      </c>
      <c r="D2719" s="247" t="s">
        <v>569</v>
      </c>
      <c r="E2719" s="247" t="s">
        <v>755</v>
      </c>
      <c r="F2719" s="247" t="s">
        <v>2262</v>
      </c>
      <c r="G2719" s="247" t="s">
        <v>1352</v>
      </c>
      <c r="H2719" s="247" t="s">
        <v>402</v>
      </c>
      <c r="I2719" s="247" t="s">
        <v>2263</v>
      </c>
      <c r="J2719" s="247">
        <v>32</v>
      </c>
      <c r="K2719" s="247">
        <v>32</v>
      </c>
      <c r="L2719" s="249" t="s">
        <v>940</v>
      </c>
      <c r="M2719" s="249" t="s">
        <v>929</v>
      </c>
      <c r="N2719" s="248">
        <v>438.64</v>
      </c>
      <c r="O2719" s="248">
        <v>3636.06</v>
      </c>
      <c r="P2719" s="247" t="s">
        <v>1467</v>
      </c>
      <c r="Q2719" s="247" t="s">
        <v>94</v>
      </c>
    </row>
    <row r="2720" spans="1:17" x14ac:dyDescent="0.25">
      <c r="A2720" s="247" t="s">
        <v>646</v>
      </c>
      <c r="B2720" s="247" t="s">
        <v>265</v>
      </c>
      <c r="C2720" s="247" t="s">
        <v>1343</v>
      </c>
      <c r="D2720" s="247" t="s">
        <v>569</v>
      </c>
      <c r="E2720" s="247" t="s">
        <v>755</v>
      </c>
      <c r="F2720" s="247" t="s">
        <v>2262</v>
      </c>
      <c r="G2720" s="247" t="s">
        <v>1352</v>
      </c>
      <c r="H2720" s="247" t="s">
        <v>402</v>
      </c>
      <c r="I2720" s="247" t="s">
        <v>2263</v>
      </c>
      <c r="J2720" s="247">
        <v>32</v>
      </c>
      <c r="K2720" s="247">
        <v>32</v>
      </c>
      <c r="L2720" s="249" t="s">
        <v>642</v>
      </c>
      <c r="M2720" s="249" t="s">
        <v>929</v>
      </c>
      <c r="N2720" s="248">
        <v>625.52</v>
      </c>
      <c r="O2720" s="248">
        <v>4261.58</v>
      </c>
      <c r="P2720" s="247" t="s">
        <v>1467</v>
      </c>
      <c r="Q2720" s="247" t="s">
        <v>95</v>
      </c>
    </row>
    <row r="2721" spans="1:17" x14ac:dyDescent="0.25">
      <c r="A2721" s="247" t="s">
        <v>646</v>
      </c>
      <c r="B2721" s="247" t="s">
        <v>265</v>
      </c>
      <c r="C2721" s="247" t="s">
        <v>1343</v>
      </c>
      <c r="D2721" s="247" t="s">
        <v>575</v>
      </c>
      <c r="E2721" s="247" t="s">
        <v>755</v>
      </c>
      <c r="F2721" s="247" t="s">
        <v>2264</v>
      </c>
      <c r="G2721" s="247" t="s">
        <v>1354</v>
      </c>
      <c r="H2721" s="247" t="s">
        <v>402</v>
      </c>
      <c r="I2721" s="247" t="s">
        <v>2265</v>
      </c>
      <c r="J2721" s="247">
        <v>32</v>
      </c>
      <c r="K2721" s="247">
        <v>32</v>
      </c>
      <c r="L2721" s="249" t="s">
        <v>646</v>
      </c>
      <c r="M2721" s="249" t="s">
        <v>933</v>
      </c>
      <c r="N2721" s="248">
        <v>129.54</v>
      </c>
      <c r="O2721" s="248">
        <v>129.54</v>
      </c>
      <c r="P2721" s="247" t="s">
        <v>1468</v>
      </c>
      <c r="Q2721" s="247" t="s">
        <v>84</v>
      </c>
    </row>
    <row r="2722" spans="1:17" x14ac:dyDescent="0.25">
      <c r="A2722" s="247" t="s">
        <v>646</v>
      </c>
      <c r="B2722" s="247" t="s">
        <v>265</v>
      </c>
      <c r="C2722" s="247" t="s">
        <v>1343</v>
      </c>
      <c r="D2722" s="247" t="s">
        <v>575</v>
      </c>
      <c r="E2722" s="247" t="s">
        <v>755</v>
      </c>
      <c r="F2722" s="247" t="s">
        <v>2264</v>
      </c>
      <c r="G2722" s="247" t="s">
        <v>1354</v>
      </c>
      <c r="H2722" s="247" t="s">
        <v>402</v>
      </c>
      <c r="I2722" s="247" t="s">
        <v>2265</v>
      </c>
      <c r="J2722" s="247">
        <v>32</v>
      </c>
      <c r="K2722" s="247">
        <v>32</v>
      </c>
      <c r="L2722" s="249" t="s">
        <v>650</v>
      </c>
      <c r="M2722" s="249" t="s">
        <v>933</v>
      </c>
      <c r="N2722" s="248">
        <v>82.63</v>
      </c>
      <c r="O2722" s="248">
        <v>212.17</v>
      </c>
      <c r="P2722" s="247" t="s">
        <v>1468</v>
      </c>
      <c r="Q2722" s="247" t="s">
        <v>85</v>
      </c>
    </row>
    <row r="2723" spans="1:17" x14ac:dyDescent="0.25">
      <c r="A2723" s="247" t="s">
        <v>646</v>
      </c>
      <c r="B2723" s="247" t="s">
        <v>265</v>
      </c>
      <c r="C2723" s="247" t="s">
        <v>1343</v>
      </c>
      <c r="D2723" s="247" t="s">
        <v>575</v>
      </c>
      <c r="E2723" s="247" t="s">
        <v>755</v>
      </c>
      <c r="F2723" s="247" t="s">
        <v>2264</v>
      </c>
      <c r="G2723" s="247" t="s">
        <v>1354</v>
      </c>
      <c r="H2723" s="247" t="s">
        <v>402</v>
      </c>
      <c r="I2723" s="247" t="s">
        <v>2265</v>
      </c>
      <c r="J2723" s="247">
        <v>32</v>
      </c>
      <c r="K2723" s="247">
        <v>32</v>
      </c>
      <c r="L2723" s="249" t="s">
        <v>652</v>
      </c>
      <c r="M2723" s="249" t="s">
        <v>933</v>
      </c>
      <c r="N2723" s="248">
        <v>86.51</v>
      </c>
      <c r="O2723" s="248">
        <v>298.68</v>
      </c>
      <c r="P2723" s="247" t="s">
        <v>1468</v>
      </c>
      <c r="Q2723" s="247" t="s">
        <v>86</v>
      </c>
    </row>
    <row r="2724" spans="1:17" x14ac:dyDescent="0.25">
      <c r="A2724" s="247" t="s">
        <v>646</v>
      </c>
      <c r="B2724" s="247" t="s">
        <v>265</v>
      </c>
      <c r="C2724" s="247" t="s">
        <v>1343</v>
      </c>
      <c r="D2724" s="247" t="s">
        <v>575</v>
      </c>
      <c r="E2724" s="247" t="s">
        <v>755</v>
      </c>
      <c r="F2724" s="247" t="s">
        <v>2264</v>
      </c>
      <c r="G2724" s="247" t="s">
        <v>1354</v>
      </c>
      <c r="H2724" s="247" t="s">
        <v>402</v>
      </c>
      <c r="I2724" s="247" t="s">
        <v>2265</v>
      </c>
      <c r="J2724" s="247">
        <v>32</v>
      </c>
      <c r="K2724" s="247">
        <v>32</v>
      </c>
      <c r="L2724" s="249" t="s">
        <v>789</v>
      </c>
      <c r="M2724" s="249" t="s">
        <v>929</v>
      </c>
      <c r="N2724" s="248">
        <v>97.17</v>
      </c>
      <c r="O2724" s="248">
        <v>97.17</v>
      </c>
      <c r="P2724" s="247" t="s">
        <v>1468</v>
      </c>
      <c r="Q2724" s="247" t="s">
        <v>87</v>
      </c>
    </row>
    <row r="2725" spans="1:17" x14ac:dyDescent="0.25">
      <c r="A2725" s="247" t="s">
        <v>646</v>
      </c>
      <c r="B2725" s="247" t="s">
        <v>265</v>
      </c>
      <c r="C2725" s="247" t="s">
        <v>1343</v>
      </c>
      <c r="D2725" s="247" t="s">
        <v>575</v>
      </c>
      <c r="E2725" s="247" t="s">
        <v>755</v>
      </c>
      <c r="F2725" s="247" t="s">
        <v>2264</v>
      </c>
      <c r="G2725" s="247" t="s">
        <v>1354</v>
      </c>
      <c r="H2725" s="247" t="s">
        <v>402</v>
      </c>
      <c r="I2725" s="247" t="s">
        <v>2265</v>
      </c>
      <c r="J2725" s="247">
        <v>32</v>
      </c>
      <c r="K2725" s="247">
        <v>32</v>
      </c>
      <c r="L2725" s="249" t="s">
        <v>791</v>
      </c>
      <c r="M2725" s="249" t="s">
        <v>929</v>
      </c>
      <c r="N2725" s="248">
        <v>81.44</v>
      </c>
      <c r="O2725" s="248">
        <v>178.61</v>
      </c>
      <c r="P2725" s="247" t="s">
        <v>1468</v>
      </c>
      <c r="Q2725" s="247" t="s">
        <v>88</v>
      </c>
    </row>
    <row r="2726" spans="1:17" x14ac:dyDescent="0.25">
      <c r="A2726" s="247" t="s">
        <v>646</v>
      </c>
      <c r="B2726" s="247" t="s">
        <v>265</v>
      </c>
      <c r="C2726" s="247" t="s">
        <v>1343</v>
      </c>
      <c r="D2726" s="247" t="s">
        <v>575</v>
      </c>
      <c r="E2726" s="247" t="s">
        <v>755</v>
      </c>
      <c r="F2726" s="247" t="s">
        <v>2264</v>
      </c>
      <c r="G2726" s="247" t="s">
        <v>1354</v>
      </c>
      <c r="H2726" s="247" t="s">
        <v>402</v>
      </c>
      <c r="I2726" s="247" t="s">
        <v>2265</v>
      </c>
      <c r="J2726" s="247">
        <v>32</v>
      </c>
      <c r="K2726" s="247">
        <v>32</v>
      </c>
      <c r="L2726" s="249" t="s">
        <v>935</v>
      </c>
      <c r="M2726" s="249" t="s">
        <v>929</v>
      </c>
      <c r="N2726" s="248">
        <v>88.12</v>
      </c>
      <c r="O2726" s="248">
        <v>266.73</v>
      </c>
      <c r="P2726" s="247" t="s">
        <v>1468</v>
      </c>
      <c r="Q2726" s="247" t="s">
        <v>89</v>
      </c>
    </row>
    <row r="2727" spans="1:17" x14ac:dyDescent="0.25">
      <c r="A2727" s="247" t="s">
        <v>646</v>
      </c>
      <c r="B2727" s="247" t="s">
        <v>265</v>
      </c>
      <c r="C2727" s="247" t="s">
        <v>1343</v>
      </c>
      <c r="D2727" s="247" t="s">
        <v>575</v>
      </c>
      <c r="E2727" s="247" t="s">
        <v>755</v>
      </c>
      <c r="F2727" s="247" t="s">
        <v>2264</v>
      </c>
      <c r="G2727" s="247" t="s">
        <v>1354</v>
      </c>
      <c r="H2727" s="247" t="s">
        <v>402</v>
      </c>
      <c r="I2727" s="247" t="s">
        <v>2265</v>
      </c>
      <c r="J2727" s="247">
        <v>32</v>
      </c>
      <c r="K2727" s="247">
        <v>32</v>
      </c>
      <c r="L2727" s="249" t="s">
        <v>936</v>
      </c>
      <c r="M2727" s="249" t="s">
        <v>929</v>
      </c>
      <c r="N2727" s="248">
        <v>167.39</v>
      </c>
      <c r="O2727" s="248">
        <v>434.12</v>
      </c>
      <c r="P2727" s="247" t="s">
        <v>1468</v>
      </c>
      <c r="Q2727" s="247" t="s">
        <v>90</v>
      </c>
    </row>
    <row r="2728" spans="1:17" x14ac:dyDescent="0.25">
      <c r="A2728" s="247" t="s">
        <v>646</v>
      </c>
      <c r="B2728" s="247" t="s">
        <v>265</v>
      </c>
      <c r="C2728" s="247" t="s">
        <v>1343</v>
      </c>
      <c r="D2728" s="247" t="s">
        <v>575</v>
      </c>
      <c r="E2728" s="247" t="s">
        <v>755</v>
      </c>
      <c r="F2728" s="247" t="s">
        <v>2264</v>
      </c>
      <c r="G2728" s="247" t="s">
        <v>1354</v>
      </c>
      <c r="H2728" s="247" t="s">
        <v>402</v>
      </c>
      <c r="I2728" s="247" t="s">
        <v>2265</v>
      </c>
      <c r="J2728" s="247">
        <v>32</v>
      </c>
      <c r="K2728" s="247">
        <v>32</v>
      </c>
      <c r="L2728" s="249" t="s">
        <v>937</v>
      </c>
      <c r="M2728" s="249" t="s">
        <v>929</v>
      </c>
      <c r="N2728" s="248">
        <v>102.64</v>
      </c>
      <c r="O2728" s="248">
        <v>536.76</v>
      </c>
      <c r="P2728" s="247" t="s">
        <v>1468</v>
      </c>
      <c r="Q2728" s="247" t="s">
        <v>91</v>
      </c>
    </row>
    <row r="2729" spans="1:17" x14ac:dyDescent="0.25">
      <c r="A2729" s="247" t="s">
        <v>646</v>
      </c>
      <c r="B2729" s="247" t="s">
        <v>265</v>
      </c>
      <c r="C2729" s="247" t="s">
        <v>1343</v>
      </c>
      <c r="D2729" s="247" t="s">
        <v>575</v>
      </c>
      <c r="E2729" s="247" t="s">
        <v>755</v>
      </c>
      <c r="F2729" s="247" t="s">
        <v>2264</v>
      </c>
      <c r="G2729" s="247" t="s">
        <v>1354</v>
      </c>
      <c r="H2729" s="247" t="s">
        <v>402</v>
      </c>
      <c r="I2729" s="247" t="s">
        <v>2265</v>
      </c>
      <c r="J2729" s="247">
        <v>32</v>
      </c>
      <c r="K2729" s="247">
        <v>32</v>
      </c>
      <c r="L2729" s="249" t="s">
        <v>938</v>
      </c>
      <c r="M2729" s="249" t="s">
        <v>929</v>
      </c>
      <c r="N2729" s="248">
        <v>103.09</v>
      </c>
      <c r="O2729" s="248">
        <v>639.85</v>
      </c>
      <c r="P2729" s="247" t="s">
        <v>1468</v>
      </c>
      <c r="Q2729" s="247" t="s">
        <v>92</v>
      </c>
    </row>
    <row r="2730" spans="1:17" x14ac:dyDescent="0.25">
      <c r="A2730" s="247" t="s">
        <v>646</v>
      </c>
      <c r="B2730" s="247" t="s">
        <v>265</v>
      </c>
      <c r="C2730" s="247" t="s">
        <v>1343</v>
      </c>
      <c r="D2730" s="247" t="s">
        <v>575</v>
      </c>
      <c r="E2730" s="247" t="s">
        <v>755</v>
      </c>
      <c r="F2730" s="247" t="s">
        <v>2264</v>
      </c>
      <c r="G2730" s="247" t="s">
        <v>1354</v>
      </c>
      <c r="H2730" s="247" t="s">
        <v>402</v>
      </c>
      <c r="I2730" s="247" t="s">
        <v>2265</v>
      </c>
      <c r="J2730" s="247">
        <v>32</v>
      </c>
      <c r="K2730" s="247">
        <v>32</v>
      </c>
      <c r="L2730" s="249" t="s">
        <v>939</v>
      </c>
      <c r="M2730" s="249" t="s">
        <v>929</v>
      </c>
      <c r="N2730" s="248">
        <v>107.94</v>
      </c>
      <c r="O2730" s="248">
        <v>747.79</v>
      </c>
      <c r="P2730" s="247" t="s">
        <v>1468</v>
      </c>
      <c r="Q2730" s="247" t="s">
        <v>93</v>
      </c>
    </row>
    <row r="2731" spans="1:17" x14ac:dyDescent="0.25">
      <c r="A2731" s="247" t="s">
        <v>646</v>
      </c>
      <c r="B2731" s="247" t="s">
        <v>265</v>
      </c>
      <c r="C2731" s="247" t="s">
        <v>1343</v>
      </c>
      <c r="D2731" s="247" t="s">
        <v>575</v>
      </c>
      <c r="E2731" s="247" t="s">
        <v>755</v>
      </c>
      <c r="F2731" s="247" t="s">
        <v>2264</v>
      </c>
      <c r="G2731" s="247" t="s">
        <v>1354</v>
      </c>
      <c r="H2731" s="247" t="s">
        <v>402</v>
      </c>
      <c r="I2731" s="247" t="s">
        <v>2265</v>
      </c>
      <c r="J2731" s="247">
        <v>32</v>
      </c>
      <c r="K2731" s="247">
        <v>32</v>
      </c>
      <c r="L2731" s="249" t="s">
        <v>940</v>
      </c>
      <c r="M2731" s="249" t="s">
        <v>929</v>
      </c>
      <c r="N2731" s="248">
        <v>102.58</v>
      </c>
      <c r="O2731" s="248">
        <v>850.37</v>
      </c>
      <c r="P2731" s="247" t="s">
        <v>1468</v>
      </c>
      <c r="Q2731" s="247" t="s">
        <v>94</v>
      </c>
    </row>
    <row r="2732" spans="1:17" x14ac:dyDescent="0.25">
      <c r="A2732" s="247" t="s">
        <v>646</v>
      </c>
      <c r="B2732" s="247" t="s">
        <v>265</v>
      </c>
      <c r="C2732" s="247" t="s">
        <v>1343</v>
      </c>
      <c r="D2732" s="247" t="s">
        <v>575</v>
      </c>
      <c r="E2732" s="247" t="s">
        <v>755</v>
      </c>
      <c r="F2732" s="247" t="s">
        <v>2264</v>
      </c>
      <c r="G2732" s="247" t="s">
        <v>1354</v>
      </c>
      <c r="H2732" s="247" t="s">
        <v>402</v>
      </c>
      <c r="I2732" s="247" t="s">
        <v>2265</v>
      </c>
      <c r="J2732" s="247">
        <v>32</v>
      </c>
      <c r="K2732" s="247">
        <v>32</v>
      </c>
      <c r="L2732" s="249" t="s">
        <v>642</v>
      </c>
      <c r="M2732" s="249" t="s">
        <v>929</v>
      </c>
      <c r="N2732" s="248">
        <v>146.29</v>
      </c>
      <c r="O2732" s="248">
        <v>996.66</v>
      </c>
      <c r="P2732" s="247" t="s">
        <v>1468</v>
      </c>
      <c r="Q2732" s="247" t="s">
        <v>95</v>
      </c>
    </row>
    <row r="2733" spans="1:17" x14ac:dyDescent="0.25">
      <c r="A2733" s="247" t="s">
        <v>646</v>
      </c>
      <c r="B2733" s="247" t="s">
        <v>265</v>
      </c>
      <c r="C2733" s="247" t="s">
        <v>1343</v>
      </c>
      <c r="D2733" s="247" t="s">
        <v>1356</v>
      </c>
      <c r="E2733" s="247" t="s">
        <v>755</v>
      </c>
      <c r="F2733" s="247" t="s">
        <v>2266</v>
      </c>
      <c r="G2733" s="247" t="s">
        <v>1357</v>
      </c>
      <c r="H2733" s="247" t="s">
        <v>402</v>
      </c>
      <c r="I2733" s="247" t="s">
        <v>2267</v>
      </c>
      <c r="J2733" s="247">
        <v>32</v>
      </c>
      <c r="K2733" s="247">
        <v>32</v>
      </c>
      <c r="L2733" s="249" t="s">
        <v>789</v>
      </c>
      <c r="M2733" s="249" t="s">
        <v>929</v>
      </c>
      <c r="N2733" s="248">
        <v>40.21</v>
      </c>
      <c r="O2733" s="248">
        <v>40.21</v>
      </c>
      <c r="P2733" s="247" t="s">
        <v>1469</v>
      </c>
      <c r="Q2733" s="247" t="s">
        <v>87</v>
      </c>
    </row>
    <row r="2734" spans="1:17" x14ac:dyDescent="0.25">
      <c r="A2734" s="247" t="s">
        <v>646</v>
      </c>
      <c r="B2734" s="247" t="s">
        <v>265</v>
      </c>
      <c r="C2734" s="247" t="s">
        <v>1343</v>
      </c>
      <c r="D2734" s="247" t="s">
        <v>1356</v>
      </c>
      <c r="E2734" s="247" t="s">
        <v>755</v>
      </c>
      <c r="F2734" s="247" t="s">
        <v>2266</v>
      </c>
      <c r="G2734" s="247" t="s">
        <v>1357</v>
      </c>
      <c r="H2734" s="247" t="s">
        <v>402</v>
      </c>
      <c r="I2734" s="247" t="s">
        <v>2267</v>
      </c>
      <c r="J2734" s="247">
        <v>32</v>
      </c>
      <c r="K2734" s="247">
        <v>32</v>
      </c>
      <c r="L2734" s="249" t="s">
        <v>791</v>
      </c>
      <c r="M2734" s="249" t="s">
        <v>929</v>
      </c>
      <c r="N2734" s="248">
        <v>33.71</v>
      </c>
      <c r="O2734" s="248">
        <v>73.92</v>
      </c>
      <c r="P2734" s="247" t="s">
        <v>1469</v>
      </c>
      <c r="Q2734" s="247" t="s">
        <v>88</v>
      </c>
    </row>
    <row r="2735" spans="1:17" x14ac:dyDescent="0.25">
      <c r="A2735" s="247" t="s">
        <v>646</v>
      </c>
      <c r="B2735" s="247" t="s">
        <v>265</v>
      </c>
      <c r="C2735" s="247" t="s">
        <v>1343</v>
      </c>
      <c r="D2735" s="247" t="s">
        <v>1356</v>
      </c>
      <c r="E2735" s="247" t="s">
        <v>755</v>
      </c>
      <c r="F2735" s="247" t="s">
        <v>2266</v>
      </c>
      <c r="G2735" s="247" t="s">
        <v>1357</v>
      </c>
      <c r="H2735" s="247" t="s">
        <v>402</v>
      </c>
      <c r="I2735" s="247" t="s">
        <v>2267</v>
      </c>
      <c r="J2735" s="247">
        <v>32</v>
      </c>
      <c r="K2735" s="247">
        <v>32</v>
      </c>
      <c r="L2735" s="249" t="s">
        <v>935</v>
      </c>
      <c r="M2735" s="249" t="s">
        <v>929</v>
      </c>
      <c r="N2735" s="248">
        <v>10.09</v>
      </c>
      <c r="O2735" s="248">
        <v>84.01</v>
      </c>
      <c r="P2735" s="247" t="s">
        <v>1469</v>
      </c>
      <c r="Q2735" s="247" t="s">
        <v>89</v>
      </c>
    </row>
    <row r="2736" spans="1:17" x14ac:dyDescent="0.25">
      <c r="A2736" s="247" t="s">
        <v>646</v>
      </c>
      <c r="B2736" s="247" t="s">
        <v>265</v>
      </c>
      <c r="C2736" s="247" t="s">
        <v>1343</v>
      </c>
      <c r="D2736" s="247" t="s">
        <v>1356</v>
      </c>
      <c r="E2736" s="247" t="s">
        <v>755</v>
      </c>
      <c r="F2736" s="247" t="s">
        <v>2266</v>
      </c>
      <c r="G2736" s="247" t="s">
        <v>1357</v>
      </c>
      <c r="H2736" s="247" t="s">
        <v>402</v>
      </c>
      <c r="I2736" s="247" t="s">
        <v>2267</v>
      </c>
      <c r="J2736" s="247">
        <v>32</v>
      </c>
      <c r="K2736" s="247">
        <v>32</v>
      </c>
      <c r="L2736" s="249" t="s">
        <v>936</v>
      </c>
      <c r="M2736" s="249" t="s">
        <v>929</v>
      </c>
      <c r="N2736" s="248">
        <v>0</v>
      </c>
      <c r="O2736" s="248">
        <v>84.01</v>
      </c>
      <c r="P2736" s="247" t="s">
        <v>1469</v>
      </c>
      <c r="Q2736" s="247" t="s">
        <v>90</v>
      </c>
    </row>
    <row r="2737" spans="1:17" x14ac:dyDescent="0.25">
      <c r="A2737" s="247" t="s">
        <v>646</v>
      </c>
      <c r="B2737" s="247" t="s">
        <v>265</v>
      </c>
      <c r="C2737" s="247" t="s">
        <v>1343</v>
      </c>
      <c r="D2737" s="247" t="s">
        <v>1356</v>
      </c>
      <c r="E2737" s="247" t="s">
        <v>755</v>
      </c>
      <c r="F2737" s="247" t="s">
        <v>2266</v>
      </c>
      <c r="G2737" s="247" t="s">
        <v>1357</v>
      </c>
      <c r="H2737" s="247" t="s">
        <v>402</v>
      </c>
      <c r="I2737" s="247" t="s">
        <v>2267</v>
      </c>
      <c r="J2737" s="247">
        <v>32</v>
      </c>
      <c r="K2737" s="247">
        <v>32</v>
      </c>
      <c r="L2737" s="249" t="s">
        <v>937</v>
      </c>
      <c r="M2737" s="249" t="s">
        <v>929</v>
      </c>
      <c r="N2737" s="248">
        <v>0</v>
      </c>
      <c r="O2737" s="248">
        <v>84.01</v>
      </c>
      <c r="P2737" s="247" t="s">
        <v>1469</v>
      </c>
      <c r="Q2737" s="247" t="s">
        <v>91</v>
      </c>
    </row>
    <row r="2738" spans="1:17" x14ac:dyDescent="0.25">
      <c r="A2738" s="247" t="s">
        <v>646</v>
      </c>
      <c r="B2738" s="247" t="s">
        <v>265</v>
      </c>
      <c r="C2738" s="247" t="s">
        <v>1343</v>
      </c>
      <c r="D2738" s="247" t="s">
        <v>1356</v>
      </c>
      <c r="E2738" s="247" t="s">
        <v>755</v>
      </c>
      <c r="F2738" s="247" t="s">
        <v>2266</v>
      </c>
      <c r="G2738" s="247" t="s">
        <v>1357</v>
      </c>
      <c r="H2738" s="247" t="s">
        <v>402</v>
      </c>
      <c r="I2738" s="247" t="s">
        <v>2267</v>
      </c>
      <c r="J2738" s="247">
        <v>32</v>
      </c>
      <c r="K2738" s="247">
        <v>32</v>
      </c>
      <c r="L2738" s="249" t="s">
        <v>938</v>
      </c>
      <c r="M2738" s="249" t="s">
        <v>929</v>
      </c>
      <c r="N2738" s="248">
        <v>0</v>
      </c>
      <c r="O2738" s="248">
        <v>84.01</v>
      </c>
      <c r="P2738" s="247" t="s">
        <v>1469</v>
      </c>
      <c r="Q2738" s="247" t="s">
        <v>92</v>
      </c>
    </row>
    <row r="2739" spans="1:17" x14ac:dyDescent="0.25">
      <c r="A2739" s="247" t="s">
        <v>646</v>
      </c>
      <c r="B2739" s="247" t="s">
        <v>265</v>
      </c>
      <c r="C2739" s="247" t="s">
        <v>1343</v>
      </c>
      <c r="D2739" s="247" t="s">
        <v>1356</v>
      </c>
      <c r="E2739" s="247" t="s">
        <v>755</v>
      </c>
      <c r="F2739" s="247" t="s">
        <v>2266</v>
      </c>
      <c r="G2739" s="247" t="s">
        <v>1357</v>
      </c>
      <c r="H2739" s="247" t="s">
        <v>402</v>
      </c>
      <c r="I2739" s="247" t="s">
        <v>2267</v>
      </c>
      <c r="J2739" s="247">
        <v>32</v>
      </c>
      <c r="K2739" s="247">
        <v>32</v>
      </c>
      <c r="L2739" s="249" t="s">
        <v>939</v>
      </c>
      <c r="M2739" s="249" t="s">
        <v>929</v>
      </c>
      <c r="N2739" s="248">
        <v>0</v>
      </c>
      <c r="O2739" s="248">
        <v>84.01</v>
      </c>
      <c r="P2739" s="247" t="s">
        <v>1469</v>
      </c>
      <c r="Q2739" s="247" t="s">
        <v>93</v>
      </c>
    </row>
    <row r="2740" spans="1:17" x14ac:dyDescent="0.25">
      <c r="A2740" s="247" t="s">
        <v>646</v>
      </c>
      <c r="B2740" s="247" t="s">
        <v>265</v>
      </c>
      <c r="C2740" s="247" t="s">
        <v>1343</v>
      </c>
      <c r="D2740" s="247" t="s">
        <v>1356</v>
      </c>
      <c r="E2740" s="247" t="s">
        <v>755</v>
      </c>
      <c r="F2740" s="247" t="s">
        <v>2266</v>
      </c>
      <c r="G2740" s="247" t="s">
        <v>1357</v>
      </c>
      <c r="H2740" s="247" t="s">
        <v>402</v>
      </c>
      <c r="I2740" s="247" t="s">
        <v>2267</v>
      </c>
      <c r="J2740" s="247">
        <v>32</v>
      </c>
      <c r="K2740" s="247">
        <v>32</v>
      </c>
      <c r="L2740" s="249" t="s">
        <v>940</v>
      </c>
      <c r="M2740" s="249" t="s">
        <v>929</v>
      </c>
      <c r="N2740" s="248">
        <v>0</v>
      </c>
      <c r="O2740" s="248">
        <v>84.01</v>
      </c>
      <c r="P2740" s="247" t="s">
        <v>1469</v>
      </c>
      <c r="Q2740" s="247" t="s">
        <v>94</v>
      </c>
    </row>
    <row r="2741" spans="1:17" x14ac:dyDescent="0.25">
      <c r="A2741" s="247" t="s">
        <v>646</v>
      </c>
      <c r="B2741" s="247" t="s">
        <v>265</v>
      </c>
      <c r="C2741" s="247" t="s">
        <v>1343</v>
      </c>
      <c r="D2741" s="247" t="s">
        <v>1356</v>
      </c>
      <c r="E2741" s="247" t="s">
        <v>755</v>
      </c>
      <c r="F2741" s="247" t="s">
        <v>2266</v>
      </c>
      <c r="G2741" s="247" t="s">
        <v>1357</v>
      </c>
      <c r="H2741" s="247" t="s">
        <v>402</v>
      </c>
      <c r="I2741" s="247" t="s">
        <v>2267</v>
      </c>
      <c r="J2741" s="247">
        <v>32</v>
      </c>
      <c r="K2741" s="247">
        <v>32</v>
      </c>
      <c r="L2741" s="249" t="s">
        <v>642</v>
      </c>
      <c r="M2741" s="249" t="s">
        <v>929</v>
      </c>
      <c r="N2741" s="248">
        <v>0</v>
      </c>
      <c r="O2741" s="248">
        <v>84.01</v>
      </c>
      <c r="P2741" s="247" t="s">
        <v>1469</v>
      </c>
      <c r="Q2741" s="247" t="s">
        <v>95</v>
      </c>
    </row>
    <row r="2742" spans="1:17" x14ac:dyDescent="0.25">
      <c r="A2742" s="247" t="s">
        <v>646</v>
      </c>
      <c r="B2742" s="247" t="s">
        <v>265</v>
      </c>
      <c r="C2742" s="247" t="s">
        <v>1343</v>
      </c>
      <c r="D2742" s="247" t="s">
        <v>946</v>
      </c>
      <c r="E2742" s="247" t="s">
        <v>755</v>
      </c>
      <c r="F2742" s="247" t="s">
        <v>2268</v>
      </c>
      <c r="G2742" s="247" t="s">
        <v>1359</v>
      </c>
      <c r="H2742" s="247" t="s">
        <v>402</v>
      </c>
      <c r="I2742" s="247" t="s">
        <v>2269</v>
      </c>
      <c r="J2742" s="247">
        <v>32</v>
      </c>
      <c r="K2742" s="247">
        <v>32</v>
      </c>
      <c r="L2742" s="249" t="s">
        <v>646</v>
      </c>
      <c r="M2742" s="249" t="s">
        <v>933</v>
      </c>
      <c r="N2742" s="248">
        <v>37.520000000000003</v>
      </c>
      <c r="O2742" s="248">
        <v>37.520000000000003</v>
      </c>
      <c r="P2742" s="247" t="s">
        <v>1470</v>
      </c>
      <c r="Q2742" s="247" t="s">
        <v>84</v>
      </c>
    </row>
    <row r="2743" spans="1:17" x14ac:dyDescent="0.25">
      <c r="A2743" s="247" t="s">
        <v>646</v>
      </c>
      <c r="B2743" s="247" t="s">
        <v>265</v>
      </c>
      <c r="C2743" s="247" t="s">
        <v>1343</v>
      </c>
      <c r="D2743" s="247" t="s">
        <v>946</v>
      </c>
      <c r="E2743" s="247" t="s">
        <v>755</v>
      </c>
      <c r="F2743" s="247" t="s">
        <v>2268</v>
      </c>
      <c r="G2743" s="247" t="s">
        <v>1359</v>
      </c>
      <c r="H2743" s="247" t="s">
        <v>402</v>
      </c>
      <c r="I2743" s="247" t="s">
        <v>2269</v>
      </c>
      <c r="J2743" s="247">
        <v>32</v>
      </c>
      <c r="K2743" s="247">
        <v>32</v>
      </c>
      <c r="L2743" s="249" t="s">
        <v>650</v>
      </c>
      <c r="M2743" s="249" t="s">
        <v>933</v>
      </c>
      <c r="N2743" s="248">
        <v>23.93</v>
      </c>
      <c r="O2743" s="248">
        <v>61.45</v>
      </c>
      <c r="P2743" s="247" t="s">
        <v>1470</v>
      </c>
      <c r="Q2743" s="247" t="s">
        <v>85</v>
      </c>
    </row>
    <row r="2744" spans="1:17" x14ac:dyDescent="0.25">
      <c r="A2744" s="247" t="s">
        <v>646</v>
      </c>
      <c r="B2744" s="247" t="s">
        <v>265</v>
      </c>
      <c r="C2744" s="247" t="s">
        <v>1343</v>
      </c>
      <c r="D2744" s="247" t="s">
        <v>946</v>
      </c>
      <c r="E2744" s="247" t="s">
        <v>755</v>
      </c>
      <c r="F2744" s="247" t="s">
        <v>2268</v>
      </c>
      <c r="G2744" s="247" t="s">
        <v>1359</v>
      </c>
      <c r="H2744" s="247" t="s">
        <v>402</v>
      </c>
      <c r="I2744" s="247" t="s">
        <v>2269</v>
      </c>
      <c r="J2744" s="247">
        <v>32</v>
      </c>
      <c r="K2744" s="247">
        <v>32</v>
      </c>
      <c r="L2744" s="249" t="s">
        <v>652</v>
      </c>
      <c r="M2744" s="249" t="s">
        <v>933</v>
      </c>
      <c r="N2744" s="248">
        <v>24.04</v>
      </c>
      <c r="O2744" s="248">
        <v>85.49</v>
      </c>
      <c r="P2744" s="247" t="s">
        <v>1470</v>
      </c>
      <c r="Q2744" s="247" t="s">
        <v>86</v>
      </c>
    </row>
    <row r="2745" spans="1:17" x14ac:dyDescent="0.25">
      <c r="A2745" s="247" t="s">
        <v>646</v>
      </c>
      <c r="B2745" s="247" t="s">
        <v>265</v>
      </c>
      <c r="C2745" s="247" t="s">
        <v>1343</v>
      </c>
      <c r="D2745" s="247" t="s">
        <v>946</v>
      </c>
      <c r="E2745" s="247" t="s">
        <v>755</v>
      </c>
      <c r="F2745" s="247" t="s">
        <v>2268</v>
      </c>
      <c r="G2745" s="247" t="s">
        <v>1359</v>
      </c>
      <c r="H2745" s="247" t="s">
        <v>402</v>
      </c>
      <c r="I2745" s="247" t="s">
        <v>2269</v>
      </c>
      <c r="J2745" s="247">
        <v>32</v>
      </c>
      <c r="K2745" s="247">
        <v>32</v>
      </c>
      <c r="L2745" s="249" t="s">
        <v>789</v>
      </c>
      <c r="M2745" s="249" t="s">
        <v>929</v>
      </c>
      <c r="N2745" s="248">
        <v>26.52</v>
      </c>
      <c r="O2745" s="248">
        <v>26.52</v>
      </c>
      <c r="P2745" s="247" t="s">
        <v>1470</v>
      </c>
      <c r="Q2745" s="247" t="s">
        <v>87</v>
      </c>
    </row>
    <row r="2746" spans="1:17" x14ac:dyDescent="0.25">
      <c r="A2746" s="247" t="s">
        <v>646</v>
      </c>
      <c r="B2746" s="247" t="s">
        <v>265</v>
      </c>
      <c r="C2746" s="247" t="s">
        <v>1343</v>
      </c>
      <c r="D2746" s="247" t="s">
        <v>946</v>
      </c>
      <c r="E2746" s="247" t="s">
        <v>755</v>
      </c>
      <c r="F2746" s="247" t="s">
        <v>2268</v>
      </c>
      <c r="G2746" s="247" t="s">
        <v>1359</v>
      </c>
      <c r="H2746" s="247" t="s">
        <v>402</v>
      </c>
      <c r="I2746" s="247" t="s">
        <v>2269</v>
      </c>
      <c r="J2746" s="247">
        <v>32</v>
      </c>
      <c r="K2746" s="247">
        <v>32</v>
      </c>
      <c r="L2746" s="249" t="s">
        <v>791</v>
      </c>
      <c r="M2746" s="249" t="s">
        <v>929</v>
      </c>
      <c r="N2746" s="248">
        <v>20.78</v>
      </c>
      <c r="O2746" s="248">
        <v>47.3</v>
      </c>
      <c r="P2746" s="247" t="s">
        <v>1470</v>
      </c>
      <c r="Q2746" s="247" t="s">
        <v>88</v>
      </c>
    </row>
    <row r="2747" spans="1:17" x14ac:dyDescent="0.25">
      <c r="A2747" s="247" t="s">
        <v>646</v>
      </c>
      <c r="B2747" s="247" t="s">
        <v>265</v>
      </c>
      <c r="C2747" s="247" t="s">
        <v>1343</v>
      </c>
      <c r="D2747" s="247" t="s">
        <v>946</v>
      </c>
      <c r="E2747" s="247" t="s">
        <v>755</v>
      </c>
      <c r="F2747" s="247" t="s">
        <v>2268</v>
      </c>
      <c r="G2747" s="247" t="s">
        <v>1359</v>
      </c>
      <c r="H2747" s="247" t="s">
        <v>402</v>
      </c>
      <c r="I2747" s="247" t="s">
        <v>2269</v>
      </c>
      <c r="J2747" s="247">
        <v>32</v>
      </c>
      <c r="K2747" s="247">
        <v>32</v>
      </c>
      <c r="L2747" s="249" t="s">
        <v>935</v>
      </c>
      <c r="M2747" s="249" t="s">
        <v>929</v>
      </c>
      <c r="N2747" s="248">
        <v>22.48</v>
      </c>
      <c r="O2747" s="248">
        <v>69.78</v>
      </c>
      <c r="P2747" s="247" t="s">
        <v>1470</v>
      </c>
      <c r="Q2747" s="247" t="s">
        <v>89</v>
      </c>
    </row>
    <row r="2748" spans="1:17" x14ac:dyDescent="0.25">
      <c r="A2748" s="247" t="s">
        <v>646</v>
      </c>
      <c r="B2748" s="247" t="s">
        <v>265</v>
      </c>
      <c r="C2748" s="247" t="s">
        <v>1343</v>
      </c>
      <c r="D2748" s="247" t="s">
        <v>946</v>
      </c>
      <c r="E2748" s="247" t="s">
        <v>755</v>
      </c>
      <c r="F2748" s="247" t="s">
        <v>2268</v>
      </c>
      <c r="G2748" s="247" t="s">
        <v>1359</v>
      </c>
      <c r="H2748" s="247" t="s">
        <v>402</v>
      </c>
      <c r="I2748" s="247" t="s">
        <v>2269</v>
      </c>
      <c r="J2748" s="247">
        <v>32</v>
      </c>
      <c r="K2748" s="247">
        <v>32</v>
      </c>
      <c r="L2748" s="249" t="s">
        <v>936</v>
      </c>
      <c r="M2748" s="249" t="s">
        <v>929</v>
      </c>
      <c r="N2748" s="248">
        <v>42.71</v>
      </c>
      <c r="O2748" s="248">
        <v>112.49</v>
      </c>
      <c r="P2748" s="247" t="s">
        <v>1470</v>
      </c>
      <c r="Q2748" s="247" t="s">
        <v>90</v>
      </c>
    </row>
    <row r="2749" spans="1:17" x14ac:dyDescent="0.25">
      <c r="A2749" s="247" t="s">
        <v>646</v>
      </c>
      <c r="B2749" s="247" t="s">
        <v>265</v>
      </c>
      <c r="C2749" s="247" t="s">
        <v>1343</v>
      </c>
      <c r="D2749" s="247" t="s">
        <v>946</v>
      </c>
      <c r="E2749" s="247" t="s">
        <v>755</v>
      </c>
      <c r="F2749" s="247" t="s">
        <v>2268</v>
      </c>
      <c r="G2749" s="247" t="s">
        <v>1359</v>
      </c>
      <c r="H2749" s="247" t="s">
        <v>402</v>
      </c>
      <c r="I2749" s="247" t="s">
        <v>2269</v>
      </c>
      <c r="J2749" s="247">
        <v>32</v>
      </c>
      <c r="K2749" s="247">
        <v>32</v>
      </c>
      <c r="L2749" s="249" t="s">
        <v>937</v>
      </c>
      <c r="M2749" s="249" t="s">
        <v>929</v>
      </c>
      <c r="N2749" s="248">
        <v>26.19</v>
      </c>
      <c r="O2749" s="248">
        <v>138.68</v>
      </c>
      <c r="P2749" s="247" t="s">
        <v>1470</v>
      </c>
      <c r="Q2749" s="247" t="s">
        <v>91</v>
      </c>
    </row>
    <row r="2750" spans="1:17" x14ac:dyDescent="0.25">
      <c r="A2750" s="247" t="s">
        <v>646</v>
      </c>
      <c r="B2750" s="247" t="s">
        <v>265</v>
      </c>
      <c r="C2750" s="247" t="s">
        <v>1343</v>
      </c>
      <c r="D2750" s="247" t="s">
        <v>946</v>
      </c>
      <c r="E2750" s="247" t="s">
        <v>755</v>
      </c>
      <c r="F2750" s="247" t="s">
        <v>2268</v>
      </c>
      <c r="G2750" s="247" t="s">
        <v>1359</v>
      </c>
      <c r="H2750" s="247" t="s">
        <v>402</v>
      </c>
      <c r="I2750" s="247" t="s">
        <v>2269</v>
      </c>
      <c r="J2750" s="247">
        <v>32</v>
      </c>
      <c r="K2750" s="247">
        <v>32</v>
      </c>
      <c r="L2750" s="249" t="s">
        <v>938</v>
      </c>
      <c r="M2750" s="249" t="s">
        <v>929</v>
      </c>
      <c r="N2750" s="248">
        <v>26.31</v>
      </c>
      <c r="O2750" s="248">
        <v>164.99</v>
      </c>
      <c r="P2750" s="247" t="s">
        <v>1470</v>
      </c>
      <c r="Q2750" s="247" t="s">
        <v>92</v>
      </c>
    </row>
    <row r="2751" spans="1:17" x14ac:dyDescent="0.25">
      <c r="A2751" s="247" t="s">
        <v>646</v>
      </c>
      <c r="B2751" s="247" t="s">
        <v>265</v>
      </c>
      <c r="C2751" s="247" t="s">
        <v>1343</v>
      </c>
      <c r="D2751" s="247" t="s">
        <v>946</v>
      </c>
      <c r="E2751" s="247" t="s">
        <v>755</v>
      </c>
      <c r="F2751" s="247" t="s">
        <v>2268</v>
      </c>
      <c r="G2751" s="247" t="s">
        <v>1359</v>
      </c>
      <c r="H2751" s="247" t="s">
        <v>402</v>
      </c>
      <c r="I2751" s="247" t="s">
        <v>2269</v>
      </c>
      <c r="J2751" s="247">
        <v>32</v>
      </c>
      <c r="K2751" s="247">
        <v>32</v>
      </c>
      <c r="L2751" s="249" t="s">
        <v>939</v>
      </c>
      <c r="M2751" s="249" t="s">
        <v>929</v>
      </c>
      <c r="N2751" s="248">
        <v>27.53</v>
      </c>
      <c r="O2751" s="248">
        <v>192.52</v>
      </c>
      <c r="P2751" s="247" t="s">
        <v>1470</v>
      </c>
      <c r="Q2751" s="247" t="s">
        <v>93</v>
      </c>
    </row>
    <row r="2752" spans="1:17" x14ac:dyDescent="0.25">
      <c r="A2752" s="247" t="s">
        <v>646</v>
      </c>
      <c r="B2752" s="247" t="s">
        <v>265</v>
      </c>
      <c r="C2752" s="247" t="s">
        <v>1343</v>
      </c>
      <c r="D2752" s="247" t="s">
        <v>946</v>
      </c>
      <c r="E2752" s="247" t="s">
        <v>755</v>
      </c>
      <c r="F2752" s="247" t="s">
        <v>2268</v>
      </c>
      <c r="G2752" s="247" t="s">
        <v>1359</v>
      </c>
      <c r="H2752" s="247" t="s">
        <v>402</v>
      </c>
      <c r="I2752" s="247" t="s">
        <v>2269</v>
      </c>
      <c r="J2752" s="247">
        <v>32</v>
      </c>
      <c r="K2752" s="247">
        <v>32</v>
      </c>
      <c r="L2752" s="249" t="s">
        <v>940</v>
      </c>
      <c r="M2752" s="249" t="s">
        <v>929</v>
      </c>
      <c r="N2752" s="248">
        <v>26.17</v>
      </c>
      <c r="O2752" s="248">
        <v>218.69</v>
      </c>
      <c r="P2752" s="247" t="s">
        <v>1470</v>
      </c>
      <c r="Q2752" s="247" t="s">
        <v>94</v>
      </c>
    </row>
    <row r="2753" spans="1:17" x14ac:dyDescent="0.25">
      <c r="A2753" s="247" t="s">
        <v>646</v>
      </c>
      <c r="B2753" s="247" t="s">
        <v>265</v>
      </c>
      <c r="C2753" s="247" t="s">
        <v>1343</v>
      </c>
      <c r="D2753" s="247" t="s">
        <v>946</v>
      </c>
      <c r="E2753" s="247" t="s">
        <v>755</v>
      </c>
      <c r="F2753" s="247" t="s">
        <v>2268</v>
      </c>
      <c r="G2753" s="247" t="s">
        <v>1359</v>
      </c>
      <c r="H2753" s="247" t="s">
        <v>402</v>
      </c>
      <c r="I2753" s="247" t="s">
        <v>2269</v>
      </c>
      <c r="J2753" s="247">
        <v>32</v>
      </c>
      <c r="K2753" s="247">
        <v>32</v>
      </c>
      <c r="L2753" s="249" t="s">
        <v>642</v>
      </c>
      <c r="M2753" s="249" t="s">
        <v>929</v>
      </c>
      <c r="N2753" s="248">
        <v>37.32</v>
      </c>
      <c r="O2753" s="248">
        <v>256.01</v>
      </c>
      <c r="P2753" s="247" t="s">
        <v>1470</v>
      </c>
      <c r="Q2753" s="247" t="s">
        <v>95</v>
      </c>
    </row>
    <row r="2754" spans="1:17" x14ac:dyDescent="0.25">
      <c r="A2754" s="247" t="s">
        <v>646</v>
      </c>
      <c r="B2754" s="247" t="s">
        <v>265</v>
      </c>
      <c r="C2754" s="247" t="s">
        <v>1343</v>
      </c>
      <c r="D2754" s="247" t="s">
        <v>1361</v>
      </c>
      <c r="E2754" s="247" t="s">
        <v>755</v>
      </c>
      <c r="F2754" s="247" t="s">
        <v>2270</v>
      </c>
      <c r="G2754" s="247" t="s">
        <v>1396</v>
      </c>
      <c r="H2754" s="247" t="s">
        <v>402</v>
      </c>
      <c r="I2754" s="247" t="s">
        <v>2271</v>
      </c>
      <c r="J2754" s="247">
        <v>31</v>
      </c>
      <c r="K2754" s="247">
        <v>31</v>
      </c>
      <c r="L2754" s="249" t="s">
        <v>646</v>
      </c>
      <c r="M2754" s="249" t="s">
        <v>933</v>
      </c>
      <c r="N2754" s="248">
        <v>926.69</v>
      </c>
      <c r="O2754" s="248">
        <v>926.69</v>
      </c>
      <c r="P2754" s="247" t="s">
        <v>1471</v>
      </c>
      <c r="Q2754" s="247" t="s">
        <v>84</v>
      </c>
    </row>
    <row r="2755" spans="1:17" x14ac:dyDescent="0.25">
      <c r="A2755" s="247" t="s">
        <v>646</v>
      </c>
      <c r="B2755" s="247" t="s">
        <v>265</v>
      </c>
      <c r="C2755" s="247" t="s">
        <v>1343</v>
      </c>
      <c r="D2755" s="247" t="s">
        <v>1361</v>
      </c>
      <c r="E2755" s="247" t="s">
        <v>755</v>
      </c>
      <c r="F2755" s="247" t="s">
        <v>2270</v>
      </c>
      <c r="G2755" s="247" t="s">
        <v>1396</v>
      </c>
      <c r="H2755" s="247" t="s">
        <v>402</v>
      </c>
      <c r="I2755" s="247" t="s">
        <v>2271</v>
      </c>
      <c r="J2755" s="247">
        <v>31</v>
      </c>
      <c r="K2755" s="247">
        <v>31</v>
      </c>
      <c r="L2755" s="249" t="s">
        <v>650</v>
      </c>
      <c r="M2755" s="249" t="s">
        <v>933</v>
      </c>
      <c r="N2755" s="248">
        <v>596.04999999999995</v>
      </c>
      <c r="O2755" s="248">
        <v>1522.74</v>
      </c>
      <c r="P2755" s="247" t="s">
        <v>1471</v>
      </c>
      <c r="Q2755" s="247" t="s">
        <v>85</v>
      </c>
    </row>
    <row r="2756" spans="1:17" x14ac:dyDescent="0.25">
      <c r="A2756" s="247" t="s">
        <v>646</v>
      </c>
      <c r="B2756" s="247" t="s">
        <v>265</v>
      </c>
      <c r="C2756" s="247" t="s">
        <v>1343</v>
      </c>
      <c r="D2756" s="247" t="s">
        <v>1361</v>
      </c>
      <c r="E2756" s="247" t="s">
        <v>755</v>
      </c>
      <c r="F2756" s="247" t="s">
        <v>2270</v>
      </c>
      <c r="G2756" s="247" t="s">
        <v>1396</v>
      </c>
      <c r="H2756" s="247" t="s">
        <v>402</v>
      </c>
      <c r="I2756" s="247" t="s">
        <v>2271</v>
      </c>
      <c r="J2756" s="247">
        <v>31</v>
      </c>
      <c r="K2756" s="247">
        <v>31</v>
      </c>
      <c r="L2756" s="249" t="s">
        <v>652</v>
      </c>
      <c r="M2756" s="249" t="s">
        <v>933</v>
      </c>
      <c r="N2756" s="248">
        <v>593.86</v>
      </c>
      <c r="O2756" s="248">
        <v>2116.6</v>
      </c>
      <c r="P2756" s="247" t="s">
        <v>1471</v>
      </c>
      <c r="Q2756" s="247" t="s">
        <v>86</v>
      </c>
    </row>
    <row r="2757" spans="1:17" x14ac:dyDescent="0.25">
      <c r="A2757" s="247" t="s">
        <v>646</v>
      </c>
      <c r="B2757" s="247" t="s">
        <v>265</v>
      </c>
      <c r="C2757" s="247" t="s">
        <v>1343</v>
      </c>
      <c r="D2757" s="247" t="s">
        <v>1361</v>
      </c>
      <c r="E2757" s="247" t="s">
        <v>755</v>
      </c>
      <c r="F2757" s="247" t="s">
        <v>2270</v>
      </c>
      <c r="G2757" s="247" t="s">
        <v>1396</v>
      </c>
      <c r="H2757" s="247" t="s">
        <v>402</v>
      </c>
      <c r="I2757" s="247" t="s">
        <v>2271</v>
      </c>
      <c r="J2757" s="247">
        <v>31</v>
      </c>
      <c r="K2757" s="247">
        <v>31</v>
      </c>
      <c r="L2757" s="249" t="s">
        <v>789</v>
      </c>
      <c r="M2757" s="249" t="s">
        <v>929</v>
      </c>
      <c r="N2757" s="248">
        <v>635.96</v>
      </c>
      <c r="O2757" s="248">
        <v>635.96</v>
      </c>
      <c r="P2757" s="247" t="s">
        <v>1471</v>
      </c>
      <c r="Q2757" s="247" t="s">
        <v>87</v>
      </c>
    </row>
    <row r="2758" spans="1:17" x14ac:dyDescent="0.25">
      <c r="A2758" s="247" t="s">
        <v>646</v>
      </c>
      <c r="B2758" s="247" t="s">
        <v>265</v>
      </c>
      <c r="C2758" s="247" t="s">
        <v>1343</v>
      </c>
      <c r="D2758" s="247" t="s">
        <v>1361</v>
      </c>
      <c r="E2758" s="247" t="s">
        <v>755</v>
      </c>
      <c r="F2758" s="247" t="s">
        <v>2270</v>
      </c>
      <c r="G2758" s="247" t="s">
        <v>1396</v>
      </c>
      <c r="H2758" s="247" t="s">
        <v>402</v>
      </c>
      <c r="I2758" s="247" t="s">
        <v>2271</v>
      </c>
      <c r="J2758" s="247">
        <v>31</v>
      </c>
      <c r="K2758" s="247">
        <v>31</v>
      </c>
      <c r="L2758" s="249" t="s">
        <v>791</v>
      </c>
      <c r="M2758" s="249" t="s">
        <v>929</v>
      </c>
      <c r="N2758" s="248">
        <v>630.36</v>
      </c>
      <c r="O2758" s="248">
        <v>1266.32</v>
      </c>
      <c r="P2758" s="247" t="s">
        <v>1471</v>
      </c>
      <c r="Q2758" s="247" t="s">
        <v>88</v>
      </c>
    </row>
    <row r="2759" spans="1:17" x14ac:dyDescent="0.25">
      <c r="A2759" s="247" t="s">
        <v>646</v>
      </c>
      <c r="B2759" s="247" t="s">
        <v>265</v>
      </c>
      <c r="C2759" s="247" t="s">
        <v>1343</v>
      </c>
      <c r="D2759" s="247" t="s">
        <v>1361</v>
      </c>
      <c r="E2759" s="247" t="s">
        <v>755</v>
      </c>
      <c r="F2759" s="247" t="s">
        <v>2270</v>
      </c>
      <c r="G2759" s="247" t="s">
        <v>1396</v>
      </c>
      <c r="H2759" s="247" t="s">
        <v>402</v>
      </c>
      <c r="I2759" s="247" t="s">
        <v>2271</v>
      </c>
      <c r="J2759" s="247">
        <v>31</v>
      </c>
      <c r="K2759" s="247">
        <v>31</v>
      </c>
      <c r="L2759" s="249" t="s">
        <v>935</v>
      </c>
      <c r="M2759" s="249" t="s">
        <v>929</v>
      </c>
      <c r="N2759" s="248">
        <v>671.76</v>
      </c>
      <c r="O2759" s="248">
        <v>1938.08</v>
      </c>
      <c r="P2759" s="247" t="s">
        <v>1471</v>
      </c>
      <c r="Q2759" s="247" t="s">
        <v>89</v>
      </c>
    </row>
    <row r="2760" spans="1:17" x14ac:dyDescent="0.25">
      <c r="A2760" s="247" t="s">
        <v>646</v>
      </c>
      <c r="B2760" s="247" t="s">
        <v>265</v>
      </c>
      <c r="C2760" s="247" t="s">
        <v>1343</v>
      </c>
      <c r="D2760" s="247" t="s">
        <v>1361</v>
      </c>
      <c r="E2760" s="247" t="s">
        <v>755</v>
      </c>
      <c r="F2760" s="247" t="s">
        <v>2270</v>
      </c>
      <c r="G2760" s="247" t="s">
        <v>1396</v>
      </c>
      <c r="H2760" s="247" t="s">
        <v>402</v>
      </c>
      <c r="I2760" s="247" t="s">
        <v>2271</v>
      </c>
      <c r="J2760" s="247">
        <v>31</v>
      </c>
      <c r="K2760" s="247">
        <v>31</v>
      </c>
      <c r="L2760" s="249" t="s">
        <v>936</v>
      </c>
      <c r="M2760" s="249" t="s">
        <v>929</v>
      </c>
      <c r="N2760" s="248">
        <v>1193.42</v>
      </c>
      <c r="O2760" s="248">
        <v>3131.5</v>
      </c>
      <c r="P2760" s="247" t="s">
        <v>1471</v>
      </c>
      <c r="Q2760" s="247" t="s">
        <v>90</v>
      </c>
    </row>
    <row r="2761" spans="1:17" x14ac:dyDescent="0.25">
      <c r="A2761" s="247" t="s">
        <v>646</v>
      </c>
      <c r="B2761" s="247" t="s">
        <v>265</v>
      </c>
      <c r="C2761" s="247" t="s">
        <v>1343</v>
      </c>
      <c r="D2761" s="247" t="s">
        <v>1361</v>
      </c>
      <c r="E2761" s="247" t="s">
        <v>755</v>
      </c>
      <c r="F2761" s="247" t="s">
        <v>2270</v>
      </c>
      <c r="G2761" s="247" t="s">
        <v>1396</v>
      </c>
      <c r="H2761" s="247" t="s">
        <v>402</v>
      </c>
      <c r="I2761" s="247" t="s">
        <v>2271</v>
      </c>
      <c r="J2761" s="247">
        <v>31</v>
      </c>
      <c r="K2761" s="247">
        <v>31</v>
      </c>
      <c r="L2761" s="249" t="s">
        <v>937</v>
      </c>
      <c r="M2761" s="249" t="s">
        <v>929</v>
      </c>
      <c r="N2761" s="248">
        <v>742.35</v>
      </c>
      <c r="O2761" s="248">
        <v>3873.85</v>
      </c>
      <c r="P2761" s="247" t="s">
        <v>1471</v>
      </c>
      <c r="Q2761" s="247" t="s">
        <v>91</v>
      </c>
    </row>
    <row r="2762" spans="1:17" x14ac:dyDescent="0.25">
      <c r="A2762" s="247" t="s">
        <v>646</v>
      </c>
      <c r="B2762" s="247" t="s">
        <v>265</v>
      </c>
      <c r="C2762" s="247" t="s">
        <v>1343</v>
      </c>
      <c r="D2762" s="247" t="s">
        <v>1361</v>
      </c>
      <c r="E2762" s="247" t="s">
        <v>755</v>
      </c>
      <c r="F2762" s="247" t="s">
        <v>2270</v>
      </c>
      <c r="G2762" s="247" t="s">
        <v>1396</v>
      </c>
      <c r="H2762" s="247" t="s">
        <v>402</v>
      </c>
      <c r="I2762" s="247" t="s">
        <v>2271</v>
      </c>
      <c r="J2762" s="247">
        <v>31</v>
      </c>
      <c r="K2762" s="247">
        <v>31</v>
      </c>
      <c r="L2762" s="249" t="s">
        <v>938</v>
      </c>
      <c r="M2762" s="249" t="s">
        <v>929</v>
      </c>
      <c r="N2762" s="248">
        <v>281.95999999999998</v>
      </c>
      <c r="O2762" s="248">
        <v>4155.8100000000004</v>
      </c>
      <c r="P2762" s="247" t="s">
        <v>1471</v>
      </c>
      <c r="Q2762" s="247" t="s">
        <v>92</v>
      </c>
    </row>
    <row r="2763" spans="1:17" x14ac:dyDescent="0.25">
      <c r="A2763" s="247" t="s">
        <v>646</v>
      </c>
      <c r="B2763" s="247" t="s">
        <v>265</v>
      </c>
      <c r="C2763" s="247" t="s">
        <v>1343</v>
      </c>
      <c r="D2763" s="247" t="s">
        <v>1361</v>
      </c>
      <c r="E2763" s="247" t="s">
        <v>755</v>
      </c>
      <c r="F2763" s="247" t="s">
        <v>2270</v>
      </c>
      <c r="G2763" s="247" t="s">
        <v>1396</v>
      </c>
      <c r="H2763" s="247" t="s">
        <v>402</v>
      </c>
      <c r="I2763" s="247" t="s">
        <v>2271</v>
      </c>
      <c r="J2763" s="247">
        <v>31</v>
      </c>
      <c r="K2763" s="247">
        <v>31</v>
      </c>
      <c r="L2763" s="249" t="s">
        <v>939</v>
      </c>
      <c r="M2763" s="249" t="s">
        <v>929</v>
      </c>
      <c r="N2763" s="248">
        <v>728.31</v>
      </c>
      <c r="O2763" s="248">
        <v>4884.12</v>
      </c>
      <c r="P2763" s="247" t="s">
        <v>1471</v>
      </c>
      <c r="Q2763" s="247" t="s">
        <v>93</v>
      </c>
    </row>
    <row r="2764" spans="1:17" x14ac:dyDescent="0.25">
      <c r="A2764" s="247" t="s">
        <v>646</v>
      </c>
      <c r="B2764" s="247" t="s">
        <v>265</v>
      </c>
      <c r="C2764" s="247" t="s">
        <v>1343</v>
      </c>
      <c r="D2764" s="247" t="s">
        <v>1361</v>
      </c>
      <c r="E2764" s="247" t="s">
        <v>755</v>
      </c>
      <c r="F2764" s="247" t="s">
        <v>2270</v>
      </c>
      <c r="G2764" s="247" t="s">
        <v>1396</v>
      </c>
      <c r="H2764" s="247" t="s">
        <v>402</v>
      </c>
      <c r="I2764" s="247" t="s">
        <v>2271</v>
      </c>
      <c r="J2764" s="247">
        <v>31</v>
      </c>
      <c r="K2764" s="247">
        <v>31</v>
      </c>
      <c r="L2764" s="249" t="s">
        <v>940</v>
      </c>
      <c r="M2764" s="249" t="s">
        <v>929</v>
      </c>
      <c r="N2764" s="248">
        <v>723.43</v>
      </c>
      <c r="O2764" s="248">
        <v>5607.55</v>
      </c>
      <c r="P2764" s="247" t="s">
        <v>1471</v>
      </c>
      <c r="Q2764" s="247" t="s">
        <v>94</v>
      </c>
    </row>
    <row r="2765" spans="1:17" x14ac:dyDescent="0.25">
      <c r="A2765" s="247" t="s">
        <v>646</v>
      </c>
      <c r="B2765" s="247" t="s">
        <v>265</v>
      </c>
      <c r="C2765" s="247" t="s">
        <v>1343</v>
      </c>
      <c r="D2765" s="247" t="s">
        <v>1361</v>
      </c>
      <c r="E2765" s="247" t="s">
        <v>755</v>
      </c>
      <c r="F2765" s="247" t="s">
        <v>2270</v>
      </c>
      <c r="G2765" s="247" t="s">
        <v>1396</v>
      </c>
      <c r="H2765" s="247" t="s">
        <v>402</v>
      </c>
      <c r="I2765" s="247" t="s">
        <v>2271</v>
      </c>
      <c r="J2765" s="247">
        <v>31</v>
      </c>
      <c r="K2765" s="247">
        <v>31</v>
      </c>
      <c r="L2765" s="249" t="s">
        <v>642</v>
      </c>
      <c r="M2765" s="249" t="s">
        <v>929</v>
      </c>
      <c r="N2765" s="248">
        <v>889.76</v>
      </c>
      <c r="O2765" s="248">
        <v>6497.31</v>
      </c>
      <c r="P2765" s="247" t="s">
        <v>1471</v>
      </c>
      <c r="Q2765" s="247" t="s">
        <v>95</v>
      </c>
    </row>
    <row r="2766" spans="1:17" x14ac:dyDescent="0.25">
      <c r="A2766" s="247" t="s">
        <v>646</v>
      </c>
      <c r="B2766" s="247" t="s">
        <v>265</v>
      </c>
      <c r="C2766" s="247" t="s">
        <v>1343</v>
      </c>
      <c r="D2766" s="247" t="s">
        <v>926</v>
      </c>
      <c r="E2766" s="247" t="s">
        <v>569</v>
      </c>
      <c r="F2766" s="247" t="s">
        <v>2272</v>
      </c>
      <c r="G2766" s="247" t="s">
        <v>1344</v>
      </c>
      <c r="H2766" s="247" t="s">
        <v>397</v>
      </c>
      <c r="I2766" s="247" t="s">
        <v>2273</v>
      </c>
      <c r="J2766" s="247">
        <v>29</v>
      </c>
      <c r="K2766" s="247">
        <v>29</v>
      </c>
      <c r="L2766" s="249" t="s">
        <v>646</v>
      </c>
      <c r="M2766" s="249" t="s">
        <v>933</v>
      </c>
      <c r="N2766" s="248">
        <v>2542.42</v>
      </c>
      <c r="O2766" s="248">
        <v>2542.42</v>
      </c>
      <c r="P2766" s="247" t="s">
        <v>1472</v>
      </c>
      <c r="Q2766" s="247" t="s">
        <v>84</v>
      </c>
    </row>
    <row r="2767" spans="1:17" x14ac:dyDescent="0.25">
      <c r="A2767" s="247" t="s">
        <v>646</v>
      </c>
      <c r="B2767" s="247" t="s">
        <v>265</v>
      </c>
      <c r="C2767" s="247" t="s">
        <v>1343</v>
      </c>
      <c r="D2767" s="247" t="s">
        <v>926</v>
      </c>
      <c r="E2767" s="247" t="s">
        <v>569</v>
      </c>
      <c r="F2767" s="247" t="s">
        <v>2272</v>
      </c>
      <c r="G2767" s="247" t="s">
        <v>1344</v>
      </c>
      <c r="H2767" s="247" t="s">
        <v>397</v>
      </c>
      <c r="I2767" s="247" t="s">
        <v>2273</v>
      </c>
      <c r="J2767" s="247">
        <v>29</v>
      </c>
      <c r="K2767" s="247">
        <v>29</v>
      </c>
      <c r="L2767" s="249" t="s">
        <v>650</v>
      </c>
      <c r="M2767" s="249" t="s">
        <v>933</v>
      </c>
      <c r="N2767" s="248">
        <v>1836.2</v>
      </c>
      <c r="O2767" s="248">
        <v>4378.62</v>
      </c>
      <c r="P2767" s="247" t="s">
        <v>1472</v>
      </c>
      <c r="Q2767" s="247" t="s">
        <v>85</v>
      </c>
    </row>
    <row r="2768" spans="1:17" x14ac:dyDescent="0.25">
      <c r="A2768" s="247" t="s">
        <v>646</v>
      </c>
      <c r="B2768" s="247" t="s">
        <v>265</v>
      </c>
      <c r="C2768" s="247" t="s">
        <v>1343</v>
      </c>
      <c r="D2768" s="247" t="s">
        <v>926</v>
      </c>
      <c r="E2768" s="247" t="s">
        <v>569</v>
      </c>
      <c r="F2768" s="247" t="s">
        <v>2272</v>
      </c>
      <c r="G2768" s="247" t="s">
        <v>1344</v>
      </c>
      <c r="H2768" s="247" t="s">
        <v>397</v>
      </c>
      <c r="I2768" s="247" t="s">
        <v>2273</v>
      </c>
      <c r="J2768" s="247">
        <v>29</v>
      </c>
      <c r="K2768" s="247">
        <v>29</v>
      </c>
      <c r="L2768" s="249" t="s">
        <v>652</v>
      </c>
      <c r="M2768" s="249" t="s">
        <v>933</v>
      </c>
      <c r="N2768" s="248">
        <v>5463.55</v>
      </c>
      <c r="O2768" s="248">
        <v>9842.17</v>
      </c>
      <c r="P2768" s="247" t="s">
        <v>1472</v>
      </c>
      <c r="Q2768" s="247" t="s">
        <v>86</v>
      </c>
    </row>
    <row r="2769" spans="1:17" x14ac:dyDescent="0.25">
      <c r="A2769" s="247" t="s">
        <v>646</v>
      </c>
      <c r="B2769" s="247" t="s">
        <v>265</v>
      </c>
      <c r="C2769" s="247" t="s">
        <v>1343</v>
      </c>
      <c r="D2769" s="247" t="s">
        <v>926</v>
      </c>
      <c r="E2769" s="247" t="s">
        <v>569</v>
      </c>
      <c r="F2769" s="247" t="s">
        <v>2272</v>
      </c>
      <c r="G2769" s="247" t="s">
        <v>1344</v>
      </c>
      <c r="H2769" s="247" t="s">
        <v>397</v>
      </c>
      <c r="I2769" s="247" t="s">
        <v>2273</v>
      </c>
      <c r="J2769" s="247">
        <v>29</v>
      </c>
      <c r="K2769" s="247">
        <v>29</v>
      </c>
      <c r="L2769" s="249" t="s">
        <v>789</v>
      </c>
      <c r="M2769" s="249" t="s">
        <v>929</v>
      </c>
      <c r="N2769" s="248">
        <v>2787.8</v>
      </c>
      <c r="O2769" s="248">
        <v>2787.8</v>
      </c>
      <c r="P2769" s="247" t="s">
        <v>1472</v>
      </c>
      <c r="Q2769" s="247" t="s">
        <v>87</v>
      </c>
    </row>
    <row r="2770" spans="1:17" x14ac:dyDescent="0.25">
      <c r="A2770" s="247" t="s">
        <v>646</v>
      </c>
      <c r="B2770" s="247" t="s">
        <v>265</v>
      </c>
      <c r="C2770" s="247" t="s">
        <v>1343</v>
      </c>
      <c r="D2770" s="247" t="s">
        <v>926</v>
      </c>
      <c r="E2770" s="247" t="s">
        <v>569</v>
      </c>
      <c r="F2770" s="247" t="s">
        <v>2272</v>
      </c>
      <c r="G2770" s="247" t="s">
        <v>1344</v>
      </c>
      <c r="H2770" s="247" t="s">
        <v>397</v>
      </c>
      <c r="I2770" s="247" t="s">
        <v>2273</v>
      </c>
      <c r="J2770" s="247">
        <v>29</v>
      </c>
      <c r="K2770" s="247">
        <v>29</v>
      </c>
      <c r="L2770" s="249" t="s">
        <v>791</v>
      </c>
      <c r="M2770" s="249" t="s">
        <v>929</v>
      </c>
      <c r="N2770" s="248">
        <v>2787.8</v>
      </c>
      <c r="O2770" s="248">
        <v>5575.6</v>
      </c>
      <c r="P2770" s="247" t="s">
        <v>1472</v>
      </c>
      <c r="Q2770" s="247" t="s">
        <v>88</v>
      </c>
    </row>
    <row r="2771" spans="1:17" x14ac:dyDescent="0.25">
      <c r="A2771" s="247" t="s">
        <v>646</v>
      </c>
      <c r="B2771" s="247" t="s">
        <v>265</v>
      </c>
      <c r="C2771" s="247" t="s">
        <v>1343</v>
      </c>
      <c r="D2771" s="247" t="s">
        <v>926</v>
      </c>
      <c r="E2771" s="247" t="s">
        <v>569</v>
      </c>
      <c r="F2771" s="247" t="s">
        <v>2272</v>
      </c>
      <c r="G2771" s="247" t="s">
        <v>1344</v>
      </c>
      <c r="H2771" s="247" t="s">
        <v>397</v>
      </c>
      <c r="I2771" s="247" t="s">
        <v>2273</v>
      </c>
      <c r="J2771" s="247">
        <v>29</v>
      </c>
      <c r="K2771" s="247">
        <v>29</v>
      </c>
      <c r="L2771" s="249" t="s">
        <v>935</v>
      </c>
      <c r="M2771" s="249" t="s">
        <v>929</v>
      </c>
      <c r="N2771" s="248">
        <v>2787.8</v>
      </c>
      <c r="O2771" s="248">
        <v>8363.4</v>
      </c>
      <c r="P2771" s="247" t="s">
        <v>1472</v>
      </c>
      <c r="Q2771" s="247" t="s">
        <v>89</v>
      </c>
    </row>
    <row r="2772" spans="1:17" x14ac:dyDescent="0.25">
      <c r="A2772" s="247" t="s">
        <v>646</v>
      </c>
      <c r="B2772" s="247" t="s">
        <v>265</v>
      </c>
      <c r="C2772" s="247" t="s">
        <v>1343</v>
      </c>
      <c r="D2772" s="247" t="s">
        <v>926</v>
      </c>
      <c r="E2772" s="247" t="s">
        <v>569</v>
      </c>
      <c r="F2772" s="247" t="s">
        <v>2272</v>
      </c>
      <c r="G2772" s="247" t="s">
        <v>1344</v>
      </c>
      <c r="H2772" s="247" t="s">
        <v>397</v>
      </c>
      <c r="I2772" s="247" t="s">
        <v>2273</v>
      </c>
      <c r="J2772" s="247">
        <v>29</v>
      </c>
      <c r="K2772" s="247">
        <v>29</v>
      </c>
      <c r="L2772" s="249" t="s">
        <v>936</v>
      </c>
      <c r="M2772" s="249" t="s">
        <v>929</v>
      </c>
      <c r="N2772" s="248">
        <v>2787.8</v>
      </c>
      <c r="O2772" s="248">
        <v>11151.2</v>
      </c>
      <c r="P2772" s="247" t="s">
        <v>1472</v>
      </c>
      <c r="Q2772" s="247" t="s">
        <v>90</v>
      </c>
    </row>
    <row r="2773" spans="1:17" x14ac:dyDescent="0.25">
      <c r="A2773" s="247" t="s">
        <v>646</v>
      </c>
      <c r="B2773" s="247" t="s">
        <v>265</v>
      </c>
      <c r="C2773" s="247" t="s">
        <v>1343</v>
      </c>
      <c r="D2773" s="247" t="s">
        <v>926</v>
      </c>
      <c r="E2773" s="247" t="s">
        <v>569</v>
      </c>
      <c r="F2773" s="247" t="s">
        <v>2272</v>
      </c>
      <c r="G2773" s="247" t="s">
        <v>1344</v>
      </c>
      <c r="H2773" s="247" t="s">
        <v>397</v>
      </c>
      <c r="I2773" s="247" t="s">
        <v>2273</v>
      </c>
      <c r="J2773" s="247">
        <v>29</v>
      </c>
      <c r="K2773" s="247">
        <v>29</v>
      </c>
      <c r="L2773" s="249" t="s">
        <v>937</v>
      </c>
      <c r="M2773" s="249" t="s">
        <v>929</v>
      </c>
      <c r="N2773" s="248">
        <v>2787.8</v>
      </c>
      <c r="O2773" s="248">
        <v>13939</v>
      </c>
      <c r="P2773" s="247" t="s">
        <v>1472</v>
      </c>
      <c r="Q2773" s="247" t="s">
        <v>91</v>
      </c>
    </row>
    <row r="2774" spans="1:17" x14ac:dyDescent="0.25">
      <c r="A2774" s="247" t="s">
        <v>646</v>
      </c>
      <c r="B2774" s="247" t="s">
        <v>265</v>
      </c>
      <c r="C2774" s="247" t="s">
        <v>1343</v>
      </c>
      <c r="D2774" s="247" t="s">
        <v>926</v>
      </c>
      <c r="E2774" s="247" t="s">
        <v>569</v>
      </c>
      <c r="F2774" s="247" t="s">
        <v>2272</v>
      </c>
      <c r="G2774" s="247" t="s">
        <v>1344</v>
      </c>
      <c r="H2774" s="247" t="s">
        <v>397</v>
      </c>
      <c r="I2774" s="247" t="s">
        <v>2273</v>
      </c>
      <c r="J2774" s="247">
        <v>29</v>
      </c>
      <c r="K2774" s="247">
        <v>29</v>
      </c>
      <c r="L2774" s="249" t="s">
        <v>938</v>
      </c>
      <c r="M2774" s="249" t="s">
        <v>929</v>
      </c>
      <c r="N2774" s="248">
        <v>2230.2399999999998</v>
      </c>
      <c r="O2774" s="248">
        <v>16169.24</v>
      </c>
      <c r="P2774" s="247" t="s">
        <v>1472</v>
      </c>
      <c r="Q2774" s="247" t="s">
        <v>92</v>
      </c>
    </row>
    <row r="2775" spans="1:17" x14ac:dyDescent="0.25">
      <c r="A2775" s="247" t="s">
        <v>646</v>
      </c>
      <c r="B2775" s="247" t="s">
        <v>265</v>
      </c>
      <c r="C2775" s="247" t="s">
        <v>1343</v>
      </c>
      <c r="D2775" s="247" t="s">
        <v>926</v>
      </c>
      <c r="E2775" s="247" t="s">
        <v>569</v>
      </c>
      <c r="F2775" s="247" t="s">
        <v>2272</v>
      </c>
      <c r="G2775" s="247" t="s">
        <v>1344</v>
      </c>
      <c r="H2775" s="247" t="s">
        <v>397</v>
      </c>
      <c r="I2775" s="247" t="s">
        <v>2273</v>
      </c>
      <c r="J2775" s="247">
        <v>29</v>
      </c>
      <c r="K2775" s="247">
        <v>29</v>
      </c>
      <c r="L2775" s="249" t="s">
        <v>939</v>
      </c>
      <c r="M2775" s="249" t="s">
        <v>929</v>
      </c>
      <c r="N2775" s="248">
        <v>2230.2399999999998</v>
      </c>
      <c r="O2775" s="248">
        <v>18399.48</v>
      </c>
      <c r="P2775" s="247" t="s">
        <v>1472</v>
      </c>
      <c r="Q2775" s="247" t="s">
        <v>93</v>
      </c>
    </row>
    <row r="2776" spans="1:17" x14ac:dyDescent="0.25">
      <c r="A2776" s="247" t="s">
        <v>646</v>
      </c>
      <c r="B2776" s="247" t="s">
        <v>265</v>
      </c>
      <c r="C2776" s="247" t="s">
        <v>1343</v>
      </c>
      <c r="D2776" s="247" t="s">
        <v>926</v>
      </c>
      <c r="E2776" s="247" t="s">
        <v>569</v>
      </c>
      <c r="F2776" s="247" t="s">
        <v>2272</v>
      </c>
      <c r="G2776" s="247" t="s">
        <v>1344</v>
      </c>
      <c r="H2776" s="247" t="s">
        <v>397</v>
      </c>
      <c r="I2776" s="247" t="s">
        <v>2273</v>
      </c>
      <c r="J2776" s="247">
        <v>29</v>
      </c>
      <c r="K2776" s="247">
        <v>29</v>
      </c>
      <c r="L2776" s="249" t="s">
        <v>940</v>
      </c>
      <c r="M2776" s="249" t="s">
        <v>929</v>
      </c>
      <c r="N2776" s="248">
        <v>2230.2399999999998</v>
      </c>
      <c r="O2776" s="248">
        <v>20629.72</v>
      </c>
      <c r="P2776" s="247" t="s">
        <v>1472</v>
      </c>
      <c r="Q2776" s="247" t="s">
        <v>94</v>
      </c>
    </row>
    <row r="2777" spans="1:17" x14ac:dyDescent="0.25">
      <c r="A2777" s="247" t="s">
        <v>646</v>
      </c>
      <c r="B2777" s="247" t="s">
        <v>265</v>
      </c>
      <c r="C2777" s="247" t="s">
        <v>1343</v>
      </c>
      <c r="D2777" s="247" t="s">
        <v>926</v>
      </c>
      <c r="E2777" s="247" t="s">
        <v>569</v>
      </c>
      <c r="F2777" s="247" t="s">
        <v>2272</v>
      </c>
      <c r="G2777" s="247" t="s">
        <v>1344</v>
      </c>
      <c r="H2777" s="247" t="s">
        <v>397</v>
      </c>
      <c r="I2777" s="247" t="s">
        <v>2273</v>
      </c>
      <c r="J2777" s="247">
        <v>29</v>
      </c>
      <c r="K2777" s="247">
        <v>29</v>
      </c>
      <c r="L2777" s="249" t="s">
        <v>642</v>
      </c>
      <c r="M2777" s="249" t="s">
        <v>929</v>
      </c>
      <c r="N2777" s="248">
        <v>2230.2399999999998</v>
      </c>
      <c r="O2777" s="248">
        <v>22859.96</v>
      </c>
      <c r="P2777" s="247" t="s">
        <v>1472</v>
      </c>
      <c r="Q2777" s="247" t="s">
        <v>95</v>
      </c>
    </row>
    <row r="2778" spans="1:17" x14ac:dyDescent="0.25">
      <c r="A2778" s="247" t="s">
        <v>646</v>
      </c>
      <c r="B2778" s="247" t="s">
        <v>265</v>
      </c>
      <c r="C2778" s="247" t="s">
        <v>1343</v>
      </c>
      <c r="D2778" s="247" t="s">
        <v>711</v>
      </c>
      <c r="E2778" s="247" t="s">
        <v>569</v>
      </c>
      <c r="F2778" s="247" t="s">
        <v>2274</v>
      </c>
      <c r="G2778" s="247" t="s">
        <v>1346</v>
      </c>
      <c r="H2778" s="247" t="s">
        <v>397</v>
      </c>
      <c r="I2778" s="247" t="s">
        <v>2275</v>
      </c>
      <c r="J2778" s="247">
        <v>30</v>
      </c>
      <c r="K2778" s="247">
        <v>30</v>
      </c>
      <c r="L2778" s="249" t="s">
        <v>646</v>
      </c>
      <c r="M2778" s="249" t="s">
        <v>933</v>
      </c>
      <c r="N2778" s="248">
        <v>1382.01</v>
      </c>
      <c r="O2778" s="248">
        <v>1382.01</v>
      </c>
      <c r="P2778" s="247" t="s">
        <v>1473</v>
      </c>
      <c r="Q2778" s="247" t="s">
        <v>84</v>
      </c>
    </row>
    <row r="2779" spans="1:17" x14ac:dyDescent="0.25">
      <c r="A2779" s="247" t="s">
        <v>646</v>
      </c>
      <c r="B2779" s="247" t="s">
        <v>265</v>
      </c>
      <c r="C2779" s="247" t="s">
        <v>1343</v>
      </c>
      <c r="D2779" s="247" t="s">
        <v>711</v>
      </c>
      <c r="E2779" s="247" t="s">
        <v>569</v>
      </c>
      <c r="F2779" s="247" t="s">
        <v>2274</v>
      </c>
      <c r="G2779" s="247" t="s">
        <v>1346</v>
      </c>
      <c r="H2779" s="247" t="s">
        <v>397</v>
      </c>
      <c r="I2779" s="247" t="s">
        <v>2275</v>
      </c>
      <c r="J2779" s="247">
        <v>30</v>
      </c>
      <c r="K2779" s="247">
        <v>30</v>
      </c>
      <c r="L2779" s="249" t="s">
        <v>650</v>
      </c>
      <c r="M2779" s="249" t="s">
        <v>933</v>
      </c>
      <c r="N2779" s="248">
        <v>878.79</v>
      </c>
      <c r="O2779" s="248">
        <v>2260.8000000000002</v>
      </c>
      <c r="P2779" s="247" t="s">
        <v>1473</v>
      </c>
      <c r="Q2779" s="247" t="s">
        <v>85</v>
      </c>
    </row>
    <row r="2780" spans="1:17" x14ac:dyDescent="0.25">
      <c r="A2780" s="247" t="s">
        <v>646</v>
      </c>
      <c r="B2780" s="247" t="s">
        <v>265</v>
      </c>
      <c r="C2780" s="247" t="s">
        <v>1343</v>
      </c>
      <c r="D2780" s="247" t="s">
        <v>711</v>
      </c>
      <c r="E2780" s="247" t="s">
        <v>569</v>
      </c>
      <c r="F2780" s="247" t="s">
        <v>2274</v>
      </c>
      <c r="G2780" s="247" t="s">
        <v>1346</v>
      </c>
      <c r="H2780" s="247" t="s">
        <v>397</v>
      </c>
      <c r="I2780" s="247" t="s">
        <v>2275</v>
      </c>
      <c r="J2780" s="247">
        <v>30</v>
      </c>
      <c r="K2780" s="247">
        <v>30</v>
      </c>
      <c r="L2780" s="249" t="s">
        <v>652</v>
      </c>
      <c r="M2780" s="249" t="s">
        <v>933</v>
      </c>
      <c r="N2780" s="248">
        <v>964.56</v>
      </c>
      <c r="O2780" s="248">
        <v>3225.36</v>
      </c>
      <c r="P2780" s="247" t="s">
        <v>1473</v>
      </c>
      <c r="Q2780" s="247" t="s">
        <v>86</v>
      </c>
    </row>
    <row r="2781" spans="1:17" x14ac:dyDescent="0.25">
      <c r="A2781" s="247" t="s">
        <v>646</v>
      </c>
      <c r="B2781" s="247" t="s">
        <v>265</v>
      </c>
      <c r="C2781" s="247" t="s">
        <v>1343</v>
      </c>
      <c r="D2781" s="247" t="s">
        <v>711</v>
      </c>
      <c r="E2781" s="247" t="s">
        <v>569</v>
      </c>
      <c r="F2781" s="247" t="s">
        <v>2274</v>
      </c>
      <c r="G2781" s="247" t="s">
        <v>1346</v>
      </c>
      <c r="H2781" s="247" t="s">
        <v>397</v>
      </c>
      <c r="I2781" s="247" t="s">
        <v>2275</v>
      </c>
      <c r="J2781" s="247">
        <v>30</v>
      </c>
      <c r="K2781" s="247">
        <v>30</v>
      </c>
      <c r="L2781" s="249" t="s">
        <v>789</v>
      </c>
      <c r="M2781" s="249" t="s">
        <v>929</v>
      </c>
      <c r="N2781" s="248">
        <v>1001.36</v>
      </c>
      <c r="O2781" s="248">
        <v>1001.36</v>
      </c>
      <c r="P2781" s="247" t="s">
        <v>1473</v>
      </c>
      <c r="Q2781" s="247" t="s">
        <v>87</v>
      </c>
    </row>
    <row r="2782" spans="1:17" x14ac:dyDescent="0.25">
      <c r="A2782" s="247" t="s">
        <v>646</v>
      </c>
      <c r="B2782" s="247" t="s">
        <v>265</v>
      </c>
      <c r="C2782" s="247" t="s">
        <v>1343</v>
      </c>
      <c r="D2782" s="247" t="s">
        <v>711</v>
      </c>
      <c r="E2782" s="247" t="s">
        <v>569</v>
      </c>
      <c r="F2782" s="247" t="s">
        <v>2274</v>
      </c>
      <c r="G2782" s="247" t="s">
        <v>1346</v>
      </c>
      <c r="H2782" s="247" t="s">
        <v>397</v>
      </c>
      <c r="I2782" s="247" t="s">
        <v>2275</v>
      </c>
      <c r="J2782" s="247">
        <v>30</v>
      </c>
      <c r="K2782" s="247">
        <v>30</v>
      </c>
      <c r="L2782" s="249" t="s">
        <v>791</v>
      </c>
      <c r="M2782" s="249" t="s">
        <v>929</v>
      </c>
      <c r="N2782" s="248">
        <v>839.2</v>
      </c>
      <c r="O2782" s="248">
        <v>1840.56</v>
      </c>
      <c r="P2782" s="247" t="s">
        <v>1473</v>
      </c>
      <c r="Q2782" s="247" t="s">
        <v>88</v>
      </c>
    </row>
    <row r="2783" spans="1:17" x14ac:dyDescent="0.25">
      <c r="A2783" s="247" t="s">
        <v>646</v>
      </c>
      <c r="B2783" s="247" t="s">
        <v>265</v>
      </c>
      <c r="C2783" s="247" t="s">
        <v>1343</v>
      </c>
      <c r="D2783" s="247" t="s">
        <v>711</v>
      </c>
      <c r="E2783" s="247" t="s">
        <v>569</v>
      </c>
      <c r="F2783" s="247" t="s">
        <v>2274</v>
      </c>
      <c r="G2783" s="247" t="s">
        <v>1346</v>
      </c>
      <c r="H2783" s="247" t="s">
        <v>397</v>
      </c>
      <c r="I2783" s="247" t="s">
        <v>2275</v>
      </c>
      <c r="J2783" s="247">
        <v>30</v>
      </c>
      <c r="K2783" s="247">
        <v>30</v>
      </c>
      <c r="L2783" s="249" t="s">
        <v>935</v>
      </c>
      <c r="M2783" s="249" t="s">
        <v>929</v>
      </c>
      <c r="N2783" s="248">
        <v>877.16</v>
      </c>
      <c r="O2783" s="248">
        <v>2717.72</v>
      </c>
      <c r="P2783" s="247" t="s">
        <v>1473</v>
      </c>
      <c r="Q2783" s="247" t="s">
        <v>89</v>
      </c>
    </row>
    <row r="2784" spans="1:17" x14ac:dyDescent="0.25">
      <c r="A2784" s="247" t="s">
        <v>646</v>
      </c>
      <c r="B2784" s="247" t="s">
        <v>265</v>
      </c>
      <c r="C2784" s="247" t="s">
        <v>1343</v>
      </c>
      <c r="D2784" s="247" t="s">
        <v>711</v>
      </c>
      <c r="E2784" s="247" t="s">
        <v>569</v>
      </c>
      <c r="F2784" s="247" t="s">
        <v>2274</v>
      </c>
      <c r="G2784" s="247" t="s">
        <v>1346</v>
      </c>
      <c r="H2784" s="247" t="s">
        <v>397</v>
      </c>
      <c r="I2784" s="247" t="s">
        <v>2275</v>
      </c>
      <c r="J2784" s="247">
        <v>30</v>
      </c>
      <c r="K2784" s="247">
        <v>30</v>
      </c>
      <c r="L2784" s="249" t="s">
        <v>936</v>
      </c>
      <c r="M2784" s="249" t="s">
        <v>929</v>
      </c>
      <c r="N2784" s="248">
        <v>1249.4100000000001</v>
      </c>
      <c r="O2784" s="248">
        <v>3967.13</v>
      </c>
      <c r="P2784" s="247" t="s">
        <v>1473</v>
      </c>
      <c r="Q2784" s="247" t="s">
        <v>90</v>
      </c>
    </row>
    <row r="2785" spans="1:17" x14ac:dyDescent="0.25">
      <c r="A2785" s="247" t="s">
        <v>646</v>
      </c>
      <c r="B2785" s="247" t="s">
        <v>265</v>
      </c>
      <c r="C2785" s="247" t="s">
        <v>1343</v>
      </c>
      <c r="D2785" s="247" t="s">
        <v>711</v>
      </c>
      <c r="E2785" s="247" t="s">
        <v>569</v>
      </c>
      <c r="F2785" s="247" t="s">
        <v>2274</v>
      </c>
      <c r="G2785" s="247" t="s">
        <v>1346</v>
      </c>
      <c r="H2785" s="247" t="s">
        <v>397</v>
      </c>
      <c r="I2785" s="247" t="s">
        <v>2275</v>
      </c>
      <c r="J2785" s="247">
        <v>30</v>
      </c>
      <c r="K2785" s="247">
        <v>30</v>
      </c>
      <c r="L2785" s="249" t="s">
        <v>937</v>
      </c>
      <c r="M2785" s="249" t="s">
        <v>929</v>
      </c>
      <c r="N2785" s="248">
        <v>731.15</v>
      </c>
      <c r="O2785" s="248">
        <v>4698.28</v>
      </c>
      <c r="P2785" s="247" t="s">
        <v>1473</v>
      </c>
      <c r="Q2785" s="247" t="s">
        <v>91</v>
      </c>
    </row>
    <row r="2786" spans="1:17" x14ac:dyDescent="0.25">
      <c r="A2786" s="247" t="s">
        <v>646</v>
      </c>
      <c r="B2786" s="247" t="s">
        <v>265</v>
      </c>
      <c r="C2786" s="247" t="s">
        <v>1343</v>
      </c>
      <c r="D2786" s="247" t="s">
        <v>711</v>
      </c>
      <c r="E2786" s="247" t="s">
        <v>569</v>
      </c>
      <c r="F2786" s="247" t="s">
        <v>2274</v>
      </c>
      <c r="G2786" s="247" t="s">
        <v>1346</v>
      </c>
      <c r="H2786" s="247" t="s">
        <v>397</v>
      </c>
      <c r="I2786" s="247" t="s">
        <v>2275</v>
      </c>
      <c r="J2786" s="247">
        <v>30</v>
      </c>
      <c r="K2786" s="247">
        <v>30</v>
      </c>
      <c r="L2786" s="249" t="s">
        <v>938</v>
      </c>
      <c r="M2786" s="249" t="s">
        <v>929</v>
      </c>
      <c r="N2786" s="248">
        <v>678.57</v>
      </c>
      <c r="O2786" s="248">
        <v>5376.85</v>
      </c>
      <c r="P2786" s="247" t="s">
        <v>1473</v>
      </c>
      <c r="Q2786" s="247" t="s">
        <v>92</v>
      </c>
    </row>
    <row r="2787" spans="1:17" x14ac:dyDescent="0.25">
      <c r="A2787" s="247" t="s">
        <v>646</v>
      </c>
      <c r="B2787" s="247" t="s">
        <v>265</v>
      </c>
      <c r="C2787" s="247" t="s">
        <v>1343</v>
      </c>
      <c r="D2787" s="247" t="s">
        <v>711</v>
      </c>
      <c r="E2787" s="247" t="s">
        <v>569</v>
      </c>
      <c r="F2787" s="247" t="s">
        <v>2274</v>
      </c>
      <c r="G2787" s="247" t="s">
        <v>1346</v>
      </c>
      <c r="H2787" s="247" t="s">
        <v>397</v>
      </c>
      <c r="I2787" s="247" t="s">
        <v>2275</v>
      </c>
      <c r="J2787" s="247">
        <v>30</v>
      </c>
      <c r="K2787" s="247">
        <v>30</v>
      </c>
      <c r="L2787" s="249" t="s">
        <v>939</v>
      </c>
      <c r="M2787" s="249" t="s">
        <v>929</v>
      </c>
      <c r="N2787" s="248">
        <v>770.21</v>
      </c>
      <c r="O2787" s="248">
        <v>6147.06</v>
      </c>
      <c r="P2787" s="247" t="s">
        <v>1473</v>
      </c>
      <c r="Q2787" s="247" t="s">
        <v>93</v>
      </c>
    </row>
    <row r="2788" spans="1:17" x14ac:dyDescent="0.25">
      <c r="A2788" s="247" t="s">
        <v>646</v>
      </c>
      <c r="B2788" s="247" t="s">
        <v>265</v>
      </c>
      <c r="C2788" s="247" t="s">
        <v>1343</v>
      </c>
      <c r="D2788" s="247" t="s">
        <v>711</v>
      </c>
      <c r="E2788" s="247" t="s">
        <v>569</v>
      </c>
      <c r="F2788" s="247" t="s">
        <v>2274</v>
      </c>
      <c r="G2788" s="247" t="s">
        <v>1346</v>
      </c>
      <c r="H2788" s="247" t="s">
        <v>397</v>
      </c>
      <c r="I2788" s="247" t="s">
        <v>2275</v>
      </c>
      <c r="J2788" s="247">
        <v>30</v>
      </c>
      <c r="K2788" s="247">
        <v>30</v>
      </c>
      <c r="L2788" s="249" t="s">
        <v>940</v>
      </c>
      <c r="M2788" s="249" t="s">
        <v>929</v>
      </c>
      <c r="N2788" s="248">
        <v>730.74</v>
      </c>
      <c r="O2788" s="248">
        <v>6877.8</v>
      </c>
      <c r="P2788" s="247" t="s">
        <v>1473</v>
      </c>
      <c r="Q2788" s="247" t="s">
        <v>94</v>
      </c>
    </row>
    <row r="2789" spans="1:17" x14ac:dyDescent="0.25">
      <c r="A2789" s="247" t="s">
        <v>646</v>
      </c>
      <c r="B2789" s="247" t="s">
        <v>265</v>
      </c>
      <c r="C2789" s="247" t="s">
        <v>1343</v>
      </c>
      <c r="D2789" s="247" t="s">
        <v>711</v>
      </c>
      <c r="E2789" s="247" t="s">
        <v>569</v>
      </c>
      <c r="F2789" s="247" t="s">
        <v>2274</v>
      </c>
      <c r="G2789" s="247" t="s">
        <v>1346</v>
      </c>
      <c r="H2789" s="247" t="s">
        <v>397</v>
      </c>
      <c r="I2789" s="247" t="s">
        <v>2275</v>
      </c>
      <c r="J2789" s="247">
        <v>30</v>
      </c>
      <c r="K2789" s="247">
        <v>30</v>
      </c>
      <c r="L2789" s="249" t="s">
        <v>642</v>
      </c>
      <c r="M2789" s="249" t="s">
        <v>929</v>
      </c>
      <c r="N2789" s="248">
        <v>856.12</v>
      </c>
      <c r="O2789" s="248">
        <v>7733.92</v>
      </c>
      <c r="P2789" s="247" t="s">
        <v>1473</v>
      </c>
      <c r="Q2789" s="247" t="s">
        <v>95</v>
      </c>
    </row>
    <row r="2790" spans="1:17" x14ac:dyDescent="0.25">
      <c r="A2790" s="247" t="s">
        <v>646</v>
      </c>
      <c r="B2790" s="247" t="s">
        <v>265</v>
      </c>
      <c r="C2790" s="247" t="s">
        <v>1343</v>
      </c>
      <c r="D2790" s="247" t="s">
        <v>755</v>
      </c>
      <c r="E2790" s="247" t="s">
        <v>569</v>
      </c>
      <c r="F2790" s="247" t="s">
        <v>2276</v>
      </c>
      <c r="G2790" s="247" t="s">
        <v>1388</v>
      </c>
      <c r="H2790" s="247" t="s">
        <v>397</v>
      </c>
      <c r="I2790" s="247" t="s">
        <v>2277</v>
      </c>
      <c r="J2790" s="247">
        <v>30</v>
      </c>
      <c r="K2790" s="247">
        <v>30</v>
      </c>
      <c r="L2790" s="249" t="s">
        <v>646</v>
      </c>
      <c r="M2790" s="249" t="s">
        <v>933</v>
      </c>
      <c r="N2790" s="248">
        <v>107.5</v>
      </c>
      <c r="O2790" s="248">
        <v>107.5</v>
      </c>
      <c r="P2790" s="247" t="s">
        <v>1474</v>
      </c>
      <c r="Q2790" s="247" t="s">
        <v>84</v>
      </c>
    </row>
    <row r="2791" spans="1:17" x14ac:dyDescent="0.25">
      <c r="A2791" s="247" t="s">
        <v>646</v>
      </c>
      <c r="B2791" s="247" t="s">
        <v>265</v>
      </c>
      <c r="C2791" s="247" t="s">
        <v>1343</v>
      </c>
      <c r="D2791" s="247" t="s">
        <v>755</v>
      </c>
      <c r="E2791" s="247" t="s">
        <v>569</v>
      </c>
      <c r="F2791" s="247" t="s">
        <v>2276</v>
      </c>
      <c r="G2791" s="247" t="s">
        <v>1388</v>
      </c>
      <c r="H2791" s="247" t="s">
        <v>397</v>
      </c>
      <c r="I2791" s="247" t="s">
        <v>2277</v>
      </c>
      <c r="J2791" s="247">
        <v>30</v>
      </c>
      <c r="K2791" s="247">
        <v>30</v>
      </c>
      <c r="L2791" s="249" t="s">
        <v>650</v>
      </c>
      <c r="M2791" s="249" t="s">
        <v>933</v>
      </c>
      <c r="N2791" s="248">
        <v>107.5</v>
      </c>
      <c r="O2791" s="248">
        <v>215</v>
      </c>
      <c r="P2791" s="247" t="s">
        <v>1474</v>
      </c>
      <c r="Q2791" s="247" t="s">
        <v>85</v>
      </c>
    </row>
    <row r="2792" spans="1:17" x14ac:dyDescent="0.25">
      <c r="A2792" s="247" t="s">
        <v>646</v>
      </c>
      <c r="B2792" s="247" t="s">
        <v>265</v>
      </c>
      <c r="C2792" s="247" t="s">
        <v>1343</v>
      </c>
      <c r="D2792" s="247" t="s">
        <v>755</v>
      </c>
      <c r="E2792" s="247" t="s">
        <v>569</v>
      </c>
      <c r="F2792" s="247" t="s">
        <v>2276</v>
      </c>
      <c r="G2792" s="247" t="s">
        <v>1388</v>
      </c>
      <c r="H2792" s="247" t="s">
        <v>397</v>
      </c>
      <c r="I2792" s="247" t="s">
        <v>2277</v>
      </c>
      <c r="J2792" s="247">
        <v>30</v>
      </c>
      <c r="K2792" s="247">
        <v>30</v>
      </c>
      <c r="L2792" s="249" t="s">
        <v>652</v>
      </c>
      <c r="M2792" s="249" t="s">
        <v>933</v>
      </c>
      <c r="N2792" s="248">
        <v>107.5</v>
      </c>
      <c r="O2792" s="248">
        <v>322.5</v>
      </c>
      <c r="P2792" s="247" t="s">
        <v>1474</v>
      </c>
      <c r="Q2792" s="247" t="s">
        <v>86</v>
      </c>
    </row>
    <row r="2793" spans="1:17" x14ac:dyDescent="0.25">
      <c r="A2793" s="247" t="s">
        <v>646</v>
      </c>
      <c r="B2793" s="247" t="s">
        <v>265</v>
      </c>
      <c r="C2793" s="247" t="s">
        <v>1343</v>
      </c>
      <c r="D2793" s="247" t="s">
        <v>755</v>
      </c>
      <c r="E2793" s="247" t="s">
        <v>569</v>
      </c>
      <c r="F2793" s="247" t="s">
        <v>2276</v>
      </c>
      <c r="G2793" s="247" t="s">
        <v>1388</v>
      </c>
      <c r="H2793" s="247" t="s">
        <v>397</v>
      </c>
      <c r="I2793" s="247" t="s">
        <v>2277</v>
      </c>
      <c r="J2793" s="247">
        <v>30</v>
      </c>
      <c r="K2793" s="247">
        <v>30</v>
      </c>
      <c r="L2793" s="249" t="s">
        <v>789</v>
      </c>
      <c r="M2793" s="249" t="s">
        <v>929</v>
      </c>
      <c r="N2793" s="248">
        <v>107.5</v>
      </c>
      <c r="O2793" s="248">
        <v>107.5</v>
      </c>
      <c r="P2793" s="247" t="s">
        <v>1474</v>
      </c>
      <c r="Q2793" s="247" t="s">
        <v>87</v>
      </c>
    </row>
    <row r="2794" spans="1:17" x14ac:dyDescent="0.25">
      <c r="A2794" s="247" t="s">
        <v>646</v>
      </c>
      <c r="B2794" s="247" t="s">
        <v>265</v>
      </c>
      <c r="C2794" s="247" t="s">
        <v>1343</v>
      </c>
      <c r="D2794" s="247" t="s">
        <v>755</v>
      </c>
      <c r="E2794" s="247" t="s">
        <v>569</v>
      </c>
      <c r="F2794" s="247" t="s">
        <v>2276</v>
      </c>
      <c r="G2794" s="247" t="s">
        <v>1388</v>
      </c>
      <c r="H2794" s="247" t="s">
        <v>397</v>
      </c>
      <c r="I2794" s="247" t="s">
        <v>2277</v>
      </c>
      <c r="J2794" s="247">
        <v>30</v>
      </c>
      <c r="K2794" s="247">
        <v>30</v>
      </c>
      <c r="L2794" s="249" t="s">
        <v>791</v>
      </c>
      <c r="M2794" s="249" t="s">
        <v>929</v>
      </c>
      <c r="N2794" s="248">
        <v>107.5</v>
      </c>
      <c r="O2794" s="248">
        <v>215</v>
      </c>
      <c r="P2794" s="247" t="s">
        <v>1474</v>
      </c>
      <c r="Q2794" s="247" t="s">
        <v>88</v>
      </c>
    </row>
    <row r="2795" spans="1:17" x14ac:dyDescent="0.25">
      <c r="A2795" s="247" t="s">
        <v>646</v>
      </c>
      <c r="B2795" s="247" t="s">
        <v>265</v>
      </c>
      <c r="C2795" s="247" t="s">
        <v>1343</v>
      </c>
      <c r="D2795" s="247" t="s">
        <v>755</v>
      </c>
      <c r="E2795" s="247" t="s">
        <v>569</v>
      </c>
      <c r="F2795" s="247" t="s">
        <v>2276</v>
      </c>
      <c r="G2795" s="247" t="s">
        <v>1388</v>
      </c>
      <c r="H2795" s="247" t="s">
        <v>397</v>
      </c>
      <c r="I2795" s="247" t="s">
        <v>2277</v>
      </c>
      <c r="J2795" s="247">
        <v>30</v>
      </c>
      <c r="K2795" s="247">
        <v>30</v>
      </c>
      <c r="L2795" s="249" t="s">
        <v>935</v>
      </c>
      <c r="M2795" s="249" t="s">
        <v>929</v>
      </c>
      <c r="N2795" s="248">
        <v>107.5</v>
      </c>
      <c r="O2795" s="248">
        <v>322.5</v>
      </c>
      <c r="P2795" s="247" t="s">
        <v>1474</v>
      </c>
      <c r="Q2795" s="247" t="s">
        <v>89</v>
      </c>
    </row>
    <row r="2796" spans="1:17" x14ac:dyDescent="0.25">
      <c r="A2796" s="247" t="s">
        <v>646</v>
      </c>
      <c r="B2796" s="247" t="s">
        <v>265</v>
      </c>
      <c r="C2796" s="247" t="s">
        <v>1343</v>
      </c>
      <c r="D2796" s="247" t="s">
        <v>755</v>
      </c>
      <c r="E2796" s="247" t="s">
        <v>569</v>
      </c>
      <c r="F2796" s="247" t="s">
        <v>2276</v>
      </c>
      <c r="G2796" s="247" t="s">
        <v>1388</v>
      </c>
      <c r="H2796" s="247" t="s">
        <v>397</v>
      </c>
      <c r="I2796" s="247" t="s">
        <v>2277</v>
      </c>
      <c r="J2796" s="247">
        <v>30</v>
      </c>
      <c r="K2796" s="247">
        <v>30</v>
      </c>
      <c r="L2796" s="249" t="s">
        <v>936</v>
      </c>
      <c r="M2796" s="249" t="s">
        <v>929</v>
      </c>
      <c r="N2796" s="248">
        <v>107.5</v>
      </c>
      <c r="O2796" s="248">
        <v>430</v>
      </c>
      <c r="P2796" s="247" t="s">
        <v>1474</v>
      </c>
      <c r="Q2796" s="247" t="s">
        <v>90</v>
      </c>
    </row>
    <row r="2797" spans="1:17" x14ac:dyDescent="0.25">
      <c r="A2797" s="247" t="s">
        <v>646</v>
      </c>
      <c r="B2797" s="247" t="s">
        <v>265</v>
      </c>
      <c r="C2797" s="247" t="s">
        <v>1343</v>
      </c>
      <c r="D2797" s="247" t="s">
        <v>755</v>
      </c>
      <c r="E2797" s="247" t="s">
        <v>569</v>
      </c>
      <c r="F2797" s="247" t="s">
        <v>2276</v>
      </c>
      <c r="G2797" s="247" t="s">
        <v>1388</v>
      </c>
      <c r="H2797" s="247" t="s">
        <v>397</v>
      </c>
      <c r="I2797" s="247" t="s">
        <v>2277</v>
      </c>
      <c r="J2797" s="247">
        <v>30</v>
      </c>
      <c r="K2797" s="247">
        <v>30</v>
      </c>
      <c r="L2797" s="249" t="s">
        <v>937</v>
      </c>
      <c r="M2797" s="249" t="s">
        <v>929</v>
      </c>
      <c r="N2797" s="248">
        <v>107.5</v>
      </c>
      <c r="O2797" s="248">
        <v>537.5</v>
      </c>
      <c r="P2797" s="247" t="s">
        <v>1474</v>
      </c>
      <c r="Q2797" s="247" t="s">
        <v>91</v>
      </c>
    </row>
    <row r="2798" spans="1:17" x14ac:dyDescent="0.25">
      <c r="A2798" s="247" t="s">
        <v>646</v>
      </c>
      <c r="B2798" s="247" t="s">
        <v>265</v>
      </c>
      <c r="C2798" s="247" t="s">
        <v>1343</v>
      </c>
      <c r="D2798" s="247" t="s">
        <v>755</v>
      </c>
      <c r="E2798" s="247" t="s">
        <v>569</v>
      </c>
      <c r="F2798" s="247" t="s">
        <v>2276</v>
      </c>
      <c r="G2798" s="247" t="s">
        <v>1388</v>
      </c>
      <c r="H2798" s="247" t="s">
        <v>397</v>
      </c>
      <c r="I2798" s="247" t="s">
        <v>2277</v>
      </c>
      <c r="J2798" s="247">
        <v>30</v>
      </c>
      <c r="K2798" s="247">
        <v>30</v>
      </c>
      <c r="L2798" s="249" t="s">
        <v>938</v>
      </c>
      <c r="M2798" s="249" t="s">
        <v>929</v>
      </c>
      <c r="N2798" s="248">
        <v>86</v>
      </c>
      <c r="O2798" s="248">
        <v>623.5</v>
      </c>
      <c r="P2798" s="247" t="s">
        <v>1474</v>
      </c>
      <c r="Q2798" s="247" t="s">
        <v>92</v>
      </c>
    </row>
    <row r="2799" spans="1:17" x14ac:dyDescent="0.25">
      <c r="A2799" s="247" t="s">
        <v>646</v>
      </c>
      <c r="B2799" s="247" t="s">
        <v>265</v>
      </c>
      <c r="C2799" s="247" t="s">
        <v>1343</v>
      </c>
      <c r="D2799" s="247" t="s">
        <v>755</v>
      </c>
      <c r="E2799" s="247" t="s">
        <v>569</v>
      </c>
      <c r="F2799" s="247" t="s">
        <v>2276</v>
      </c>
      <c r="G2799" s="247" t="s">
        <v>1388</v>
      </c>
      <c r="H2799" s="247" t="s">
        <v>397</v>
      </c>
      <c r="I2799" s="247" t="s">
        <v>2277</v>
      </c>
      <c r="J2799" s="247">
        <v>30</v>
      </c>
      <c r="K2799" s="247">
        <v>30</v>
      </c>
      <c r="L2799" s="249" t="s">
        <v>939</v>
      </c>
      <c r="M2799" s="249" t="s">
        <v>929</v>
      </c>
      <c r="N2799" s="248">
        <v>86</v>
      </c>
      <c r="O2799" s="248">
        <v>709.5</v>
      </c>
      <c r="P2799" s="247" t="s">
        <v>1474</v>
      </c>
      <c r="Q2799" s="247" t="s">
        <v>93</v>
      </c>
    </row>
    <row r="2800" spans="1:17" x14ac:dyDescent="0.25">
      <c r="A2800" s="247" t="s">
        <v>646</v>
      </c>
      <c r="B2800" s="247" t="s">
        <v>265</v>
      </c>
      <c r="C2800" s="247" t="s">
        <v>1343</v>
      </c>
      <c r="D2800" s="247" t="s">
        <v>755</v>
      </c>
      <c r="E2800" s="247" t="s">
        <v>569</v>
      </c>
      <c r="F2800" s="247" t="s">
        <v>2276</v>
      </c>
      <c r="G2800" s="247" t="s">
        <v>1388</v>
      </c>
      <c r="H2800" s="247" t="s">
        <v>397</v>
      </c>
      <c r="I2800" s="247" t="s">
        <v>2277</v>
      </c>
      <c r="J2800" s="247">
        <v>30</v>
      </c>
      <c r="K2800" s="247">
        <v>30</v>
      </c>
      <c r="L2800" s="249" t="s">
        <v>940</v>
      </c>
      <c r="M2800" s="249" t="s">
        <v>929</v>
      </c>
      <c r="N2800" s="248">
        <v>86</v>
      </c>
      <c r="O2800" s="248">
        <v>795.5</v>
      </c>
      <c r="P2800" s="247" t="s">
        <v>1474</v>
      </c>
      <c r="Q2800" s="247" t="s">
        <v>94</v>
      </c>
    </row>
    <row r="2801" spans="1:17" x14ac:dyDescent="0.25">
      <c r="A2801" s="247" t="s">
        <v>646</v>
      </c>
      <c r="B2801" s="247" t="s">
        <v>265</v>
      </c>
      <c r="C2801" s="247" t="s">
        <v>1343</v>
      </c>
      <c r="D2801" s="247" t="s">
        <v>755</v>
      </c>
      <c r="E2801" s="247" t="s">
        <v>569</v>
      </c>
      <c r="F2801" s="247" t="s">
        <v>2276</v>
      </c>
      <c r="G2801" s="247" t="s">
        <v>1388</v>
      </c>
      <c r="H2801" s="247" t="s">
        <v>397</v>
      </c>
      <c r="I2801" s="247" t="s">
        <v>2277</v>
      </c>
      <c r="J2801" s="247">
        <v>30</v>
      </c>
      <c r="K2801" s="247">
        <v>30</v>
      </c>
      <c r="L2801" s="249" t="s">
        <v>642</v>
      </c>
      <c r="M2801" s="249" t="s">
        <v>929</v>
      </c>
      <c r="N2801" s="248">
        <v>86</v>
      </c>
      <c r="O2801" s="248">
        <v>881.5</v>
      </c>
      <c r="P2801" s="247" t="s">
        <v>1474</v>
      </c>
      <c r="Q2801" s="247" t="s">
        <v>95</v>
      </c>
    </row>
    <row r="2802" spans="1:17" x14ac:dyDescent="0.25">
      <c r="A2802" s="247" t="s">
        <v>646</v>
      </c>
      <c r="B2802" s="247" t="s">
        <v>265</v>
      </c>
      <c r="C2802" s="247" t="s">
        <v>1343</v>
      </c>
      <c r="D2802" s="247" t="s">
        <v>823</v>
      </c>
      <c r="E2802" s="247" t="s">
        <v>569</v>
      </c>
      <c r="F2802" s="247" t="s">
        <v>2278</v>
      </c>
      <c r="G2802" s="247" t="s">
        <v>1350</v>
      </c>
      <c r="H2802" s="247" t="s">
        <v>397</v>
      </c>
      <c r="I2802" s="247" t="s">
        <v>2279</v>
      </c>
      <c r="J2802" s="247">
        <v>28</v>
      </c>
      <c r="K2802" s="247">
        <v>28</v>
      </c>
      <c r="L2802" s="249" t="s">
        <v>646</v>
      </c>
      <c r="M2802" s="249" t="s">
        <v>933</v>
      </c>
      <c r="N2802" s="248">
        <v>843.2</v>
      </c>
      <c r="O2802" s="248">
        <v>843.2</v>
      </c>
      <c r="P2802" s="247" t="s">
        <v>1475</v>
      </c>
      <c r="Q2802" s="247" t="s">
        <v>84</v>
      </c>
    </row>
    <row r="2803" spans="1:17" x14ac:dyDescent="0.25">
      <c r="A2803" s="247" t="s">
        <v>646</v>
      </c>
      <c r="B2803" s="247" t="s">
        <v>265</v>
      </c>
      <c r="C2803" s="247" t="s">
        <v>1343</v>
      </c>
      <c r="D2803" s="247" t="s">
        <v>823</v>
      </c>
      <c r="E2803" s="247" t="s">
        <v>569</v>
      </c>
      <c r="F2803" s="247" t="s">
        <v>2278</v>
      </c>
      <c r="G2803" s="247" t="s">
        <v>1350</v>
      </c>
      <c r="H2803" s="247" t="s">
        <v>397</v>
      </c>
      <c r="I2803" s="247" t="s">
        <v>2279</v>
      </c>
      <c r="J2803" s="247">
        <v>28</v>
      </c>
      <c r="K2803" s="247">
        <v>28</v>
      </c>
      <c r="L2803" s="249" t="s">
        <v>650</v>
      </c>
      <c r="M2803" s="249" t="s">
        <v>933</v>
      </c>
      <c r="N2803" s="248">
        <v>1897.2</v>
      </c>
      <c r="O2803" s="248">
        <v>2740.4</v>
      </c>
      <c r="P2803" s="247" t="s">
        <v>1475</v>
      </c>
      <c r="Q2803" s="247" t="s">
        <v>85</v>
      </c>
    </row>
    <row r="2804" spans="1:17" x14ac:dyDescent="0.25">
      <c r="A2804" s="247" t="s">
        <v>646</v>
      </c>
      <c r="B2804" s="247" t="s">
        <v>265</v>
      </c>
      <c r="C2804" s="247" t="s">
        <v>1343</v>
      </c>
      <c r="D2804" s="247" t="s">
        <v>823</v>
      </c>
      <c r="E2804" s="247" t="s">
        <v>569</v>
      </c>
      <c r="F2804" s="247" t="s">
        <v>2278</v>
      </c>
      <c r="G2804" s="247" t="s">
        <v>1350</v>
      </c>
      <c r="H2804" s="247" t="s">
        <v>397</v>
      </c>
      <c r="I2804" s="247" t="s">
        <v>2279</v>
      </c>
      <c r="J2804" s="247">
        <v>28</v>
      </c>
      <c r="K2804" s="247">
        <v>28</v>
      </c>
      <c r="L2804" s="249" t="s">
        <v>652</v>
      </c>
      <c r="M2804" s="249" t="s">
        <v>933</v>
      </c>
      <c r="N2804" s="248">
        <v>2951.2</v>
      </c>
      <c r="O2804" s="248">
        <v>5691.6</v>
      </c>
      <c r="P2804" s="247" t="s">
        <v>1475</v>
      </c>
      <c r="Q2804" s="247" t="s">
        <v>86</v>
      </c>
    </row>
    <row r="2805" spans="1:17" x14ac:dyDescent="0.25">
      <c r="A2805" s="247" t="s">
        <v>646</v>
      </c>
      <c r="B2805" s="247" t="s">
        <v>265</v>
      </c>
      <c r="C2805" s="247" t="s">
        <v>1343</v>
      </c>
      <c r="D2805" s="247" t="s">
        <v>823</v>
      </c>
      <c r="E2805" s="247" t="s">
        <v>569</v>
      </c>
      <c r="F2805" s="247" t="s">
        <v>2278</v>
      </c>
      <c r="G2805" s="247" t="s">
        <v>1350</v>
      </c>
      <c r="H2805" s="247" t="s">
        <v>397</v>
      </c>
      <c r="I2805" s="247" t="s">
        <v>2279</v>
      </c>
      <c r="J2805" s="247">
        <v>28</v>
      </c>
      <c r="K2805" s="247">
        <v>28</v>
      </c>
      <c r="L2805" s="249" t="s">
        <v>789</v>
      </c>
      <c r="M2805" s="249" t="s">
        <v>929</v>
      </c>
      <c r="N2805" s="248">
        <v>1468.09</v>
      </c>
      <c r="O2805" s="248">
        <v>1468.09</v>
      </c>
      <c r="P2805" s="247" t="s">
        <v>1475</v>
      </c>
      <c r="Q2805" s="247" t="s">
        <v>87</v>
      </c>
    </row>
    <row r="2806" spans="1:17" x14ac:dyDescent="0.25">
      <c r="A2806" s="247" t="s">
        <v>646</v>
      </c>
      <c r="B2806" s="247" t="s">
        <v>265</v>
      </c>
      <c r="C2806" s="247" t="s">
        <v>1343</v>
      </c>
      <c r="D2806" s="247" t="s">
        <v>823</v>
      </c>
      <c r="E2806" s="247" t="s">
        <v>569</v>
      </c>
      <c r="F2806" s="247" t="s">
        <v>2278</v>
      </c>
      <c r="G2806" s="247" t="s">
        <v>1350</v>
      </c>
      <c r="H2806" s="247" t="s">
        <v>397</v>
      </c>
      <c r="I2806" s="247" t="s">
        <v>2279</v>
      </c>
      <c r="J2806" s="247">
        <v>28</v>
      </c>
      <c r="K2806" s="247">
        <v>28</v>
      </c>
      <c r="L2806" s="249" t="s">
        <v>791</v>
      </c>
      <c r="M2806" s="249" t="s">
        <v>929</v>
      </c>
      <c r="N2806" s="248">
        <v>1468.09</v>
      </c>
      <c r="O2806" s="248">
        <v>2936.18</v>
      </c>
      <c r="P2806" s="247" t="s">
        <v>1475</v>
      </c>
      <c r="Q2806" s="247" t="s">
        <v>88</v>
      </c>
    </row>
    <row r="2807" spans="1:17" x14ac:dyDescent="0.25">
      <c r="A2807" s="247" t="s">
        <v>646</v>
      </c>
      <c r="B2807" s="247" t="s">
        <v>265</v>
      </c>
      <c r="C2807" s="247" t="s">
        <v>1343</v>
      </c>
      <c r="D2807" s="247" t="s">
        <v>823</v>
      </c>
      <c r="E2807" s="247" t="s">
        <v>569</v>
      </c>
      <c r="F2807" s="247" t="s">
        <v>2278</v>
      </c>
      <c r="G2807" s="247" t="s">
        <v>1350</v>
      </c>
      <c r="H2807" s="247" t="s">
        <v>397</v>
      </c>
      <c r="I2807" s="247" t="s">
        <v>2279</v>
      </c>
      <c r="J2807" s="247">
        <v>28</v>
      </c>
      <c r="K2807" s="247">
        <v>28</v>
      </c>
      <c r="L2807" s="249" t="s">
        <v>935</v>
      </c>
      <c r="M2807" s="249" t="s">
        <v>929</v>
      </c>
      <c r="N2807" s="248">
        <v>1468.09</v>
      </c>
      <c r="O2807" s="248">
        <v>4404.2700000000004</v>
      </c>
      <c r="P2807" s="247" t="s">
        <v>1475</v>
      </c>
      <c r="Q2807" s="247" t="s">
        <v>89</v>
      </c>
    </row>
    <row r="2808" spans="1:17" x14ac:dyDescent="0.25">
      <c r="A2808" s="247" t="s">
        <v>646</v>
      </c>
      <c r="B2808" s="247" t="s">
        <v>265</v>
      </c>
      <c r="C2808" s="247" t="s">
        <v>1343</v>
      </c>
      <c r="D2808" s="247" t="s">
        <v>823</v>
      </c>
      <c r="E2808" s="247" t="s">
        <v>569</v>
      </c>
      <c r="F2808" s="247" t="s">
        <v>2278</v>
      </c>
      <c r="G2808" s="247" t="s">
        <v>1350</v>
      </c>
      <c r="H2808" s="247" t="s">
        <v>397</v>
      </c>
      <c r="I2808" s="247" t="s">
        <v>2279</v>
      </c>
      <c r="J2808" s="247">
        <v>28</v>
      </c>
      <c r="K2808" s="247">
        <v>28</v>
      </c>
      <c r="L2808" s="249" t="s">
        <v>936</v>
      </c>
      <c r="M2808" s="249" t="s">
        <v>929</v>
      </c>
      <c r="N2808" s="248">
        <v>1468.09</v>
      </c>
      <c r="O2808" s="248">
        <v>5872.36</v>
      </c>
      <c r="P2808" s="247" t="s">
        <v>1475</v>
      </c>
      <c r="Q2808" s="247" t="s">
        <v>90</v>
      </c>
    </row>
    <row r="2809" spans="1:17" x14ac:dyDescent="0.25">
      <c r="A2809" s="247" t="s">
        <v>646</v>
      </c>
      <c r="B2809" s="247" t="s">
        <v>265</v>
      </c>
      <c r="C2809" s="247" t="s">
        <v>1343</v>
      </c>
      <c r="D2809" s="247" t="s">
        <v>823</v>
      </c>
      <c r="E2809" s="247" t="s">
        <v>569</v>
      </c>
      <c r="F2809" s="247" t="s">
        <v>2278</v>
      </c>
      <c r="G2809" s="247" t="s">
        <v>1350</v>
      </c>
      <c r="H2809" s="247" t="s">
        <v>397</v>
      </c>
      <c r="I2809" s="247" t="s">
        <v>2279</v>
      </c>
      <c r="J2809" s="247">
        <v>28</v>
      </c>
      <c r="K2809" s="247">
        <v>28</v>
      </c>
      <c r="L2809" s="249" t="s">
        <v>937</v>
      </c>
      <c r="M2809" s="249" t="s">
        <v>929</v>
      </c>
      <c r="N2809" s="248">
        <v>1468.09</v>
      </c>
      <c r="O2809" s="248">
        <v>7340.45</v>
      </c>
      <c r="P2809" s="247" t="s">
        <v>1475</v>
      </c>
      <c r="Q2809" s="247" t="s">
        <v>91</v>
      </c>
    </row>
    <row r="2810" spans="1:17" x14ac:dyDescent="0.25">
      <c r="A2810" s="247" t="s">
        <v>646</v>
      </c>
      <c r="B2810" s="247" t="s">
        <v>265</v>
      </c>
      <c r="C2810" s="247" t="s">
        <v>1343</v>
      </c>
      <c r="D2810" s="247" t="s">
        <v>823</v>
      </c>
      <c r="E2810" s="247" t="s">
        <v>569</v>
      </c>
      <c r="F2810" s="247" t="s">
        <v>2278</v>
      </c>
      <c r="G2810" s="247" t="s">
        <v>1350</v>
      </c>
      <c r="H2810" s="247" t="s">
        <v>397</v>
      </c>
      <c r="I2810" s="247" t="s">
        <v>2279</v>
      </c>
      <c r="J2810" s="247">
        <v>28</v>
      </c>
      <c r="K2810" s="247">
        <v>28</v>
      </c>
      <c r="L2810" s="249" t="s">
        <v>938</v>
      </c>
      <c r="M2810" s="249" t="s">
        <v>929</v>
      </c>
      <c r="N2810" s="248">
        <v>1468.09</v>
      </c>
      <c r="O2810" s="248">
        <v>8808.5400000000009</v>
      </c>
      <c r="P2810" s="247" t="s">
        <v>1475</v>
      </c>
      <c r="Q2810" s="247" t="s">
        <v>92</v>
      </c>
    </row>
    <row r="2811" spans="1:17" x14ac:dyDescent="0.25">
      <c r="A2811" s="247" t="s">
        <v>646</v>
      </c>
      <c r="B2811" s="247" t="s">
        <v>265</v>
      </c>
      <c r="C2811" s="247" t="s">
        <v>1343</v>
      </c>
      <c r="D2811" s="247" t="s">
        <v>823</v>
      </c>
      <c r="E2811" s="247" t="s">
        <v>569</v>
      </c>
      <c r="F2811" s="247" t="s">
        <v>2278</v>
      </c>
      <c r="G2811" s="247" t="s">
        <v>1350</v>
      </c>
      <c r="H2811" s="247" t="s">
        <v>397</v>
      </c>
      <c r="I2811" s="247" t="s">
        <v>2279</v>
      </c>
      <c r="J2811" s="247">
        <v>28</v>
      </c>
      <c r="K2811" s="247">
        <v>28</v>
      </c>
      <c r="L2811" s="249" t="s">
        <v>939</v>
      </c>
      <c r="M2811" s="249" t="s">
        <v>929</v>
      </c>
      <c r="N2811" s="248">
        <v>1468.09</v>
      </c>
      <c r="O2811" s="248">
        <v>10276.629999999999</v>
      </c>
      <c r="P2811" s="247" t="s">
        <v>1475</v>
      </c>
      <c r="Q2811" s="247" t="s">
        <v>93</v>
      </c>
    </row>
    <row r="2812" spans="1:17" x14ac:dyDescent="0.25">
      <c r="A2812" s="247" t="s">
        <v>646</v>
      </c>
      <c r="B2812" s="247" t="s">
        <v>265</v>
      </c>
      <c r="C2812" s="247" t="s">
        <v>1343</v>
      </c>
      <c r="D2812" s="247" t="s">
        <v>823</v>
      </c>
      <c r="E2812" s="247" t="s">
        <v>569</v>
      </c>
      <c r="F2812" s="247" t="s">
        <v>2278</v>
      </c>
      <c r="G2812" s="247" t="s">
        <v>1350</v>
      </c>
      <c r="H2812" s="247" t="s">
        <v>397</v>
      </c>
      <c r="I2812" s="247" t="s">
        <v>2279</v>
      </c>
      <c r="J2812" s="247">
        <v>28</v>
      </c>
      <c r="K2812" s="247">
        <v>28</v>
      </c>
      <c r="L2812" s="249" t="s">
        <v>940</v>
      </c>
      <c r="M2812" s="249" t="s">
        <v>929</v>
      </c>
      <c r="N2812" s="248">
        <v>1468.09</v>
      </c>
      <c r="O2812" s="248">
        <v>11744.72</v>
      </c>
      <c r="P2812" s="247" t="s">
        <v>1475</v>
      </c>
      <c r="Q2812" s="247" t="s">
        <v>94</v>
      </c>
    </row>
    <row r="2813" spans="1:17" x14ac:dyDescent="0.25">
      <c r="A2813" s="247" t="s">
        <v>646</v>
      </c>
      <c r="B2813" s="247" t="s">
        <v>265</v>
      </c>
      <c r="C2813" s="247" t="s">
        <v>1343</v>
      </c>
      <c r="D2813" s="247" t="s">
        <v>823</v>
      </c>
      <c r="E2813" s="247" t="s">
        <v>569</v>
      </c>
      <c r="F2813" s="247" t="s">
        <v>2278</v>
      </c>
      <c r="G2813" s="247" t="s">
        <v>1350</v>
      </c>
      <c r="H2813" s="247" t="s">
        <v>397</v>
      </c>
      <c r="I2813" s="247" t="s">
        <v>2279</v>
      </c>
      <c r="J2813" s="247">
        <v>28</v>
      </c>
      <c r="K2813" s="247">
        <v>28</v>
      </c>
      <c r="L2813" s="249" t="s">
        <v>642</v>
      </c>
      <c r="M2813" s="249" t="s">
        <v>929</v>
      </c>
      <c r="N2813" s="248">
        <v>1468.09</v>
      </c>
      <c r="O2813" s="248">
        <v>13212.81</v>
      </c>
      <c r="P2813" s="247" t="s">
        <v>1475</v>
      </c>
      <c r="Q2813" s="247" t="s">
        <v>95</v>
      </c>
    </row>
    <row r="2814" spans="1:17" x14ac:dyDescent="0.25">
      <c r="A2814" s="247" t="s">
        <v>646</v>
      </c>
      <c r="B2814" s="247" t="s">
        <v>265</v>
      </c>
      <c r="C2814" s="247" t="s">
        <v>1343</v>
      </c>
      <c r="D2814" s="247" t="s">
        <v>569</v>
      </c>
      <c r="E2814" s="247" t="s">
        <v>569</v>
      </c>
      <c r="F2814" s="247" t="s">
        <v>2280</v>
      </c>
      <c r="G2814" s="247" t="s">
        <v>1352</v>
      </c>
      <c r="H2814" s="247" t="s">
        <v>397</v>
      </c>
      <c r="I2814" s="247" t="s">
        <v>2281</v>
      </c>
      <c r="J2814" s="247">
        <v>32</v>
      </c>
      <c r="K2814" s="247">
        <v>32</v>
      </c>
      <c r="L2814" s="249" t="s">
        <v>646</v>
      </c>
      <c r="M2814" s="249" t="s">
        <v>933</v>
      </c>
      <c r="N2814" s="248">
        <v>1713.7</v>
      </c>
      <c r="O2814" s="248">
        <v>1713.7</v>
      </c>
      <c r="P2814" s="247" t="s">
        <v>1476</v>
      </c>
      <c r="Q2814" s="247" t="s">
        <v>84</v>
      </c>
    </row>
    <row r="2815" spans="1:17" x14ac:dyDescent="0.25">
      <c r="A2815" s="247" t="s">
        <v>646</v>
      </c>
      <c r="B2815" s="247" t="s">
        <v>265</v>
      </c>
      <c r="C2815" s="247" t="s">
        <v>1343</v>
      </c>
      <c r="D2815" s="247" t="s">
        <v>569</v>
      </c>
      <c r="E2815" s="247" t="s">
        <v>569</v>
      </c>
      <c r="F2815" s="247" t="s">
        <v>2280</v>
      </c>
      <c r="G2815" s="247" t="s">
        <v>1352</v>
      </c>
      <c r="H2815" s="247" t="s">
        <v>397</v>
      </c>
      <c r="I2815" s="247" t="s">
        <v>2281</v>
      </c>
      <c r="J2815" s="247">
        <v>32</v>
      </c>
      <c r="K2815" s="247">
        <v>32</v>
      </c>
      <c r="L2815" s="249" t="s">
        <v>650</v>
      </c>
      <c r="M2815" s="249" t="s">
        <v>933</v>
      </c>
      <c r="N2815" s="248">
        <v>1089.71</v>
      </c>
      <c r="O2815" s="248">
        <v>2803.41</v>
      </c>
      <c r="P2815" s="247" t="s">
        <v>1476</v>
      </c>
      <c r="Q2815" s="247" t="s">
        <v>85</v>
      </c>
    </row>
    <row r="2816" spans="1:17" x14ac:dyDescent="0.25">
      <c r="A2816" s="247" t="s">
        <v>646</v>
      </c>
      <c r="B2816" s="247" t="s">
        <v>265</v>
      </c>
      <c r="C2816" s="247" t="s">
        <v>1343</v>
      </c>
      <c r="D2816" s="247" t="s">
        <v>569</v>
      </c>
      <c r="E2816" s="247" t="s">
        <v>569</v>
      </c>
      <c r="F2816" s="247" t="s">
        <v>2280</v>
      </c>
      <c r="G2816" s="247" t="s">
        <v>1352</v>
      </c>
      <c r="H2816" s="247" t="s">
        <v>397</v>
      </c>
      <c r="I2816" s="247" t="s">
        <v>2281</v>
      </c>
      <c r="J2816" s="247">
        <v>32</v>
      </c>
      <c r="K2816" s="247">
        <v>32</v>
      </c>
      <c r="L2816" s="249" t="s">
        <v>652</v>
      </c>
      <c r="M2816" s="249" t="s">
        <v>933</v>
      </c>
      <c r="N2816" s="248">
        <v>1196.06</v>
      </c>
      <c r="O2816" s="248">
        <v>3999.47</v>
      </c>
      <c r="P2816" s="247" t="s">
        <v>1476</v>
      </c>
      <c r="Q2816" s="247" t="s">
        <v>86</v>
      </c>
    </row>
    <row r="2817" spans="1:17" x14ac:dyDescent="0.25">
      <c r="A2817" s="247" t="s">
        <v>646</v>
      </c>
      <c r="B2817" s="247" t="s">
        <v>265</v>
      </c>
      <c r="C2817" s="247" t="s">
        <v>1343</v>
      </c>
      <c r="D2817" s="247" t="s">
        <v>569</v>
      </c>
      <c r="E2817" s="247" t="s">
        <v>569</v>
      </c>
      <c r="F2817" s="247" t="s">
        <v>2280</v>
      </c>
      <c r="G2817" s="247" t="s">
        <v>1352</v>
      </c>
      <c r="H2817" s="247" t="s">
        <v>397</v>
      </c>
      <c r="I2817" s="247" t="s">
        <v>2281</v>
      </c>
      <c r="J2817" s="247">
        <v>32</v>
      </c>
      <c r="K2817" s="247">
        <v>32</v>
      </c>
      <c r="L2817" s="249" t="s">
        <v>789</v>
      </c>
      <c r="M2817" s="249" t="s">
        <v>929</v>
      </c>
      <c r="N2817" s="248">
        <v>1241.7</v>
      </c>
      <c r="O2817" s="248">
        <v>1241.7</v>
      </c>
      <c r="P2817" s="247" t="s">
        <v>1476</v>
      </c>
      <c r="Q2817" s="247" t="s">
        <v>87</v>
      </c>
    </row>
    <row r="2818" spans="1:17" x14ac:dyDescent="0.25">
      <c r="A2818" s="247" t="s">
        <v>646</v>
      </c>
      <c r="B2818" s="247" t="s">
        <v>265</v>
      </c>
      <c r="C2818" s="247" t="s">
        <v>1343</v>
      </c>
      <c r="D2818" s="247" t="s">
        <v>569</v>
      </c>
      <c r="E2818" s="247" t="s">
        <v>569</v>
      </c>
      <c r="F2818" s="247" t="s">
        <v>2280</v>
      </c>
      <c r="G2818" s="247" t="s">
        <v>1352</v>
      </c>
      <c r="H2818" s="247" t="s">
        <v>397</v>
      </c>
      <c r="I2818" s="247" t="s">
        <v>2281</v>
      </c>
      <c r="J2818" s="247">
        <v>32</v>
      </c>
      <c r="K2818" s="247">
        <v>32</v>
      </c>
      <c r="L2818" s="249" t="s">
        <v>791</v>
      </c>
      <c r="M2818" s="249" t="s">
        <v>929</v>
      </c>
      <c r="N2818" s="248">
        <v>1040.6199999999999</v>
      </c>
      <c r="O2818" s="248">
        <v>2282.3200000000002</v>
      </c>
      <c r="P2818" s="247" t="s">
        <v>1476</v>
      </c>
      <c r="Q2818" s="247" t="s">
        <v>88</v>
      </c>
    </row>
    <row r="2819" spans="1:17" x14ac:dyDescent="0.25">
      <c r="A2819" s="247" t="s">
        <v>646</v>
      </c>
      <c r="B2819" s="247" t="s">
        <v>265</v>
      </c>
      <c r="C2819" s="247" t="s">
        <v>1343</v>
      </c>
      <c r="D2819" s="247" t="s">
        <v>569</v>
      </c>
      <c r="E2819" s="247" t="s">
        <v>569</v>
      </c>
      <c r="F2819" s="247" t="s">
        <v>2280</v>
      </c>
      <c r="G2819" s="247" t="s">
        <v>1352</v>
      </c>
      <c r="H2819" s="247" t="s">
        <v>397</v>
      </c>
      <c r="I2819" s="247" t="s">
        <v>2281</v>
      </c>
      <c r="J2819" s="247">
        <v>32</v>
      </c>
      <c r="K2819" s="247">
        <v>32</v>
      </c>
      <c r="L2819" s="249" t="s">
        <v>935</v>
      </c>
      <c r="M2819" s="249" t="s">
        <v>929</v>
      </c>
      <c r="N2819" s="248">
        <v>1087.69</v>
      </c>
      <c r="O2819" s="248">
        <v>3370.01</v>
      </c>
      <c r="P2819" s="247" t="s">
        <v>1476</v>
      </c>
      <c r="Q2819" s="247" t="s">
        <v>89</v>
      </c>
    </row>
    <row r="2820" spans="1:17" x14ac:dyDescent="0.25">
      <c r="A2820" s="247" t="s">
        <v>646</v>
      </c>
      <c r="B2820" s="247" t="s">
        <v>265</v>
      </c>
      <c r="C2820" s="247" t="s">
        <v>1343</v>
      </c>
      <c r="D2820" s="247" t="s">
        <v>569</v>
      </c>
      <c r="E2820" s="247" t="s">
        <v>569</v>
      </c>
      <c r="F2820" s="247" t="s">
        <v>2280</v>
      </c>
      <c r="G2820" s="247" t="s">
        <v>1352</v>
      </c>
      <c r="H2820" s="247" t="s">
        <v>397</v>
      </c>
      <c r="I2820" s="247" t="s">
        <v>2281</v>
      </c>
      <c r="J2820" s="247">
        <v>32</v>
      </c>
      <c r="K2820" s="247">
        <v>32</v>
      </c>
      <c r="L2820" s="249" t="s">
        <v>936</v>
      </c>
      <c r="M2820" s="249" t="s">
        <v>929</v>
      </c>
      <c r="N2820" s="248">
        <v>1686.21</v>
      </c>
      <c r="O2820" s="248">
        <v>5056.22</v>
      </c>
      <c r="P2820" s="247" t="s">
        <v>1476</v>
      </c>
      <c r="Q2820" s="247" t="s">
        <v>90</v>
      </c>
    </row>
    <row r="2821" spans="1:17" x14ac:dyDescent="0.25">
      <c r="A2821" s="247" t="s">
        <v>646</v>
      </c>
      <c r="B2821" s="247" t="s">
        <v>265</v>
      </c>
      <c r="C2821" s="247" t="s">
        <v>1343</v>
      </c>
      <c r="D2821" s="247" t="s">
        <v>569</v>
      </c>
      <c r="E2821" s="247" t="s">
        <v>569</v>
      </c>
      <c r="F2821" s="247" t="s">
        <v>2280</v>
      </c>
      <c r="G2821" s="247" t="s">
        <v>1352</v>
      </c>
      <c r="H2821" s="247" t="s">
        <v>397</v>
      </c>
      <c r="I2821" s="247" t="s">
        <v>2281</v>
      </c>
      <c r="J2821" s="247">
        <v>32</v>
      </c>
      <c r="K2821" s="247">
        <v>32</v>
      </c>
      <c r="L2821" s="249" t="s">
        <v>937</v>
      </c>
      <c r="M2821" s="249" t="s">
        <v>929</v>
      </c>
      <c r="N2821" s="248">
        <v>1339.53</v>
      </c>
      <c r="O2821" s="248">
        <v>6395.75</v>
      </c>
      <c r="P2821" s="247" t="s">
        <v>1476</v>
      </c>
      <c r="Q2821" s="247" t="s">
        <v>91</v>
      </c>
    </row>
    <row r="2822" spans="1:17" x14ac:dyDescent="0.25">
      <c r="A2822" s="247" t="s">
        <v>646</v>
      </c>
      <c r="B2822" s="247" t="s">
        <v>265</v>
      </c>
      <c r="C2822" s="247" t="s">
        <v>1343</v>
      </c>
      <c r="D2822" s="247" t="s">
        <v>569</v>
      </c>
      <c r="E2822" s="247" t="s">
        <v>569</v>
      </c>
      <c r="F2822" s="247" t="s">
        <v>2280</v>
      </c>
      <c r="G2822" s="247" t="s">
        <v>1352</v>
      </c>
      <c r="H2822" s="247" t="s">
        <v>397</v>
      </c>
      <c r="I2822" s="247" t="s">
        <v>2281</v>
      </c>
      <c r="J2822" s="247">
        <v>32</v>
      </c>
      <c r="K2822" s="247">
        <v>32</v>
      </c>
      <c r="L2822" s="249" t="s">
        <v>938</v>
      </c>
      <c r="M2822" s="249" t="s">
        <v>929</v>
      </c>
      <c r="N2822" s="248">
        <v>1294.1400000000001</v>
      </c>
      <c r="O2822" s="248">
        <v>7689.89</v>
      </c>
      <c r="P2822" s="247" t="s">
        <v>1476</v>
      </c>
      <c r="Q2822" s="247" t="s">
        <v>92</v>
      </c>
    </row>
    <row r="2823" spans="1:17" x14ac:dyDescent="0.25">
      <c r="A2823" s="247" t="s">
        <v>646</v>
      </c>
      <c r="B2823" s="247" t="s">
        <v>265</v>
      </c>
      <c r="C2823" s="247" t="s">
        <v>1343</v>
      </c>
      <c r="D2823" s="247" t="s">
        <v>569</v>
      </c>
      <c r="E2823" s="247" t="s">
        <v>569</v>
      </c>
      <c r="F2823" s="247" t="s">
        <v>2280</v>
      </c>
      <c r="G2823" s="247" t="s">
        <v>1352</v>
      </c>
      <c r="H2823" s="247" t="s">
        <v>397</v>
      </c>
      <c r="I2823" s="247" t="s">
        <v>2281</v>
      </c>
      <c r="J2823" s="247">
        <v>32</v>
      </c>
      <c r="K2823" s="247">
        <v>32</v>
      </c>
      <c r="L2823" s="249" t="s">
        <v>939</v>
      </c>
      <c r="M2823" s="249" t="s">
        <v>929</v>
      </c>
      <c r="N2823" s="248">
        <v>1169.6099999999999</v>
      </c>
      <c r="O2823" s="248">
        <v>8859.5</v>
      </c>
      <c r="P2823" s="247" t="s">
        <v>1476</v>
      </c>
      <c r="Q2823" s="247" t="s">
        <v>93</v>
      </c>
    </row>
    <row r="2824" spans="1:17" x14ac:dyDescent="0.25">
      <c r="A2824" s="247" t="s">
        <v>646</v>
      </c>
      <c r="B2824" s="247" t="s">
        <v>265</v>
      </c>
      <c r="C2824" s="247" t="s">
        <v>1343</v>
      </c>
      <c r="D2824" s="247" t="s">
        <v>569</v>
      </c>
      <c r="E2824" s="247" t="s">
        <v>569</v>
      </c>
      <c r="F2824" s="247" t="s">
        <v>2280</v>
      </c>
      <c r="G2824" s="247" t="s">
        <v>1352</v>
      </c>
      <c r="H2824" s="247" t="s">
        <v>397</v>
      </c>
      <c r="I2824" s="247" t="s">
        <v>2281</v>
      </c>
      <c r="J2824" s="247">
        <v>32</v>
      </c>
      <c r="K2824" s="247">
        <v>32</v>
      </c>
      <c r="L2824" s="249" t="s">
        <v>940</v>
      </c>
      <c r="M2824" s="249" t="s">
        <v>929</v>
      </c>
      <c r="N2824" s="248">
        <v>1116.03</v>
      </c>
      <c r="O2824" s="248">
        <v>9975.5300000000007</v>
      </c>
      <c r="P2824" s="247" t="s">
        <v>1476</v>
      </c>
      <c r="Q2824" s="247" t="s">
        <v>94</v>
      </c>
    </row>
    <row r="2825" spans="1:17" x14ac:dyDescent="0.25">
      <c r="A2825" s="247" t="s">
        <v>646</v>
      </c>
      <c r="B2825" s="247" t="s">
        <v>265</v>
      </c>
      <c r="C2825" s="247" t="s">
        <v>1343</v>
      </c>
      <c r="D2825" s="247" t="s">
        <v>569</v>
      </c>
      <c r="E2825" s="247" t="s">
        <v>569</v>
      </c>
      <c r="F2825" s="247" t="s">
        <v>2280</v>
      </c>
      <c r="G2825" s="247" t="s">
        <v>1352</v>
      </c>
      <c r="H2825" s="247" t="s">
        <v>397</v>
      </c>
      <c r="I2825" s="247" t="s">
        <v>2281</v>
      </c>
      <c r="J2825" s="247">
        <v>32</v>
      </c>
      <c r="K2825" s="247">
        <v>32</v>
      </c>
      <c r="L2825" s="249" t="s">
        <v>642</v>
      </c>
      <c r="M2825" s="249" t="s">
        <v>929</v>
      </c>
      <c r="N2825" s="248">
        <v>1537.41</v>
      </c>
      <c r="O2825" s="248">
        <v>11512.94</v>
      </c>
      <c r="P2825" s="247" t="s">
        <v>1476</v>
      </c>
      <c r="Q2825" s="247" t="s">
        <v>95</v>
      </c>
    </row>
    <row r="2826" spans="1:17" x14ac:dyDescent="0.25">
      <c r="A2826" s="247" t="s">
        <v>646</v>
      </c>
      <c r="B2826" s="247" t="s">
        <v>265</v>
      </c>
      <c r="C2826" s="247" t="s">
        <v>1343</v>
      </c>
      <c r="D2826" s="247" t="s">
        <v>575</v>
      </c>
      <c r="E2826" s="247" t="s">
        <v>569</v>
      </c>
      <c r="F2826" s="247" t="s">
        <v>2282</v>
      </c>
      <c r="G2826" s="247" t="s">
        <v>1354</v>
      </c>
      <c r="H2826" s="247" t="s">
        <v>397</v>
      </c>
      <c r="I2826" s="247" t="s">
        <v>2283</v>
      </c>
      <c r="J2826" s="247">
        <v>32</v>
      </c>
      <c r="K2826" s="247">
        <v>32</v>
      </c>
      <c r="L2826" s="249" t="s">
        <v>646</v>
      </c>
      <c r="M2826" s="249" t="s">
        <v>933</v>
      </c>
      <c r="N2826" s="248">
        <v>400.79</v>
      </c>
      <c r="O2826" s="248">
        <v>400.79</v>
      </c>
      <c r="P2826" s="247" t="s">
        <v>1477</v>
      </c>
      <c r="Q2826" s="247" t="s">
        <v>84</v>
      </c>
    </row>
    <row r="2827" spans="1:17" x14ac:dyDescent="0.25">
      <c r="A2827" s="247" t="s">
        <v>646</v>
      </c>
      <c r="B2827" s="247" t="s">
        <v>265</v>
      </c>
      <c r="C2827" s="247" t="s">
        <v>1343</v>
      </c>
      <c r="D2827" s="247" t="s">
        <v>575</v>
      </c>
      <c r="E2827" s="247" t="s">
        <v>569</v>
      </c>
      <c r="F2827" s="247" t="s">
        <v>2282</v>
      </c>
      <c r="G2827" s="247" t="s">
        <v>1354</v>
      </c>
      <c r="H2827" s="247" t="s">
        <v>397</v>
      </c>
      <c r="I2827" s="247" t="s">
        <v>2283</v>
      </c>
      <c r="J2827" s="247">
        <v>32</v>
      </c>
      <c r="K2827" s="247">
        <v>32</v>
      </c>
      <c r="L2827" s="249" t="s">
        <v>650</v>
      </c>
      <c r="M2827" s="249" t="s">
        <v>933</v>
      </c>
      <c r="N2827" s="248">
        <v>254.85</v>
      </c>
      <c r="O2827" s="248">
        <v>655.64</v>
      </c>
      <c r="P2827" s="247" t="s">
        <v>1477</v>
      </c>
      <c r="Q2827" s="247" t="s">
        <v>85</v>
      </c>
    </row>
    <row r="2828" spans="1:17" x14ac:dyDescent="0.25">
      <c r="A2828" s="247" t="s">
        <v>646</v>
      </c>
      <c r="B2828" s="247" t="s">
        <v>265</v>
      </c>
      <c r="C2828" s="247" t="s">
        <v>1343</v>
      </c>
      <c r="D2828" s="247" t="s">
        <v>575</v>
      </c>
      <c r="E2828" s="247" t="s">
        <v>569</v>
      </c>
      <c r="F2828" s="247" t="s">
        <v>2282</v>
      </c>
      <c r="G2828" s="247" t="s">
        <v>1354</v>
      </c>
      <c r="H2828" s="247" t="s">
        <v>397</v>
      </c>
      <c r="I2828" s="247" t="s">
        <v>2283</v>
      </c>
      <c r="J2828" s="247">
        <v>32</v>
      </c>
      <c r="K2828" s="247">
        <v>32</v>
      </c>
      <c r="L2828" s="249" t="s">
        <v>652</v>
      </c>
      <c r="M2828" s="249" t="s">
        <v>933</v>
      </c>
      <c r="N2828" s="248">
        <v>279.73</v>
      </c>
      <c r="O2828" s="248">
        <v>935.37</v>
      </c>
      <c r="P2828" s="247" t="s">
        <v>1477</v>
      </c>
      <c r="Q2828" s="247" t="s">
        <v>86</v>
      </c>
    </row>
    <row r="2829" spans="1:17" x14ac:dyDescent="0.25">
      <c r="A2829" s="247" t="s">
        <v>646</v>
      </c>
      <c r="B2829" s="247" t="s">
        <v>265</v>
      </c>
      <c r="C2829" s="247" t="s">
        <v>1343</v>
      </c>
      <c r="D2829" s="247" t="s">
        <v>575</v>
      </c>
      <c r="E2829" s="247" t="s">
        <v>569</v>
      </c>
      <c r="F2829" s="247" t="s">
        <v>2282</v>
      </c>
      <c r="G2829" s="247" t="s">
        <v>1354</v>
      </c>
      <c r="H2829" s="247" t="s">
        <v>397</v>
      </c>
      <c r="I2829" s="247" t="s">
        <v>2283</v>
      </c>
      <c r="J2829" s="247">
        <v>32</v>
      </c>
      <c r="K2829" s="247">
        <v>32</v>
      </c>
      <c r="L2829" s="249" t="s">
        <v>789</v>
      </c>
      <c r="M2829" s="249" t="s">
        <v>929</v>
      </c>
      <c r="N2829" s="248">
        <v>290.39999999999998</v>
      </c>
      <c r="O2829" s="248">
        <v>290.39999999999998</v>
      </c>
      <c r="P2829" s="247" t="s">
        <v>1477</v>
      </c>
      <c r="Q2829" s="247" t="s">
        <v>87</v>
      </c>
    </row>
    <row r="2830" spans="1:17" x14ac:dyDescent="0.25">
      <c r="A2830" s="247" t="s">
        <v>646</v>
      </c>
      <c r="B2830" s="247" t="s">
        <v>265</v>
      </c>
      <c r="C2830" s="247" t="s">
        <v>1343</v>
      </c>
      <c r="D2830" s="247" t="s">
        <v>575</v>
      </c>
      <c r="E2830" s="247" t="s">
        <v>569</v>
      </c>
      <c r="F2830" s="247" t="s">
        <v>2282</v>
      </c>
      <c r="G2830" s="247" t="s">
        <v>1354</v>
      </c>
      <c r="H2830" s="247" t="s">
        <v>397</v>
      </c>
      <c r="I2830" s="247" t="s">
        <v>2283</v>
      </c>
      <c r="J2830" s="247">
        <v>32</v>
      </c>
      <c r="K2830" s="247">
        <v>32</v>
      </c>
      <c r="L2830" s="249" t="s">
        <v>791</v>
      </c>
      <c r="M2830" s="249" t="s">
        <v>929</v>
      </c>
      <c r="N2830" s="248">
        <v>243.37</v>
      </c>
      <c r="O2830" s="248">
        <v>533.77</v>
      </c>
      <c r="P2830" s="247" t="s">
        <v>1477</v>
      </c>
      <c r="Q2830" s="247" t="s">
        <v>88</v>
      </c>
    </row>
    <row r="2831" spans="1:17" x14ac:dyDescent="0.25">
      <c r="A2831" s="247" t="s">
        <v>646</v>
      </c>
      <c r="B2831" s="247" t="s">
        <v>265</v>
      </c>
      <c r="C2831" s="247" t="s">
        <v>1343</v>
      </c>
      <c r="D2831" s="247" t="s">
        <v>575</v>
      </c>
      <c r="E2831" s="247" t="s">
        <v>569</v>
      </c>
      <c r="F2831" s="247" t="s">
        <v>2282</v>
      </c>
      <c r="G2831" s="247" t="s">
        <v>1354</v>
      </c>
      <c r="H2831" s="247" t="s">
        <v>397</v>
      </c>
      <c r="I2831" s="247" t="s">
        <v>2283</v>
      </c>
      <c r="J2831" s="247">
        <v>32</v>
      </c>
      <c r="K2831" s="247">
        <v>32</v>
      </c>
      <c r="L2831" s="249" t="s">
        <v>935</v>
      </c>
      <c r="M2831" s="249" t="s">
        <v>929</v>
      </c>
      <c r="N2831" s="248">
        <v>254.37</v>
      </c>
      <c r="O2831" s="248">
        <v>788.14</v>
      </c>
      <c r="P2831" s="247" t="s">
        <v>1477</v>
      </c>
      <c r="Q2831" s="247" t="s">
        <v>89</v>
      </c>
    </row>
    <row r="2832" spans="1:17" x14ac:dyDescent="0.25">
      <c r="A2832" s="247" t="s">
        <v>646</v>
      </c>
      <c r="B2832" s="247" t="s">
        <v>265</v>
      </c>
      <c r="C2832" s="247" t="s">
        <v>1343</v>
      </c>
      <c r="D2832" s="247" t="s">
        <v>575</v>
      </c>
      <c r="E2832" s="247" t="s">
        <v>569</v>
      </c>
      <c r="F2832" s="247" t="s">
        <v>2282</v>
      </c>
      <c r="G2832" s="247" t="s">
        <v>1354</v>
      </c>
      <c r="H2832" s="247" t="s">
        <v>397</v>
      </c>
      <c r="I2832" s="247" t="s">
        <v>2283</v>
      </c>
      <c r="J2832" s="247">
        <v>32</v>
      </c>
      <c r="K2832" s="247">
        <v>32</v>
      </c>
      <c r="L2832" s="249" t="s">
        <v>936</v>
      </c>
      <c r="M2832" s="249" t="s">
        <v>929</v>
      </c>
      <c r="N2832" s="248">
        <v>394.35</v>
      </c>
      <c r="O2832" s="248">
        <v>1182.49</v>
      </c>
      <c r="P2832" s="247" t="s">
        <v>1477</v>
      </c>
      <c r="Q2832" s="247" t="s">
        <v>90</v>
      </c>
    </row>
    <row r="2833" spans="1:17" x14ac:dyDescent="0.25">
      <c r="A2833" s="247" t="s">
        <v>646</v>
      </c>
      <c r="B2833" s="247" t="s">
        <v>265</v>
      </c>
      <c r="C2833" s="247" t="s">
        <v>1343</v>
      </c>
      <c r="D2833" s="247" t="s">
        <v>575</v>
      </c>
      <c r="E2833" s="247" t="s">
        <v>569</v>
      </c>
      <c r="F2833" s="247" t="s">
        <v>2282</v>
      </c>
      <c r="G2833" s="247" t="s">
        <v>1354</v>
      </c>
      <c r="H2833" s="247" t="s">
        <v>397</v>
      </c>
      <c r="I2833" s="247" t="s">
        <v>2283</v>
      </c>
      <c r="J2833" s="247">
        <v>32</v>
      </c>
      <c r="K2833" s="247">
        <v>32</v>
      </c>
      <c r="L2833" s="249" t="s">
        <v>937</v>
      </c>
      <c r="M2833" s="249" t="s">
        <v>929</v>
      </c>
      <c r="N2833" s="248">
        <v>313.3</v>
      </c>
      <c r="O2833" s="248">
        <v>1495.79</v>
      </c>
      <c r="P2833" s="247" t="s">
        <v>1477</v>
      </c>
      <c r="Q2833" s="247" t="s">
        <v>91</v>
      </c>
    </row>
    <row r="2834" spans="1:17" x14ac:dyDescent="0.25">
      <c r="A2834" s="247" t="s">
        <v>646</v>
      </c>
      <c r="B2834" s="247" t="s">
        <v>265</v>
      </c>
      <c r="C2834" s="247" t="s">
        <v>1343</v>
      </c>
      <c r="D2834" s="247" t="s">
        <v>575</v>
      </c>
      <c r="E2834" s="247" t="s">
        <v>569</v>
      </c>
      <c r="F2834" s="247" t="s">
        <v>2282</v>
      </c>
      <c r="G2834" s="247" t="s">
        <v>1354</v>
      </c>
      <c r="H2834" s="247" t="s">
        <v>397</v>
      </c>
      <c r="I2834" s="247" t="s">
        <v>2283</v>
      </c>
      <c r="J2834" s="247">
        <v>32</v>
      </c>
      <c r="K2834" s="247">
        <v>32</v>
      </c>
      <c r="L2834" s="249" t="s">
        <v>938</v>
      </c>
      <c r="M2834" s="249" t="s">
        <v>929</v>
      </c>
      <c r="N2834" s="248">
        <v>302.64999999999998</v>
      </c>
      <c r="O2834" s="248">
        <v>1798.44</v>
      </c>
      <c r="P2834" s="247" t="s">
        <v>1477</v>
      </c>
      <c r="Q2834" s="247" t="s">
        <v>92</v>
      </c>
    </row>
    <row r="2835" spans="1:17" x14ac:dyDescent="0.25">
      <c r="A2835" s="247" t="s">
        <v>646</v>
      </c>
      <c r="B2835" s="247" t="s">
        <v>265</v>
      </c>
      <c r="C2835" s="247" t="s">
        <v>1343</v>
      </c>
      <c r="D2835" s="247" t="s">
        <v>575</v>
      </c>
      <c r="E2835" s="247" t="s">
        <v>569</v>
      </c>
      <c r="F2835" s="247" t="s">
        <v>2282</v>
      </c>
      <c r="G2835" s="247" t="s">
        <v>1354</v>
      </c>
      <c r="H2835" s="247" t="s">
        <v>397</v>
      </c>
      <c r="I2835" s="247" t="s">
        <v>2283</v>
      </c>
      <c r="J2835" s="247">
        <v>32</v>
      </c>
      <c r="K2835" s="247">
        <v>32</v>
      </c>
      <c r="L2835" s="249" t="s">
        <v>939</v>
      </c>
      <c r="M2835" s="249" t="s">
        <v>929</v>
      </c>
      <c r="N2835" s="248">
        <v>273.54000000000002</v>
      </c>
      <c r="O2835" s="248">
        <v>2071.98</v>
      </c>
      <c r="P2835" s="247" t="s">
        <v>1477</v>
      </c>
      <c r="Q2835" s="247" t="s">
        <v>93</v>
      </c>
    </row>
    <row r="2836" spans="1:17" x14ac:dyDescent="0.25">
      <c r="A2836" s="247" t="s">
        <v>646</v>
      </c>
      <c r="B2836" s="247" t="s">
        <v>265</v>
      </c>
      <c r="C2836" s="247" t="s">
        <v>1343</v>
      </c>
      <c r="D2836" s="247" t="s">
        <v>575</v>
      </c>
      <c r="E2836" s="247" t="s">
        <v>569</v>
      </c>
      <c r="F2836" s="247" t="s">
        <v>2282</v>
      </c>
      <c r="G2836" s="247" t="s">
        <v>1354</v>
      </c>
      <c r="H2836" s="247" t="s">
        <v>397</v>
      </c>
      <c r="I2836" s="247" t="s">
        <v>2283</v>
      </c>
      <c r="J2836" s="247">
        <v>32</v>
      </c>
      <c r="K2836" s="247">
        <v>32</v>
      </c>
      <c r="L2836" s="249" t="s">
        <v>940</v>
      </c>
      <c r="M2836" s="249" t="s">
        <v>929</v>
      </c>
      <c r="N2836" s="248">
        <v>261.01</v>
      </c>
      <c r="O2836" s="248">
        <v>2332.9899999999998</v>
      </c>
      <c r="P2836" s="247" t="s">
        <v>1477</v>
      </c>
      <c r="Q2836" s="247" t="s">
        <v>94</v>
      </c>
    </row>
    <row r="2837" spans="1:17" x14ac:dyDescent="0.25">
      <c r="A2837" s="247" t="s">
        <v>646</v>
      </c>
      <c r="B2837" s="247" t="s">
        <v>265</v>
      </c>
      <c r="C2837" s="247" t="s">
        <v>1343</v>
      </c>
      <c r="D2837" s="247" t="s">
        <v>575</v>
      </c>
      <c r="E2837" s="247" t="s">
        <v>569</v>
      </c>
      <c r="F2837" s="247" t="s">
        <v>2282</v>
      </c>
      <c r="G2837" s="247" t="s">
        <v>1354</v>
      </c>
      <c r="H2837" s="247" t="s">
        <v>397</v>
      </c>
      <c r="I2837" s="247" t="s">
        <v>2283</v>
      </c>
      <c r="J2837" s="247">
        <v>32</v>
      </c>
      <c r="K2837" s="247">
        <v>32</v>
      </c>
      <c r="L2837" s="249" t="s">
        <v>642</v>
      </c>
      <c r="M2837" s="249" t="s">
        <v>929</v>
      </c>
      <c r="N2837" s="248">
        <v>359.56</v>
      </c>
      <c r="O2837" s="248">
        <v>2692.55</v>
      </c>
      <c r="P2837" s="247" t="s">
        <v>1477</v>
      </c>
      <c r="Q2837" s="247" t="s">
        <v>95</v>
      </c>
    </row>
    <row r="2838" spans="1:17" x14ac:dyDescent="0.25">
      <c r="A2838" s="247" t="s">
        <v>646</v>
      </c>
      <c r="B2838" s="247" t="s">
        <v>265</v>
      </c>
      <c r="C2838" s="247" t="s">
        <v>1343</v>
      </c>
      <c r="D2838" s="247" t="s">
        <v>1356</v>
      </c>
      <c r="E2838" s="247" t="s">
        <v>569</v>
      </c>
      <c r="F2838" s="247" t="s">
        <v>2284</v>
      </c>
      <c r="G2838" s="247" t="s">
        <v>1357</v>
      </c>
      <c r="H2838" s="247" t="s">
        <v>397</v>
      </c>
      <c r="I2838" s="247" t="s">
        <v>2285</v>
      </c>
      <c r="J2838" s="247">
        <v>32</v>
      </c>
      <c r="K2838" s="247">
        <v>32</v>
      </c>
      <c r="L2838" s="249" t="s">
        <v>789</v>
      </c>
      <c r="M2838" s="249" t="s">
        <v>929</v>
      </c>
      <c r="N2838" s="248">
        <v>120.15</v>
      </c>
      <c r="O2838" s="248">
        <v>120.15</v>
      </c>
      <c r="P2838" s="247" t="s">
        <v>1478</v>
      </c>
      <c r="Q2838" s="247" t="s">
        <v>87</v>
      </c>
    </row>
    <row r="2839" spans="1:17" x14ac:dyDescent="0.25">
      <c r="A2839" s="247" t="s">
        <v>646</v>
      </c>
      <c r="B2839" s="247" t="s">
        <v>265</v>
      </c>
      <c r="C2839" s="247" t="s">
        <v>1343</v>
      </c>
      <c r="D2839" s="247" t="s">
        <v>1356</v>
      </c>
      <c r="E2839" s="247" t="s">
        <v>569</v>
      </c>
      <c r="F2839" s="247" t="s">
        <v>2284</v>
      </c>
      <c r="G2839" s="247" t="s">
        <v>1357</v>
      </c>
      <c r="H2839" s="247" t="s">
        <v>397</v>
      </c>
      <c r="I2839" s="247" t="s">
        <v>2285</v>
      </c>
      <c r="J2839" s="247">
        <v>32</v>
      </c>
      <c r="K2839" s="247">
        <v>32</v>
      </c>
      <c r="L2839" s="249" t="s">
        <v>791</v>
      </c>
      <c r="M2839" s="249" t="s">
        <v>929</v>
      </c>
      <c r="N2839" s="248">
        <v>86.64</v>
      </c>
      <c r="O2839" s="248">
        <v>206.79</v>
      </c>
      <c r="P2839" s="247" t="s">
        <v>1478</v>
      </c>
      <c r="Q2839" s="247" t="s">
        <v>88</v>
      </c>
    </row>
    <row r="2840" spans="1:17" x14ac:dyDescent="0.25">
      <c r="A2840" s="247" t="s">
        <v>646</v>
      </c>
      <c r="B2840" s="247" t="s">
        <v>265</v>
      </c>
      <c r="C2840" s="247" t="s">
        <v>1343</v>
      </c>
      <c r="D2840" s="247" t="s">
        <v>1356</v>
      </c>
      <c r="E2840" s="247" t="s">
        <v>569</v>
      </c>
      <c r="F2840" s="247" t="s">
        <v>2284</v>
      </c>
      <c r="G2840" s="247" t="s">
        <v>1357</v>
      </c>
      <c r="H2840" s="247" t="s">
        <v>397</v>
      </c>
      <c r="I2840" s="247" t="s">
        <v>2285</v>
      </c>
      <c r="J2840" s="247">
        <v>32</v>
      </c>
      <c r="K2840" s="247">
        <v>32</v>
      </c>
      <c r="L2840" s="249" t="s">
        <v>935</v>
      </c>
      <c r="M2840" s="249" t="s">
        <v>929</v>
      </c>
      <c r="N2840" s="248">
        <v>3.18</v>
      </c>
      <c r="O2840" s="248">
        <v>209.97</v>
      </c>
      <c r="P2840" s="247" t="s">
        <v>1478</v>
      </c>
      <c r="Q2840" s="247" t="s">
        <v>89</v>
      </c>
    </row>
    <row r="2841" spans="1:17" x14ac:dyDescent="0.25">
      <c r="A2841" s="247" t="s">
        <v>646</v>
      </c>
      <c r="B2841" s="247" t="s">
        <v>265</v>
      </c>
      <c r="C2841" s="247" t="s">
        <v>1343</v>
      </c>
      <c r="D2841" s="247" t="s">
        <v>1356</v>
      </c>
      <c r="E2841" s="247" t="s">
        <v>569</v>
      </c>
      <c r="F2841" s="247" t="s">
        <v>2284</v>
      </c>
      <c r="G2841" s="247" t="s">
        <v>1357</v>
      </c>
      <c r="H2841" s="247" t="s">
        <v>397</v>
      </c>
      <c r="I2841" s="247" t="s">
        <v>2285</v>
      </c>
      <c r="J2841" s="247">
        <v>32</v>
      </c>
      <c r="K2841" s="247">
        <v>32</v>
      </c>
      <c r="L2841" s="249" t="s">
        <v>936</v>
      </c>
      <c r="M2841" s="249" t="s">
        <v>929</v>
      </c>
      <c r="N2841" s="248">
        <v>0</v>
      </c>
      <c r="O2841" s="248">
        <v>209.97</v>
      </c>
      <c r="P2841" s="247" t="s">
        <v>1478</v>
      </c>
      <c r="Q2841" s="247" t="s">
        <v>90</v>
      </c>
    </row>
    <row r="2842" spans="1:17" x14ac:dyDescent="0.25">
      <c r="A2842" s="247" t="s">
        <v>646</v>
      </c>
      <c r="B2842" s="247" t="s">
        <v>265</v>
      </c>
      <c r="C2842" s="247" t="s">
        <v>1343</v>
      </c>
      <c r="D2842" s="247" t="s">
        <v>1356</v>
      </c>
      <c r="E2842" s="247" t="s">
        <v>569</v>
      </c>
      <c r="F2842" s="247" t="s">
        <v>2284</v>
      </c>
      <c r="G2842" s="247" t="s">
        <v>1357</v>
      </c>
      <c r="H2842" s="247" t="s">
        <v>397</v>
      </c>
      <c r="I2842" s="247" t="s">
        <v>2285</v>
      </c>
      <c r="J2842" s="247">
        <v>32</v>
      </c>
      <c r="K2842" s="247">
        <v>32</v>
      </c>
      <c r="L2842" s="249" t="s">
        <v>937</v>
      </c>
      <c r="M2842" s="249" t="s">
        <v>929</v>
      </c>
      <c r="N2842" s="248">
        <v>0</v>
      </c>
      <c r="O2842" s="248">
        <v>209.97</v>
      </c>
      <c r="P2842" s="247" t="s">
        <v>1478</v>
      </c>
      <c r="Q2842" s="247" t="s">
        <v>91</v>
      </c>
    </row>
    <row r="2843" spans="1:17" x14ac:dyDescent="0.25">
      <c r="A2843" s="247" t="s">
        <v>646</v>
      </c>
      <c r="B2843" s="247" t="s">
        <v>265</v>
      </c>
      <c r="C2843" s="247" t="s">
        <v>1343</v>
      </c>
      <c r="D2843" s="247" t="s">
        <v>1356</v>
      </c>
      <c r="E2843" s="247" t="s">
        <v>569</v>
      </c>
      <c r="F2843" s="247" t="s">
        <v>2284</v>
      </c>
      <c r="G2843" s="247" t="s">
        <v>1357</v>
      </c>
      <c r="H2843" s="247" t="s">
        <v>397</v>
      </c>
      <c r="I2843" s="247" t="s">
        <v>2285</v>
      </c>
      <c r="J2843" s="247">
        <v>32</v>
      </c>
      <c r="K2843" s="247">
        <v>32</v>
      </c>
      <c r="L2843" s="249" t="s">
        <v>938</v>
      </c>
      <c r="M2843" s="249" t="s">
        <v>929</v>
      </c>
      <c r="N2843" s="248">
        <v>0</v>
      </c>
      <c r="O2843" s="248">
        <v>209.97</v>
      </c>
      <c r="P2843" s="247" t="s">
        <v>1478</v>
      </c>
      <c r="Q2843" s="247" t="s">
        <v>92</v>
      </c>
    </row>
    <row r="2844" spans="1:17" x14ac:dyDescent="0.25">
      <c r="A2844" s="247" t="s">
        <v>646</v>
      </c>
      <c r="B2844" s="247" t="s">
        <v>265</v>
      </c>
      <c r="C2844" s="247" t="s">
        <v>1343</v>
      </c>
      <c r="D2844" s="247" t="s">
        <v>1356</v>
      </c>
      <c r="E2844" s="247" t="s">
        <v>569</v>
      </c>
      <c r="F2844" s="247" t="s">
        <v>2284</v>
      </c>
      <c r="G2844" s="247" t="s">
        <v>1357</v>
      </c>
      <c r="H2844" s="247" t="s">
        <v>397</v>
      </c>
      <c r="I2844" s="247" t="s">
        <v>2285</v>
      </c>
      <c r="J2844" s="247">
        <v>32</v>
      </c>
      <c r="K2844" s="247">
        <v>32</v>
      </c>
      <c r="L2844" s="249" t="s">
        <v>939</v>
      </c>
      <c r="M2844" s="249" t="s">
        <v>929</v>
      </c>
      <c r="N2844" s="248">
        <v>0</v>
      </c>
      <c r="O2844" s="248">
        <v>209.97</v>
      </c>
      <c r="P2844" s="247" t="s">
        <v>1478</v>
      </c>
      <c r="Q2844" s="247" t="s">
        <v>93</v>
      </c>
    </row>
    <row r="2845" spans="1:17" x14ac:dyDescent="0.25">
      <c r="A2845" s="247" t="s">
        <v>646</v>
      </c>
      <c r="B2845" s="247" t="s">
        <v>265</v>
      </c>
      <c r="C2845" s="247" t="s">
        <v>1343</v>
      </c>
      <c r="D2845" s="247" t="s">
        <v>1356</v>
      </c>
      <c r="E2845" s="247" t="s">
        <v>569</v>
      </c>
      <c r="F2845" s="247" t="s">
        <v>2284</v>
      </c>
      <c r="G2845" s="247" t="s">
        <v>1357</v>
      </c>
      <c r="H2845" s="247" t="s">
        <v>397</v>
      </c>
      <c r="I2845" s="247" t="s">
        <v>2285</v>
      </c>
      <c r="J2845" s="247">
        <v>32</v>
      </c>
      <c r="K2845" s="247">
        <v>32</v>
      </c>
      <c r="L2845" s="249" t="s">
        <v>940</v>
      </c>
      <c r="M2845" s="249" t="s">
        <v>929</v>
      </c>
      <c r="N2845" s="248">
        <v>0</v>
      </c>
      <c r="O2845" s="248">
        <v>209.97</v>
      </c>
      <c r="P2845" s="247" t="s">
        <v>1478</v>
      </c>
      <c r="Q2845" s="247" t="s">
        <v>94</v>
      </c>
    </row>
    <row r="2846" spans="1:17" x14ac:dyDescent="0.25">
      <c r="A2846" s="247" t="s">
        <v>646</v>
      </c>
      <c r="B2846" s="247" t="s">
        <v>265</v>
      </c>
      <c r="C2846" s="247" t="s">
        <v>1343</v>
      </c>
      <c r="D2846" s="247" t="s">
        <v>1356</v>
      </c>
      <c r="E2846" s="247" t="s">
        <v>569</v>
      </c>
      <c r="F2846" s="247" t="s">
        <v>2284</v>
      </c>
      <c r="G2846" s="247" t="s">
        <v>1357</v>
      </c>
      <c r="H2846" s="247" t="s">
        <v>397</v>
      </c>
      <c r="I2846" s="247" t="s">
        <v>2285</v>
      </c>
      <c r="J2846" s="247">
        <v>32</v>
      </c>
      <c r="K2846" s="247">
        <v>32</v>
      </c>
      <c r="L2846" s="249" t="s">
        <v>642</v>
      </c>
      <c r="M2846" s="249" t="s">
        <v>929</v>
      </c>
      <c r="N2846" s="248">
        <v>17.91</v>
      </c>
      <c r="O2846" s="248">
        <v>227.88</v>
      </c>
      <c r="P2846" s="247" t="s">
        <v>1478</v>
      </c>
      <c r="Q2846" s="247" t="s">
        <v>95</v>
      </c>
    </row>
    <row r="2847" spans="1:17" x14ac:dyDescent="0.25">
      <c r="A2847" s="247" t="s">
        <v>646</v>
      </c>
      <c r="B2847" s="247" t="s">
        <v>265</v>
      </c>
      <c r="C2847" s="247" t="s">
        <v>1343</v>
      </c>
      <c r="D2847" s="247" t="s">
        <v>946</v>
      </c>
      <c r="E2847" s="247" t="s">
        <v>569</v>
      </c>
      <c r="F2847" s="247" t="s">
        <v>2286</v>
      </c>
      <c r="G2847" s="247" t="s">
        <v>1359</v>
      </c>
      <c r="H2847" s="247" t="s">
        <v>397</v>
      </c>
      <c r="I2847" s="247" t="s">
        <v>2287</v>
      </c>
      <c r="J2847" s="247">
        <v>32</v>
      </c>
      <c r="K2847" s="247">
        <v>32</v>
      </c>
      <c r="L2847" s="249" t="s">
        <v>646</v>
      </c>
      <c r="M2847" s="249" t="s">
        <v>933</v>
      </c>
      <c r="N2847" s="248">
        <v>111.63</v>
      </c>
      <c r="O2847" s="248">
        <v>111.63</v>
      </c>
      <c r="P2847" s="247" t="s">
        <v>1479</v>
      </c>
      <c r="Q2847" s="247" t="s">
        <v>84</v>
      </c>
    </row>
    <row r="2848" spans="1:17" x14ac:dyDescent="0.25">
      <c r="A2848" s="247" t="s">
        <v>646</v>
      </c>
      <c r="B2848" s="247" t="s">
        <v>265</v>
      </c>
      <c r="C2848" s="247" t="s">
        <v>1343</v>
      </c>
      <c r="D2848" s="247" t="s">
        <v>946</v>
      </c>
      <c r="E2848" s="247" t="s">
        <v>569</v>
      </c>
      <c r="F2848" s="247" t="s">
        <v>2286</v>
      </c>
      <c r="G2848" s="247" t="s">
        <v>1359</v>
      </c>
      <c r="H2848" s="247" t="s">
        <v>397</v>
      </c>
      <c r="I2848" s="247" t="s">
        <v>2287</v>
      </c>
      <c r="J2848" s="247">
        <v>32</v>
      </c>
      <c r="K2848" s="247">
        <v>32</v>
      </c>
      <c r="L2848" s="249" t="s">
        <v>650</v>
      </c>
      <c r="M2848" s="249" t="s">
        <v>933</v>
      </c>
      <c r="N2848" s="248">
        <v>30.21</v>
      </c>
      <c r="O2848" s="248">
        <v>141.84</v>
      </c>
      <c r="P2848" s="247" t="s">
        <v>1479</v>
      </c>
      <c r="Q2848" s="247" t="s">
        <v>85</v>
      </c>
    </row>
    <row r="2849" spans="1:17" x14ac:dyDescent="0.25">
      <c r="A2849" s="247" t="s">
        <v>646</v>
      </c>
      <c r="B2849" s="247" t="s">
        <v>265</v>
      </c>
      <c r="C2849" s="247" t="s">
        <v>1343</v>
      </c>
      <c r="D2849" s="247" t="s">
        <v>946</v>
      </c>
      <c r="E2849" s="247" t="s">
        <v>569</v>
      </c>
      <c r="F2849" s="247" t="s">
        <v>2286</v>
      </c>
      <c r="G2849" s="247" t="s">
        <v>1359</v>
      </c>
      <c r="H2849" s="247" t="s">
        <v>397</v>
      </c>
      <c r="I2849" s="247" t="s">
        <v>2287</v>
      </c>
      <c r="J2849" s="247">
        <v>32</v>
      </c>
      <c r="K2849" s="247">
        <v>32</v>
      </c>
      <c r="L2849" s="249" t="s">
        <v>652</v>
      </c>
      <c r="M2849" s="249" t="s">
        <v>933</v>
      </c>
      <c r="N2849" s="248">
        <v>1.68</v>
      </c>
      <c r="O2849" s="248">
        <v>143.52000000000001</v>
      </c>
      <c r="P2849" s="247" t="s">
        <v>1479</v>
      </c>
      <c r="Q2849" s="247" t="s">
        <v>86</v>
      </c>
    </row>
    <row r="2850" spans="1:17" x14ac:dyDescent="0.25">
      <c r="A2850" s="247" t="s">
        <v>646</v>
      </c>
      <c r="B2850" s="247" t="s">
        <v>265</v>
      </c>
      <c r="C2850" s="247" t="s">
        <v>1343</v>
      </c>
      <c r="D2850" s="247" t="s">
        <v>946</v>
      </c>
      <c r="E2850" s="247" t="s">
        <v>569</v>
      </c>
      <c r="F2850" s="247" t="s">
        <v>2286</v>
      </c>
      <c r="G2850" s="247" t="s">
        <v>1359</v>
      </c>
      <c r="H2850" s="247" t="s">
        <v>397</v>
      </c>
      <c r="I2850" s="247" t="s">
        <v>2287</v>
      </c>
      <c r="J2850" s="247">
        <v>32</v>
      </c>
      <c r="K2850" s="247">
        <v>32</v>
      </c>
      <c r="L2850" s="249" t="s">
        <v>789</v>
      </c>
      <c r="M2850" s="249" t="s">
        <v>929</v>
      </c>
      <c r="N2850" s="248">
        <v>79.45</v>
      </c>
      <c r="O2850" s="248">
        <v>79.45</v>
      </c>
      <c r="P2850" s="247" t="s">
        <v>1479</v>
      </c>
      <c r="Q2850" s="247" t="s">
        <v>87</v>
      </c>
    </row>
    <row r="2851" spans="1:17" x14ac:dyDescent="0.25">
      <c r="A2851" s="247" t="s">
        <v>646</v>
      </c>
      <c r="B2851" s="247" t="s">
        <v>265</v>
      </c>
      <c r="C2851" s="247" t="s">
        <v>1343</v>
      </c>
      <c r="D2851" s="247" t="s">
        <v>946</v>
      </c>
      <c r="E2851" s="247" t="s">
        <v>569</v>
      </c>
      <c r="F2851" s="247" t="s">
        <v>2286</v>
      </c>
      <c r="G2851" s="247" t="s">
        <v>1359</v>
      </c>
      <c r="H2851" s="247" t="s">
        <v>397</v>
      </c>
      <c r="I2851" s="247" t="s">
        <v>2287</v>
      </c>
      <c r="J2851" s="247">
        <v>32</v>
      </c>
      <c r="K2851" s="247">
        <v>32</v>
      </c>
      <c r="L2851" s="249" t="s">
        <v>791</v>
      </c>
      <c r="M2851" s="249" t="s">
        <v>929</v>
      </c>
      <c r="N2851" s="248">
        <v>62.13</v>
      </c>
      <c r="O2851" s="248">
        <v>141.58000000000001</v>
      </c>
      <c r="P2851" s="247" t="s">
        <v>1479</v>
      </c>
      <c r="Q2851" s="247" t="s">
        <v>88</v>
      </c>
    </row>
    <row r="2852" spans="1:17" x14ac:dyDescent="0.25">
      <c r="A2852" s="247" t="s">
        <v>646</v>
      </c>
      <c r="B2852" s="247" t="s">
        <v>265</v>
      </c>
      <c r="C2852" s="247" t="s">
        <v>1343</v>
      </c>
      <c r="D2852" s="247" t="s">
        <v>946</v>
      </c>
      <c r="E2852" s="247" t="s">
        <v>569</v>
      </c>
      <c r="F2852" s="247" t="s">
        <v>2286</v>
      </c>
      <c r="G2852" s="247" t="s">
        <v>1359</v>
      </c>
      <c r="H2852" s="247" t="s">
        <v>397</v>
      </c>
      <c r="I2852" s="247" t="s">
        <v>2287</v>
      </c>
      <c r="J2852" s="247">
        <v>32</v>
      </c>
      <c r="K2852" s="247">
        <v>32</v>
      </c>
      <c r="L2852" s="249" t="s">
        <v>935</v>
      </c>
      <c r="M2852" s="249" t="s">
        <v>929</v>
      </c>
      <c r="N2852" s="248">
        <v>64.95</v>
      </c>
      <c r="O2852" s="248">
        <v>206.53</v>
      </c>
      <c r="P2852" s="247" t="s">
        <v>1479</v>
      </c>
      <c r="Q2852" s="247" t="s">
        <v>89</v>
      </c>
    </row>
    <row r="2853" spans="1:17" x14ac:dyDescent="0.25">
      <c r="A2853" s="247" t="s">
        <v>646</v>
      </c>
      <c r="B2853" s="247" t="s">
        <v>265</v>
      </c>
      <c r="C2853" s="247" t="s">
        <v>1343</v>
      </c>
      <c r="D2853" s="247" t="s">
        <v>946</v>
      </c>
      <c r="E2853" s="247" t="s">
        <v>569</v>
      </c>
      <c r="F2853" s="247" t="s">
        <v>2286</v>
      </c>
      <c r="G2853" s="247" t="s">
        <v>1359</v>
      </c>
      <c r="H2853" s="247" t="s">
        <v>397</v>
      </c>
      <c r="I2853" s="247" t="s">
        <v>2287</v>
      </c>
      <c r="J2853" s="247">
        <v>32</v>
      </c>
      <c r="K2853" s="247">
        <v>32</v>
      </c>
      <c r="L2853" s="249" t="s">
        <v>936</v>
      </c>
      <c r="M2853" s="249" t="s">
        <v>929</v>
      </c>
      <c r="N2853" s="248">
        <v>100.66</v>
      </c>
      <c r="O2853" s="248">
        <v>307.19</v>
      </c>
      <c r="P2853" s="247" t="s">
        <v>1479</v>
      </c>
      <c r="Q2853" s="247" t="s">
        <v>90</v>
      </c>
    </row>
    <row r="2854" spans="1:17" x14ac:dyDescent="0.25">
      <c r="A2854" s="247" t="s">
        <v>646</v>
      </c>
      <c r="B2854" s="247" t="s">
        <v>265</v>
      </c>
      <c r="C2854" s="247" t="s">
        <v>1343</v>
      </c>
      <c r="D2854" s="247" t="s">
        <v>946</v>
      </c>
      <c r="E2854" s="247" t="s">
        <v>569</v>
      </c>
      <c r="F2854" s="247" t="s">
        <v>2286</v>
      </c>
      <c r="G2854" s="247" t="s">
        <v>1359</v>
      </c>
      <c r="H2854" s="247" t="s">
        <v>397</v>
      </c>
      <c r="I2854" s="247" t="s">
        <v>2287</v>
      </c>
      <c r="J2854" s="247">
        <v>32</v>
      </c>
      <c r="K2854" s="247">
        <v>32</v>
      </c>
      <c r="L2854" s="249" t="s">
        <v>937</v>
      </c>
      <c r="M2854" s="249" t="s">
        <v>929</v>
      </c>
      <c r="N2854" s="248">
        <v>79.959999999999994</v>
      </c>
      <c r="O2854" s="248">
        <v>387.15</v>
      </c>
      <c r="P2854" s="247" t="s">
        <v>1479</v>
      </c>
      <c r="Q2854" s="247" t="s">
        <v>91</v>
      </c>
    </row>
    <row r="2855" spans="1:17" x14ac:dyDescent="0.25">
      <c r="A2855" s="247" t="s">
        <v>646</v>
      </c>
      <c r="B2855" s="247" t="s">
        <v>265</v>
      </c>
      <c r="C2855" s="247" t="s">
        <v>1343</v>
      </c>
      <c r="D2855" s="247" t="s">
        <v>946</v>
      </c>
      <c r="E2855" s="247" t="s">
        <v>569</v>
      </c>
      <c r="F2855" s="247" t="s">
        <v>2286</v>
      </c>
      <c r="G2855" s="247" t="s">
        <v>1359</v>
      </c>
      <c r="H2855" s="247" t="s">
        <v>397</v>
      </c>
      <c r="I2855" s="247" t="s">
        <v>2287</v>
      </c>
      <c r="J2855" s="247">
        <v>32</v>
      </c>
      <c r="K2855" s="247">
        <v>32</v>
      </c>
      <c r="L2855" s="249" t="s">
        <v>938</v>
      </c>
      <c r="M2855" s="249" t="s">
        <v>929</v>
      </c>
      <c r="N2855" s="248">
        <v>77.23</v>
      </c>
      <c r="O2855" s="248">
        <v>464.38</v>
      </c>
      <c r="P2855" s="247" t="s">
        <v>1479</v>
      </c>
      <c r="Q2855" s="247" t="s">
        <v>92</v>
      </c>
    </row>
    <row r="2856" spans="1:17" x14ac:dyDescent="0.25">
      <c r="A2856" s="247" t="s">
        <v>646</v>
      </c>
      <c r="B2856" s="247" t="s">
        <v>265</v>
      </c>
      <c r="C2856" s="247" t="s">
        <v>1343</v>
      </c>
      <c r="D2856" s="247" t="s">
        <v>946</v>
      </c>
      <c r="E2856" s="247" t="s">
        <v>569</v>
      </c>
      <c r="F2856" s="247" t="s">
        <v>2286</v>
      </c>
      <c r="G2856" s="247" t="s">
        <v>1359</v>
      </c>
      <c r="H2856" s="247" t="s">
        <v>397</v>
      </c>
      <c r="I2856" s="247" t="s">
        <v>2287</v>
      </c>
      <c r="J2856" s="247">
        <v>32</v>
      </c>
      <c r="K2856" s="247">
        <v>32</v>
      </c>
      <c r="L2856" s="249" t="s">
        <v>939</v>
      </c>
      <c r="M2856" s="249" t="s">
        <v>929</v>
      </c>
      <c r="N2856" s="248">
        <v>69.8</v>
      </c>
      <c r="O2856" s="248">
        <v>534.17999999999995</v>
      </c>
      <c r="P2856" s="247" t="s">
        <v>1479</v>
      </c>
      <c r="Q2856" s="247" t="s">
        <v>93</v>
      </c>
    </row>
    <row r="2857" spans="1:17" x14ac:dyDescent="0.25">
      <c r="A2857" s="247" t="s">
        <v>646</v>
      </c>
      <c r="B2857" s="247" t="s">
        <v>265</v>
      </c>
      <c r="C2857" s="247" t="s">
        <v>1343</v>
      </c>
      <c r="D2857" s="247" t="s">
        <v>946</v>
      </c>
      <c r="E2857" s="247" t="s">
        <v>569</v>
      </c>
      <c r="F2857" s="247" t="s">
        <v>2286</v>
      </c>
      <c r="G2857" s="247" t="s">
        <v>1359</v>
      </c>
      <c r="H2857" s="247" t="s">
        <v>397</v>
      </c>
      <c r="I2857" s="247" t="s">
        <v>2287</v>
      </c>
      <c r="J2857" s="247">
        <v>32</v>
      </c>
      <c r="K2857" s="247">
        <v>32</v>
      </c>
      <c r="L2857" s="249" t="s">
        <v>940</v>
      </c>
      <c r="M2857" s="249" t="s">
        <v>929</v>
      </c>
      <c r="N2857" s="248">
        <v>66.599999999999994</v>
      </c>
      <c r="O2857" s="248">
        <v>600.78</v>
      </c>
      <c r="P2857" s="247" t="s">
        <v>1479</v>
      </c>
      <c r="Q2857" s="247" t="s">
        <v>94</v>
      </c>
    </row>
    <row r="2858" spans="1:17" x14ac:dyDescent="0.25">
      <c r="A2858" s="247" t="s">
        <v>646</v>
      </c>
      <c r="B2858" s="247" t="s">
        <v>265</v>
      </c>
      <c r="C2858" s="247" t="s">
        <v>1343</v>
      </c>
      <c r="D2858" s="247" t="s">
        <v>946</v>
      </c>
      <c r="E2858" s="247" t="s">
        <v>569</v>
      </c>
      <c r="F2858" s="247" t="s">
        <v>2286</v>
      </c>
      <c r="G2858" s="247" t="s">
        <v>1359</v>
      </c>
      <c r="H2858" s="247" t="s">
        <v>397</v>
      </c>
      <c r="I2858" s="247" t="s">
        <v>2287</v>
      </c>
      <c r="J2858" s="247">
        <v>32</v>
      </c>
      <c r="K2858" s="247">
        <v>32</v>
      </c>
      <c r="L2858" s="249" t="s">
        <v>642</v>
      </c>
      <c r="M2858" s="249" t="s">
        <v>929</v>
      </c>
      <c r="N2858" s="248">
        <v>91.73</v>
      </c>
      <c r="O2858" s="248">
        <v>692.51</v>
      </c>
      <c r="P2858" s="247" t="s">
        <v>1479</v>
      </c>
      <c r="Q2858" s="247" t="s">
        <v>95</v>
      </c>
    </row>
    <row r="2859" spans="1:17" x14ac:dyDescent="0.25">
      <c r="A2859" s="247" t="s">
        <v>646</v>
      </c>
      <c r="B2859" s="247" t="s">
        <v>265</v>
      </c>
      <c r="C2859" s="247" t="s">
        <v>1343</v>
      </c>
      <c r="D2859" s="247" t="s">
        <v>1361</v>
      </c>
      <c r="E2859" s="247" t="s">
        <v>569</v>
      </c>
      <c r="F2859" s="247" t="s">
        <v>2288</v>
      </c>
      <c r="G2859" s="247" t="s">
        <v>1396</v>
      </c>
      <c r="H2859" s="247" t="s">
        <v>397</v>
      </c>
      <c r="I2859" s="247" t="s">
        <v>2289</v>
      </c>
      <c r="J2859" s="247">
        <v>31</v>
      </c>
      <c r="K2859" s="247">
        <v>31</v>
      </c>
      <c r="L2859" s="249" t="s">
        <v>646</v>
      </c>
      <c r="M2859" s="249" t="s">
        <v>933</v>
      </c>
      <c r="N2859" s="248">
        <v>2201.5300000000002</v>
      </c>
      <c r="O2859" s="248">
        <v>2201.5300000000002</v>
      </c>
      <c r="P2859" s="247" t="s">
        <v>1480</v>
      </c>
      <c r="Q2859" s="247" t="s">
        <v>84</v>
      </c>
    </row>
    <row r="2860" spans="1:17" x14ac:dyDescent="0.25">
      <c r="A2860" s="247" t="s">
        <v>646</v>
      </c>
      <c r="B2860" s="247" t="s">
        <v>265</v>
      </c>
      <c r="C2860" s="247" t="s">
        <v>1343</v>
      </c>
      <c r="D2860" s="247" t="s">
        <v>1361</v>
      </c>
      <c r="E2860" s="247" t="s">
        <v>569</v>
      </c>
      <c r="F2860" s="247" t="s">
        <v>2288</v>
      </c>
      <c r="G2860" s="247" t="s">
        <v>1396</v>
      </c>
      <c r="H2860" s="247" t="s">
        <v>397</v>
      </c>
      <c r="I2860" s="247" t="s">
        <v>2289</v>
      </c>
      <c r="J2860" s="247">
        <v>31</v>
      </c>
      <c r="K2860" s="247">
        <v>31</v>
      </c>
      <c r="L2860" s="249" t="s">
        <v>650</v>
      </c>
      <c r="M2860" s="249" t="s">
        <v>933</v>
      </c>
      <c r="N2860" s="248">
        <v>1259.22</v>
      </c>
      <c r="O2860" s="248">
        <v>3460.75</v>
      </c>
      <c r="P2860" s="247" t="s">
        <v>1480</v>
      </c>
      <c r="Q2860" s="247" t="s">
        <v>85</v>
      </c>
    </row>
    <row r="2861" spans="1:17" x14ac:dyDescent="0.25">
      <c r="A2861" s="247" t="s">
        <v>646</v>
      </c>
      <c r="B2861" s="247" t="s">
        <v>265</v>
      </c>
      <c r="C2861" s="247" t="s">
        <v>1343</v>
      </c>
      <c r="D2861" s="247" t="s">
        <v>1361</v>
      </c>
      <c r="E2861" s="247" t="s">
        <v>569</v>
      </c>
      <c r="F2861" s="247" t="s">
        <v>2288</v>
      </c>
      <c r="G2861" s="247" t="s">
        <v>1396</v>
      </c>
      <c r="H2861" s="247" t="s">
        <v>397</v>
      </c>
      <c r="I2861" s="247" t="s">
        <v>2289</v>
      </c>
      <c r="J2861" s="247">
        <v>31</v>
      </c>
      <c r="K2861" s="247">
        <v>31</v>
      </c>
      <c r="L2861" s="249" t="s">
        <v>652</v>
      </c>
      <c r="M2861" s="249" t="s">
        <v>933</v>
      </c>
      <c r="N2861" s="248">
        <v>1323.62</v>
      </c>
      <c r="O2861" s="248">
        <v>4784.37</v>
      </c>
      <c r="P2861" s="247" t="s">
        <v>1480</v>
      </c>
      <c r="Q2861" s="247" t="s">
        <v>86</v>
      </c>
    </row>
    <row r="2862" spans="1:17" x14ac:dyDescent="0.25">
      <c r="A2862" s="247" t="s">
        <v>646</v>
      </c>
      <c r="B2862" s="247" t="s">
        <v>265</v>
      </c>
      <c r="C2862" s="247" t="s">
        <v>1343</v>
      </c>
      <c r="D2862" s="247" t="s">
        <v>1361</v>
      </c>
      <c r="E2862" s="247" t="s">
        <v>569</v>
      </c>
      <c r="F2862" s="247" t="s">
        <v>2288</v>
      </c>
      <c r="G2862" s="247" t="s">
        <v>1396</v>
      </c>
      <c r="H2862" s="247" t="s">
        <v>397</v>
      </c>
      <c r="I2862" s="247" t="s">
        <v>2289</v>
      </c>
      <c r="J2862" s="247">
        <v>31</v>
      </c>
      <c r="K2862" s="247">
        <v>31</v>
      </c>
      <c r="L2862" s="249" t="s">
        <v>789</v>
      </c>
      <c r="M2862" s="249" t="s">
        <v>929</v>
      </c>
      <c r="N2862" s="248">
        <v>1442.71</v>
      </c>
      <c r="O2862" s="248">
        <v>1442.71</v>
      </c>
      <c r="P2862" s="247" t="s">
        <v>1480</v>
      </c>
      <c r="Q2862" s="247" t="s">
        <v>87</v>
      </c>
    </row>
    <row r="2863" spans="1:17" x14ac:dyDescent="0.25">
      <c r="A2863" s="247" t="s">
        <v>646</v>
      </c>
      <c r="B2863" s="247" t="s">
        <v>265</v>
      </c>
      <c r="C2863" s="247" t="s">
        <v>1343</v>
      </c>
      <c r="D2863" s="247" t="s">
        <v>1361</v>
      </c>
      <c r="E2863" s="247" t="s">
        <v>569</v>
      </c>
      <c r="F2863" s="247" t="s">
        <v>2288</v>
      </c>
      <c r="G2863" s="247" t="s">
        <v>1396</v>
      </c>
      <c r="H2863" s="247" t="s">
        <v>397</v>
      </c>
      <c r="I2863" s="247" t="s">
        <v>2289</v>
      </c>
      <c r="J2863" s="247">
        <v>31</v>
      </c>
      <c r="K2863" s="247">
        <v>31</v>
      </c>
      <c r="L2863" s="249" t="s">
        <v>791</v>
      </c>
      <c r="M2863" s="249" t="s">
        <v>929</v>
      </c>
      <c r="N2863" s="248">
        <v>1367.3</v>
      </c>
      <c r="O2863" s="248">
        <v>2810.01</v>
      </c>
      <c r="P2863" s="247" t="s">
        <v>1480</v>
      </c>
      <c r="Q2863" s="247" t="s">
        <v>88</v>
      </c>
    </row>
    <row r="2864" spans="1:17" x14ac:dyDescent="0.25">
      <c r="A2864" s="247" t="s">
        <v>646</v>
      </c>
      <c r="B2864" s="247" t="s">
        <v>265</v>
      </c>
      <c r="C2864" s="247" t="s">
        <v>1343</v>
      </c>
      <c r="D2864" s="247" t="s">
        <v>1361</v>
      </c>
      <c r="E2864" s="247" t="s">
        <v>569</v>
      </c>
      <c r="F2864" s="247" t="s">
        <v>2288</v>
      </c>
      <c r="G2864" s="247" t="s">
        <v>1396</v>
      </c>
      <c r="H2864" s="247" t="s">
        <v>397</v>
      </c>
      <c r="I2864" s="247" t="s">
        <v>2289</v>
      </c>
      <c r="J2864" s="247">
        <v>31</v>
      </c>
      <c r="K2864" s="247">
        <v>31</v>
      </c>
      <c r="L2864" s="249" t="s">
        <v>935</v>
      </c>
      <c r="M2864" s="249" t="s">
        <v>929</v>
      </c>
      <c r="N2864" s="248">
        <v>1162.18</v>
      </c>
      <c r="O2864" s="248">
        <v>3972.19</v>
      </c>
      <c r="P2864" s="247" t="s">
        <v>1480</v>
      </c>
      <c r="Q2864" s="247" t="s">
        <v>89</v>
      </c>
    </row>
    <row r="2865" spans="1:17" x14ac:dyDescent="0.25">
      <c r="A2865" s="247" t="s">
        <v>646</v>
      </c>
      <c r="B2865" s="247" t="s">
        <v>265</v>
      </c>
      <c r="C2865" s="247" t="s">
        <v>1343</v>
      </c>
      <c r="D2865" s="247" t="s">
        <v>1361</v>
      </c>
      <c r="E2865" s="247" t="s">
        <v>569</v>
      </c>
      <c r="F2865" s="247" t="s">
        <v>2288</v>
      </c>
      <c r="G2865" s="247" t="s">
        <v>1396</v>
      </c>
      <c r="H2865" s="247" t="s">
        <v>397</v>
      </c>
      <c r="I2865" s="247" t="s">
        <v>2289</v>
      </c>
      <c r="J2865" s="247">
        <v>31</v>
      </c>
      <c r="K2865" s="247">
        <v>31</v>
      </c>
      <c r="L2865" s="249" t="s">
        <v>936</v>
      </c>
      <c r="M2865" s="249" t="s">
        <v>929</v>
      </c>
      <c r="N2865" s="248">
        <v>2037.73</v>
      </c>
      <c r="O2865" s="248">
        <v>6009.92</v>
      </c>
      <c r="P2865" s="247" t="s">
        <v>1480</v>
      </c>
      <c r="Q2865" s="247" t="s">
        <v>90</v>
      </c>
    </row>
    <row r="2866" spans="1:17" x14ac:dyDescent="0.25">
      <c r="A2866" s="247" t="s">
        <v>646</v>
      </c>
      <c r="B2866" s="247" t="s">
        <v>265</v>
      </c>
      <c r="C2866" s="247" t="s">
        <v>1343</v>
      </c>
      <c r="D2866" s="247" t="s">
        <v>1361</v>
      </c>
      <c r="E2866" s="247" t="s">
        <v>569</v>
      </c>
      <c r="F2866" s="247" t="s">
        <v>2288</v>
      </c>
      <c r="G2866" s="247" t="s">
        <v>1396</v>
      </c>
      <c r="H2866" s="247" t="s">
        <v>397</v>
      </c>
      <c r="I2866" s="247" t="s">
        <v>2289</v>
      </c>
      <c r="J2866" s="247">
        <v>31</v>
      </c>
      <c r="K2866" s="247">
        <v>31</v>
      </c>
      <c r="L2866" s="249" t="s">
        <v>937</v>
      </c>
      <c r="M2866" s="249" t="s">
        <v>929</v>
      </c>
      <c r="N2866" s="248">
        <v>1751.9</v>
      </c>
      <c r="O2866" s="248">
        <v>7761.82</v>
      </c>
      <c r="P2866" s="247" t="s">
        <v>1480</v>
      </c>
      <c r="Q2866" s="247" t="s">
        <v>91</v>
      </c>
    </row>
    <row r="2867" spans="1:17" x14ac:dyDescent="0.25">
      <c r="A2867" s="247" t="s">
        <v>646</v>
      </c>
      <c r="B2867" s="247" t="s">
        <v>265</v>
      </c>
      <c r="C2867" s="247" t="s">
        <v>1343</v>
      </c>
      <c r="D2867" s="247" t="s">
        <v>1361</v>
      </c>
      <c r="E2867" s="247" t="s">
        <v>569</v>
      </c>
      <c r="F2867" s="247" t="s">
        <v>2288</v>
      </c>
      <c r="G2867" s="247" t="s">
        <v>1396</v>
      </c>
      <c r="H2867" s="247" t="s">
        <v>397</v>
      </c>
      <c r="I2867" s="247" t="s">
        <v>2289</v>
      </c>
      <c r="J2867" s="247">
        <v>31</v>
      </c>
      <c r="K2867" s="247">
        <v>31</v>
      </c>
      <c r="L2867" s="249" t="s">
        <v>938</v>
      </c>
      <c r="M2867" s="249" t="s">
        <v>929</v>
      </c>
      <c r="N2867" s="248">
        <v>758.35</v>
      </c>
      <c r="O2867" s="248">
        <v>8520.17</v>
      </c>
      <c r="P2867" s="247" t="s">
        <v>1480</v>
      </c>
      <c r="Q2867" s="247" t="s">
        <v>92</v>
      </c>
    </row>
    <row r="2868" spans="1:17" x14ac:dyDescent="0.25">
      <c r="A2868" s="247" t="s">
        <v>646</v>
      </c>
      <c r="B2868" s="247" t="s">
        <v>265</v>
      </c>
      <c r="C2868" s="247" t="s">
        <v>1343</v>
      </c>
      <c r="D2868" s="247" t="s">
        <v>1361</v>
      </c>
      <c r="E2868" s="247" t="s">
        <v>569</v>
      </c>
      <c r="F2868" s="247" t="s">
        <v>2288</v>
      </c>
      <c r="G2868" s="247" t="s">
        <v>1396</v>
      </c>
      <c r="H2868" s="247" t="s">
        <v>397</v>
      </c>
      <c r="I2868" s="247" t="s">
        <v>2289</v>
      </c>
      <c r="J2868" s="247">
        <v>31</v>
      </c>
      <c r="K2868" s="247">
        <v>31</v>
      </c>
      <c r="L2868" s="249" t="s">
        <v>939</v>
      </c>
      <c r="M2868" s="249" t="s">
        <v>929</v>
      </c>
      <c r="N2868" s="248">
        <v>1285.01</v>
      </c>
      <c r="O2868" s="248">
        <v>9805.18</v>
      </c>
      <c r="P2868" s="247" t="s">
        <v>1480</v>
      </c>
      <c r="Q2868" s="247" t="s">
        <v>93</v>
      </c>
    </row>
    <row r="2869" spans="1:17" x14ac:dyDescent="0.25">
      <c r="A2869" s="247" t="s">
        <v>646</v>
      </c>
      <c r="B2869" s="247" t="s">
        <v>265</v>
      </c>
      <c r="C2869" s="247" t="s">
        <v>1343</v>
      </c>
      <c r="D2869" s="247" t="s">
        <v>1361</v>
      </c>
      <c r="E2869" s="247" t="s">
        <v>569</v>
      </c>
      <c r="F2869" s="247" t="s">
        <v>2288</v>
      </c>
      <c r="G2869" s="247" t="s">
        <v>1396</v>
      </c>
      <c r="H2869" s="247" t="s">
        <v>397</v>
      </c>
      <c r="I2869" s="247" t="s">
        <v>2289</v>
      </c>
      <c r="J2869" s="247">
        <v>31</v>
      </c>
      <c r="K2869" s="247">
        <v>31</v>
      </c>
      <c r="L2869" s="249" t="s">
        <v>940</v>
      </c>
      <c r="M2869" s="249" t="s">
        <v>929</v>
      </c>
      <c r="N2869" s="248">
        <v>1288.6600000000001</v>
      </c>
      <c r="O2869" s="248">
        <v>11093.84</v>
      </c>
      <c r="P2869" s="247" t="s">
        <v>1480</v>
      </c>
      <c r="Q2869" s="247" t="s">
        <v>94</v>
      </c>
    </row>
    <row r="2870" spans="1:17" x14ac:dyDescent="0.25">
      <c r="A2870" s="247" t="s">
        <v>646</v>
      </c>
      <c r="B2870" s="247" t="s">
        <v>265</v>
      </c>
      <c r="C2870" s="247" t="s">
        <v>1343</v>
      </c>
      <c r="D2870" s="247" t="s">
        <v>1361</v>
      </c>
      <c r="E2870" s="247" t="s">
        <v>569</v>
      </c>
      <c r="F2870" s="247" t="s">
        <v>2288</v>
      </c>
      <c r="G2870" s="247" t="s">
        <v>1396</v>
      </c>
      <c r="H2870" s="247" t="s">
        <v>397</v>
      </c>
      <c r="I2870" s="247" t="s">
        <v>2289</v>
      </c>
      <c r="J2870" s="247">
        <v>31</v>
      </c>
      <c r="K2870" s="247">
        <v>31</v>
      </c>
      <c r="L2870" s="249" t="s">
        <v>642</v>
      </c>
      <c r="M2870" s="249" t="s">
        <v>929</v>
      </c>
      <c r="N2870" s="248">
        <v>1703.06</v>
      </c>
      <c r="O2870" s="248">
        <v>12796.9</v>
      </c>
      <c r="P2870" s="247" t="s">
        <v>1480</v>
      </c>
      <c r="Q2870" s="247" t="s">
        <v>95</v>
      </c>
    </row>
    <row r="2871" spans="1:17" x14ac:dyDescent="0.25">
      <c r="A2871" s="247" t="s">
        <v>646</v>
      </c>
      <c r="B2871" s="247" t="s">
        <v>265</v>
      </c>
      <c r="C2871" s="247" t="s">
        <v>1343</v>
      </c>
      <c r="D2871" s="247" t="s">
        <v>926</v>
      </c>
      <c r="E2871" s="247" t="s">
        <v>946</v>
      </c>
      <c r="F2871" s="247" t="s">
        <v>2290</v>
      </c>
      <c r="G2871" s="247" t="s">
        <v>1344</v>
      </c>
      <c r="H2871" s="247" t="s">
        <v>403</v>
      </c>
      <c r="I2871" s="247" t="s">
        <v>2291</v>
      </c>
      <c r="J2871" s="247">
        <v>37</v>
      </c>
      <c r="K2871" s="247">
        <v>37</v>
      </c>
      <c r="L2871" s="249" t="s">
        <v>646</v>
      </c>
      <c r="M2871" s="249" t="s">
        <v>933</v>
      </c>
      <c r="N2871" s="248">
        <v>7547.66</v>
      </c>
      <c r="O2871" s="248">
        <v>41481.42</v>
      </c>
      <c r="P2871" s="247" t="s">
        <v>1481</v>
      </c>
      <c r="Q2871" s="247" t="s">
        <v>84</v>
      </c>
    </row>
    <row r="2872" spans="1:17" x14ac:dyDescent="0.25">
      <c r="A2872" s="247" t="s">
        <v>646</v>
      </c>
      <c r="B2872" s="247" t="s">
        <v>265</v>
      </c>
      <c r="C2872" s="247" t="s">
        <v>1343</v>
      </c>
      <c r="D2872" s="247" t="s">
        <v>926</v>
      </c>
      <c r="E2872" s="247" t="s">
        <v>946</v>
      </c>
      <c r="F2872" s="247" t="s">
        <v>2290</v>
      </c>
      <c r="G2872" s="247" t="s">
        <v>1344</v>
      </c>
      <c r="H2872" s="247" t="s">
        <v>403</v>
      </c>
      <c r="I2872" s="247" t="s">
        <v>2291</v>
      </c>
      <c r="J2872" s="247">
        <v>37</v>
      </c>
      <c r="K2872" s="247">
        <v>37</v>
      </c>
      <c r="L2872" s="249" t="s">
        <v>650</v>
      </c>
      <c r="M2872" s="249" t="s">
        <v>933</v>
      </c>
      <c r="N2872" s="248">
        <v>3305.16</v>
      </c>
      <c r="O2872" s="248">
        <v>44786.58</v>
      </c>
      <c r="P2872" s="247" t="s">
        <v>1481</v>
      </c>
      <c r="Q2872" s="247" t="s">
        <v>85</v>
      </c>
    </row>
    <row r="2873" spans="1:17" x14ac:dyDescent="0.25">
      <c r="A2873" s="247" t="s">
        <v>646</v>
      </c>
      <c r="B2873" s="247" t="s">
        <v>265</v>
      </c>
      <c r="C2873" s="247" t="s">
        <v>1343</v>
      </c>
      <c r="D2873" s="247" t="s">
        <v>926</v>
      </c>
      <c r="E2873" s="247" t="s">
        <v>946</v>
      </c>
      <c r="F2873" s="247" t="s">
        <v>2290</v>
      </c>
      <c r="G2873" s="247" t="s">
        <v>1344</v>
      </c>
      <c r="H2873" s="247" t="s">
        <v>403</v>
      </c>
      <c r="I2873" s="247" t="s">
        <v>2291</v>
      </c>
      <c r="J2873" s="247">
        <v>37</v>
      </c>
      <c r="K2873" s="247">
        <v>37</v>
      </c>
      <c r="L2873" s="249" t="s">
        <v>652</v>
      </c>
      <c r="M2873" s="249" t="s">
        <v>933</v>
      </c>
      <c r="N2873" s="248">
        <v>9834.4</v>
      </c>
      <c r="O2873" s="248">
        <v>54620.98</v>
      </c>
      <c r="P2873" s="247" t="s">
        <v>1481</v>
      </c>
      <c r="Q2873" s="247" t="s">
        <v>86</v>
      </c>
    </row>
    <row r="2874" spans="1:17" x14ac:dyDescent="0.25">
      <c r="A2874" s="247" t="s">
        <v>646</v>
      </c>
      <c r="B2874" s="247" t="s">
        <v>265</v>
      </c>
      <c r="C2874" s="247" t="s">
        <v>1343</v>
      </c>
      <c r="D2874" s="247" t="s">
        <v>926</v>
      </c>
      <c r="E2874" s="247" t="s">
        <v>946</v>
      </c>
      <c r="F2874" s="247" t="s">
        <v>2290</v>
      </c>
      <c r="G2874" s="247" t="s">
        <v>1344</v>
      </c>
      <c r="H2874" s="247" t="s">
        <v>403</v>
      </c>
      <c r="I2874" s="247" t="s">
        <v>2291</v>
      </c>
      <c r="J2874" s="247">
        <v>37</v>
      </c>
      <c r="K2874" s="247">
        <v>37</v>
      </c>
      <c r="L2874" s="249" t="s">
        <v>789</v>
      </c>
      <c r="M2874" s="249" t="s">
        <v>929</v>
      </c>
      <c r="N2874" s="248">
        <v>5018.04</v>
      </c>
      <c r="O2874" s="248">
        <v>5018.04</v>
      </c>
      <c r="P2874" s="247" t="s">
        <v>1481</v>
      </c>
      <c r="Q2874" s="247" t="s">
        <v>87</v>
      </c>
    </row>
    <row r="2875" spans="1:17" x14ac:dyDescent="0.25">
      <c r="A2875" s="247" t="s">
        <v>646</v>
      </c>
      <c r="B2875" s="247" t="s">
        <v>265</v>
      </c>
      <c r="C2875" s="247" t="s">
        <v>1343</v>
      </c>
      <c r="D2875" s="247" t="s">
        <v>926</v>
      </c>
      <c r="E2875" s="247" t="s">
        <v>946</v>
      </c>
      <c r="F2875" s="247" t="s">
        <v>2290</v>
      </c>
      <c r="G2875" s="247" t="s">
        <v>1344</v>
      </c>
      <c r="H2875" s="247" t="s">
        <v>403</v>
      </c>
      <c r="I2875" s="247" t="s">
        <v>2291</v>
      </c>
      <c r="J2875" s="247">
        <v>37</v>
      </c>
      <c r="K2875" s="247">
        <v>37</v>
      </c>
      <c r="L2875" s="249" t="s">
        <v>791</v>
      </c>
      <c r="M2875" s="249" t="s">
        <v>929</v>
      </c>
      <c r="N2875" s="248">
        <v>5575.6</v>
      </c>
      <c r="O2875" s="248">
        <v>10593.64</v>
      </c>
      <c r="P2875" s="247" t="s">
        <v>1481</v>
      </c>
      <c r="Q2875" s="247" t="s">
        <v>88</v>
      </c>
    </row>
    <row r="2876" spans="1:17" x14ac:dyDescent="0.25">
      <c r="A2876" s="247" t="s">
        <v>646</v>
      </c>
      <c r="B2876" s="247" t="s">
        <v>265</v>
      </c>
      <c r="C2876" s="247" t="s">
        <v>1343</v>
      </c>
      <c r="D2876" s="247" t="s">
        <v>926</v>
      </c>
      <c r="E2876" s="247" t="s">
        <v>946</v>
      </c>
      <c r="F2876" s="247" t="s">
        <v>2290</v>
      </c>
      <c r="G2876" s="247" t="s">
        <v>1344</v>
      </c>
      <c r="H2876" s="247" t="s">
        <v>403</v>
      </c>
      <c r="I2876" s="247" t="s">
        <v>2291</v>
      </c>
      <c r="J2876" s="247">
        <v>37</v>
      </c>
      <c r="K2876" s="247">
        <v>37</v>
      </c>
      <c r="L2876" s="249" t="s">
        <v>935</v>
      </c>
      <c r="M2876" s="249" t="s">
        <v>929</v>
      </c>
      <c r="N2876" s="248">
        <v>6690.72</v>
      </c>
      <c r="O2876" s="248">
        <v>17284.36</v>
      </c>
      <c r="P2876" s="247" t="s">
        <v>1481</v>
      </c>
      <c r="Q2876" s="247" t="s">
        <v>89</v>
      </c>
    </row>
    <row r="2877" spans="1:17" x14ac:dyDescent="0.25">
      <c r="A2877" s="247" t="s">
        <v>646</v>
      </c>
      <c r="B2877" s="247" t="s">
        <v>265</v>
      </c>
      <c r="C2877" s="247" t="s">
        <v>1343</v>
      </c>
      <c r="D2877" s="247" t="s">
        <v>926</v>
      </c>
      <c r="E2877" s="247" t="s">
        <v>946</v>
      </c>
      <c r="F2877" s="247" t="s">
        <v>2290</v>
      </c>
      <c r="G2877" s="247" t="s">
        <v>1344</v>
      </c>
      <c r="H2877" s="247" t="s">
        <v>403</v>
      </c>
      <c r="I2877" s="247" t="s">
        <v>2291</v>
      </c>
      <c r="J2877" s="247">
        <v>37</v>
      </c>
      <c r="K2877" s="247">
        <v>37</v>
      </c>
      <c r="L2877" s="249" t="s">
        <v>936</v>
      </c>
      <c r="M2877" s="249" t="s">
        <v>929</v>
      </c>
      <c r="N2877" s="248">
        <v>6690.72</v>
      </c>
      <c r="O2877" s="248">
        <v>23975.08</v>
      </c>
      <c r="P2877" s="247" t="s">
        <v>1481</v>
      </c>
      <c r="Q2877" s="247" t="s">
        <v>90</v>
      </c>
    </row>
    <row r="2878" spans="1:17" x14ac:dyDescent="0.25">
      <c r="A2878" s="247" t="s">
        <v>646</v>
      </c>
      <c r="B2878" s="247" t="s">
        <v>265</v>
      </c>
      <c r="C2878" s="247" t="s">
        <v>1343</v>
      </c>
      <c r="D2878" s="247" t="s">
        <v>926</v>
      </c>
      <c r="E2878" s="247" t="s">
        <v>946</v>
      </c>
      <c r="F2878" s="247" t="s">
        <v>2290</v>
      </c>
      <c r="G2878" s="247" t="s">
        <v>1344</v>
      </c>
      <c r="H2878" s="247" t="s">
        <v>403</v>
      </c>
      <c r="I2878" s="247" t="s">
        <v>2291</v>
      </c>
      <c r="J2878" s="247">
        <v>37</v>
      </c>
      <c r="K2878" s="247">
        <v>37</v>
      </c>
      <c r="L2878" s="249" t="s">
        <v>937</v>
      </c>
      <c r="M2878" s="249" t="s">
        <v>929</v>
      </c>
      <c r="N2878" s="248">
        <v>6690.72</v>
      </c>
      <c r="O2878" s="248">
        <v>30665.8</v>
      </c>
      <c r="P2878" s="247" t="s">
        <v>1481</v>
      </c>
      <c r="Q2878" s="247" t="s">
        <v>91</v>
      </c>
    </row>
    <row r="2879" spans="1:17" x14ac:dyDescent="0.25">
      <c r="A2879" s="247" t="s">
        <v>646</v>
      </c>
      <c r="B2879" s="247" t="s">
        <v>265</v>
      </c>
      <c r="C2879" s="247" t="s">
        <v>1343</v>
      </c>
      <c r="D2879" s="247" t="s">
        <v>926</v>
      </c>
      <c r="E2879" s="247" t="s">
        <v>946</v>
      </c>
      <c r="F2879" s="247" t="s">
        <v>2290</v>
      </c>
      <c r="G2879" s="247" t="s">
        <v>1344</v>
      </c>
      <c r="H2879" s="247" t="s">
        <v>403</v>
      </c>
      <c r="I2879" s="247" t="s">
        <v>2291</v>
      </c>
      <c r="J2879" s="247">
        <v>37</v>
      </c>
      <c r="K2879" s="247">
        <v>37</v>
      </c>
      <c r="L2879" s="249" t="s">
        <v>938</v>
      </c>
      <c r="M2879" s="249" t="s">
        <v>929</v>
      </c>
      <c r="N2879" s="248">
        <v>6690.72</v>
      </c>
      <c r="O2879" s="248">
        <v>37356.519999999997</v>
      </c>
      <c r="P2879" s="247" t="s">
        <v>1481</v>
      </c>
      <c r="Q2879" s="247" t="s">
        <v>92</v>
      </c>
    </row>
    <row r="2880" spans="1:17" x14ac:dyDescent="0.25">
      <c r="A2880" s="247" t="s">
        <v>646</v>
      </c>
      <c r="B2880" s="247" t="s">
        <v>265</v>
      </c>
      <c r="C2880" s="247" t="s">
        <v>1343</v>
      </c>
      <c r="D2880" s="247" t="s">
        <v>926</v>
      </c>
      <c r="E2880" s="247" t="s">
        <v>946</v>
      </c>
      <c r="F2880" s="247" t="s">
        <v>2290</v>
      </c>
      <c r="G2880" s="247" t="s">
        <v>1344</v>
      </c>
      <c r="H2880" s="247" t="s">
        <v>403</v>
      </c>
      <c r="I2880" s="247" t="s">
        <v>2291</v>
      </c>
      <c r="J2880" s="247">
        <v>37</v>
      </c>
      <c r="K2880" s="247">
        <v>37</v>
      </c>
      <c r="L2880" s="249" t="s">
        <v>939</v>
      </c>
      <c r="M2880" s="249" t="s">
        <v>929</v>
      </c>
      <c r="N2880" s="248">
        <v>6690.72</v>
      </c>
      <c r="O2880" s="248">
        <v>44047.24</v>
      </c>
      <c r="P2880" s="247" t="s">
        <v>1481</v>
      </c>
      <c r="Q2880" s="247" t="s">
        <v>93</v>
      </c>
    </row>
    <row r="2881" spans="1:17" x14ac:dyDescent="0.25">
      <c r="A2881" s="247" t="s">
        <v>646</v>
      </c>
      <c r="B2881" s="247" t="s">
        <v>265</v>
      </c>
      <c r="C2881" s="247" t="s">
        <v>1343</v>
      </c>
      <c r="D2881" s="247" t="s">
        <v>926</v>
      </c>
      <c r="E2881" s="247" t="s">
        <v>946</v>
      </c>
      <c r="F2881" s="247" t="s">
        <v>2290</v>
      </c>
      <c r="G2881" s="247" t="s">
        <v>1344</v>
      </c>
      <c r="H2881" s="247" t="s">
        <v>403</v>
      </c>
      <c r="I2881" s="247" t="s">
        <v>2291</v>
      </c>
      <c r="J2881" s="247">
        <v>37</v>
      </c>
      <c r="K2881" s="247">
        <v>37</v>
      </c>
      <c r="L2881" s="249" t="s">
        <v>940</v>
      </c>
      <c r="M2881" s="249" t="s">
        <v>929</v>
      </c>
      <c r="N2881" s="248">
        <v>7248.28</v>
      </c>
      <c r="O2881" s="248">
        <v>51295.519999999997</v>
      </c>
      <c r="P2881" s="247" t="s">
        <v>1481</v>
      </c>
      <c r="Q2881" s="247" t="s">
        <v>94</v>
      </c>
    </row>
    <row r="2882" spans="1:17" x14ac:dyDescent="0.25">
      <c r="A2882" s="247" t="s">
        <v>646</v>
      </c>
      <c r="B2882" s="247" t="s">
        <v>265</v>
      </c>
      <c r="C2882" s="247" t="s">
        <v>1343</v>
      </c>
      <c r="D2882" s="247" t="s">
        <v>926</v>
      </c>
      <c r="E2882" s="247" t="s">
        <v>946</v>
      </c>
      <c r="F2882" s="247" t="s">
        <v>2290</v>
      </c>
      <c r="G2882" s="247" t="s">
        <v>1344</v>
      </c>
      <c r="H2882" s="247" t="s">
        <v>403</v>
      </c>
      <c r="I2882" s="247" t="s">
        <v>2291</v>
      </c>
      <c r="J2882" s="247">
        <v>37</v>
      </c>
      <c r="K2882" s="247">
        <v>37</v>
      </c>
      <c r="L2882" s="249" t="s">
        <v>642</v>
      </c>
      <c r="M2882" s="249" t="s">
        <v>929</v>
      </c>
      <c r="N2882" s="248">
        <v>7805.84</v>
      </c>
      <c r="O2882" s="248">
        <v>59101.36</v>
      </c>
      <c r="P2882" s="247" t="s">
        <v>1481</v>
      </c>
      <c r="Q2882" s="247" t="s">
        <v>95</v>
      </c>
    </row>
    <row r="2883" spans="1:17" x14ac:dyDescent="0.25">
      <c r="A2883" s="247" t="s">
        <v>646</v>
      </c>
      <c r="B2883" s="247" t="s">
        <v>265</v>
      </c>
      <c r="C2883" s="247" t="s">
        <v>1343</v>
      </c>
      <c r="D2883" s="247" t="s">
        <v>711</v>
      </c>
      <c r="E2883" s="247" t="s">
        <v>946</v>
      </c>
      <c r="F2883" s="247" t="s">
        <v>2292</v>
      </c>
      <c r="G2883" s="247" t="s">
        <v>1346</v>
      </c>
      <c r="H2883" s="247" t="s">
        <v>403</v>
      </c>
      <c r="I2883" s="247" t="s">
        <v>2293</v>
      </c>
      <c r="J2883" s="247">
        <v>38</v>
      </c>
      <c r="K2883" s="247">
        <v>38</v>
      </c>
      <c r="L2883" s="249" t="s">
        <v>646</v>
      </c>
      <c r="M2883" s="249" t="s">
        <v>933</v>
      </c>
      <c r="N2883" s="248">
        <v>2360.17</v>
      </c>
      <c r="O2883" s="248">
        <v>16498.8</v>
      </c>
      <c r="P2883" s="247" t="s">
        <v>1482</v>
      </c>
      <c r="Q2883" s="247" t="s">
        <v>84</v>
      </c>
    </row>
    <row r="2884" spans="1:17" x14ac:dyDescent="0.25">
      <c r="A2884" s="247" t="s">
        <v>646</v>
      </c>
      <c r="B2884" s="247" t="s">
        <v>265</v>
      </c>
      <c r="C2884" s="247" t="s">
        <v>1343</v>
      </c>
      <c r="D2884" s="247" t="s">
        <v>711</v>
      </c>
      <c r="E2884" s="247" t="s">
        <v>946</v>
      </c>
      <c r="F2884" s="247" t="s">
        <v>2292</v>
      </c>
      <c r="G2884" s="247" t="s">
        <v>1346</v>
      </c>
      <c r="H2884" s="247" t="s">
        <v>403</v>
      </c>
      <c r="I2884" s="247" t="s">
        <v>2293</v>
      </c>
      <c r="J2884" s="247">
        <v>38</v>
      </c>
      <c r="K2884" s="247">
        <v>38</v>
      </c>
      <c r="L2884" s="249" t="s">
        <v>650</v>
      </c>
      <c r="M2884" s="249" t="s">
        <v>933</v>
      </c>
      <c r="N2884" s="248">
        <v>1596.57</v>
      </c>
      <c r="O2884" s="248">
        <v>18095.37</v>
      </c>
      <c r="P2884" s="247" t="s">
        <v>1482</v>
      </c>
      <c r="Q2884" s="247" t="s">
        <v>85</v>
      </c>
    </row>
    <row r="2885" spans="1:17" x14ac:dyDescent="0.25">
      <c r="A2885" s="247" t="s">
        <v>646</v>
      </c>
      <c r="B2885" s="247" t="s">
        <v>265</v>
      </c>
      <c r="C2885" s="247" t="s">
        <v>1343</v>
      </c>
      <c r="D2885" s="247" t="s">
        <v>711</v>
      </c>
      <c r="E2885" s="247" t="s">
        <v>946</v>
      </c>
      <c r="F2885" s="247" t="s">
        <v>2292</v>
      </c>
      <c r="G2885" s="247" t="s">
        <v>1346</v>
      </c>
      <c r="H2885" s="247" t="s">
        <v>403</v>
      </c>
      <c r="I2885" s="247" t="s">
        <v>2293</v>
      </c>
      <c r="J2885" s="247">
        <v>38</v>
      </c>
      <c r="K2885" s="247">
        <v>38</v>
      </c>
      <c r="L2885" s="249" t="s">
        <v>652</v>
      </c>
      <c r="M2885" s="249" t="s">
        <v>933</v>
      </c>
      <c r="N2885" s="248">
        <v>1529.49</v>
      </c>
      <c r="O2885" s="248">
        <v>19624.86</v>
      </c>
      <c r="P2885" s="247" t="s">
        <v>1482</v>
      </c>
      <c r="Q2885" s="247" t="s">
        <v>86</v>
      </c>
    </row>
    <row r="2886" spans="1:17" x14ac:dyDescent="0.25">
      <c r="A2886" s="247" t="s">
        <v>646</v>
      </c>
      <c r="B2886" s="247" t="s">
        <v>265</v>
      </c>
      <c r="C2886" s="247" t="s">
        <v>1343</v>
      </c>
      <c r="D2886" s="247" t="s">
        <v>711</v>
      </c>
      <c r="E2886" s="247" t="s">
        <v>946</v>
      </c>
      <c r="F2886" s="247" t="s">
        <v>2292</v>
      </c>
      <c r="G2886" s="247" t="s">
        <v>1346</v>
      </c>
      <c r="H2886" s="247" t="s">
        <v>403</v>
      </c>
      <c r="I2886" s="247" t="s">
        <v>2293</v>
      </c>
      <c r="J2886" s="247">
        <v>38</v>
      </c>
      <c r="K2886" s="247">
        <v>38</v>
      </c>
      <c r="L2886" s="249" t="s">
        <v>789</v>
      </c>
      <c r="M2886" s="249" t="s">
        <v>929</v>
      </c>
      <c r="N2886" s="248">
        <v>1488.97</v>
      </c>
      <c r="O2886" s="248">
        <v>1488.97</v>
      </c>
      <c r="P2886" s="247" t="s">
        <v>1482</v>
      </c>
      <c r="Q2886" s="247" t="s">
        <v>87</v>
      </c>
    </row>
    <row r="2887" spans="1:17" x14ac:dyDescent="0.25">
      <c r="A2887" s="247" t="s">
        <v>646</v>
      </c>
      <c r="B2887" s="247" t="s">
        <v>265</v>
      </c>
      <c r="C2887" s="247" t="s">
        <v>1343</v>
      </c>
      <c r="D2887" s="247" t="s">
        <v>711</v>
      </c>
      <c r="E2887" s="247" t="s">
        <v>946</v>
      </c>
      <c r="F2887" s="247" t="s">
        <v>2292</v>
      </c>
      <c r="G2887" s="247" t="s">
        <v>1346</v>
      </c>
      <c r="H2887" s="247" t="s">
        <v>403</v>
      </c>
      <c r="I2887" s="247" t="s">
        <v>2293</v>
      </c>
      <c r="J2887" s="247">
        <v>38</v>
      </c>
      <c r="K2887" s="247">
        <v>38</v>
      </c>
      <c r="L2887" s="249" t="s">
        <v>791</v>
      </c>
      <c r="M2887" s="249" t="s">
        <v>929</v>
      </c>
      <c r="N2887" s="248">
        <v>1527.35</v>
      </c>
      <c r="O2887" s="248">
        <v>3016.32</v>
      </c>
      <c r="P2887" s="247" t="s">
        <v>1482</v>
      </c>
      <c r="Q2887" s="247" t="s">
        <v>88</v>
      </c>
    </row>
    <row r="2888" spans="1:17" x14ac:dyDescent="0.25">
      <c r="A2888" s="247" t="s">
        <v>646</v>
      </c>
      <c r="B2888" s="247" t="s">
        <v>265</v>
      </c>
      <c r="C2888" s="247" t="s">
        <v>1343</v>
      </c>
      <c r="D2888" s="247" t="s">
        <v>711</v>
      </c>
      <c r="E2888" s="247" t="s">
        <v>946</v>
      </c>
      <c r="F2888" s="247" t="s">
        <v>2292</v>
      </c>
      <c r="G2888" s="247" t="s">
        <v>1346</v>
      </c>
      <c r="H2888" s="247" t="s">
        <v>403</v>
      </c>
      <c r="I2888" s="247" t="s">
        <v>2293</v>
      </c>
      <c r="J2888" s="247">
        <v>38</v>
      </c>
      <c r="K2888" s="247">
        <v>38</v>
      </c>
      <c r="L2888" s="249" t="s">
        <v>935</v>
      </c>
      <c r="M2888" s="249" t="s">
        <v>929</v>
      </c>
      <c r="N2888" s="248">
        <v>1525.81</v>
      </c>
      <c r="O2888" s="248">
        <v>4542.13</v>
      </c>
      <c r="P2888" s="247" t="s">
        <v>1482</v>
      </c>
      <c r="Q2888" s="247" t="s">
        <v>89</v>
      </c>
    </row>
    <row r="2889" spans="1:17" x14ac:dyDescent="0.25">
      <c r="A2889" s="247" t="s">
        <v>646</v>
      </c>
      <c r="B2889" s="247" t="s">
        <v>265</v>
      </c>
      <c r="C2889" s="247" t="s">
        <v>1343</v>
      </c>
      <c r="D2889" s="247" t="s">
        <v>711</v>
      </c>
      <c r="E2889" s="247" t="s">
        <v>946</v>
      </c>
      <c r="F2889" s="247" t="s">
        <v>2292</v>
      </c>
      <c r="G2889" s="247" t="s">
        <v>1346</v>
      </c>
      <c r="H2889" s="247" t="s">
        <v>403</v>
      </c>
      <c r="I2889" s="247" t="s">
        <v>2293</v>
      </c>
      <c r="J2889" s="247">
        <v>38</v>
      </c>
      <c r="K2889" s="247">
        <v>38</v>
      </c>
      <c r="L2889" s="249" t="s">
        <v>936</v>
      </c>
      <c r="M2889" s="249" t="s">
        <v>929</v>
      </c>
      <c r="N2889" s="248">
        <v>2314.75</v>
      </c>
      <c r="O2889" s="248">
        <v>6856.88</v>
      </c>
      <c r="P2889" s="247" t="s">
        <v>1482</v>
      </c>
      <c r="Q2889" s="247" t="s">
        <v>90</v>
      </c>
    </row>
    <row r="2890" spans="1:17" x14ac:dyDescent="0.25">
      <c r="A2890" s="247" t="s">
        <v>646</v>
      </c>
      <c r="B2890" s="247" t="s">
        <v>265</v>
      </c>
      <c r="C2890" s="247" t="s">
        <v>1343</v>
      </c>
      <c r="D2890" s="247" t="s">
        <v>711</v>
      </c>
      <c r="E2890" s="247" t="s">
        <v>946</v>
      </c>
      <c r="F2890" s="247" t="s">
        <v>2292</v>
      </c>
      <c r="G2890" s="247" t="s">
        <v>1346</v>
      </c>
      <c r="H2890" s="247" t="s">
        <v>403</v>
      </c>
      <c r="I2890" s="247" t="s">
        <v>2293</v>
      </c>
      <c r="J2890" s="247">
        <v>38</v>
      </c>
      <c r="K2890" s="247">
        <v>38</v>
      </c>
      <c r="L2890" s="249" t="s">
        <v>937</v>
      </c>
      <c r="M2890" s="249" t="s">
        <v>929</v>
      </c>
      <c r="N2890" s="248">
        <v>1619.68</v>
      </c>
      <c r="O2890" s="248">
        <v>8476.56</v>
      </c>
      <c r="P2890" s="247" t="s">
        <v>1482</v>
      </c>
      <c r="Q2890" s="247" t="s">
        <v>91</v>
      </c>
    </row>
    <row r="2891" spans="1:17" x14ac:dyDescent="0.25">
      <c r="A2891" s="247" t="s">
        <v>646</v>
      </c>
      <c r="B2891" s="247" t="s">
        <v>265</v>
      </c>
      <c r="C2891" s="247" t="s">
        <v>1343</v>
      </c>
      <c r="D2891" s="247" t="s">
        <v>711</v>
      </c>
      <c r="E2891" s="247" t="s">
        <v>946</v>
      </c>
      <c r="F2891" s="247" t="s">
        <v>2292</v>
      </c>
      <c r="G2891" s="247" t="s">
        <v>1346</v>
      </c>
      <c r="H2891" s="247" t="s">
        <v>403</v>
      </c>
      <c r="I2891" s="247" t="s">
        <v>2293</v>
      </c>
      <c r="J2891" s="247">
        <v>38</v>
      </c>
      <c r="K2891" s="247">
        <v>38</v>
      </c>
      <c r="L2891" s="249" t="s">
        <v>938</v>
      </c>
      <c r="M2891" s="249" t="s">
        <v>929</v>
      </c>
      <c r="N2891" s="248">
        <v>1642.56</v>
      </c>
      <c r="O2891" s="248">
        <v>10119.120000000001</v>
      </c>
      <c r="P2891" s="247" t="s">
        <v>1482</v>
      </c>
      <c r="Q2891" s="247" t="s">
        <v>92</v>
      </c>
    </row>
    <row r="2892" spans="1:17" x14ac:dyDescent="0.25">
      <c r="A2892" s="247" t="s">
        <v>646</v>
      </c>
      <c r="B2892" s="247" t="s">
        <v>265</v>
      </c>
      <c r="C2892" s="247" t="s">
        <v>1343</v>
      </c>
      <c r="D2892" s="247" t="s">
        <v>711</v>
      </c>
      <c r="E2892" s="247" t="s">
        <v>946</v>
      </c>
      <c r="F2892" s="247" t="s">
        <v>2292</v>
      </c>
      <c r="G2892" s="247" t="s">
        <v>1346</v>
      </c>
      <c r="H2892" s="247" t="s">
        <v>403</v>
      </c>
      <c r="I2892" s="247" t="s">
        <v>2293</v>
      </c>
      <c r="J2892" s="247">
        <v>38</v>
      </c>
      <c r="K2892" s="247">
        <v>38</v>
      </c>
      <c r="L2892" s="249" t="s">
        <v>939</v>
      </c>
      <c r="M2892" s="249" t="s">
        <v>929</v>
      </c>
      <c r="N2892" s="248">
        <v>1724.35</v>
      </c>
      <c r="O2892" s="248">
        <v>11843.47</v>
      </c>
      <c r="P2892" s="247" t="s">
        <v>1482</v>
      </c>
      <c r="Q2892" s="247" t="s">
        <v>93</v>
      </c>
    </row>
    <row r="2893" spans="1:17" x14ac:dyDescent="0.25">
      <c r="A2893" s="247" t="s">
        <v>646</v>
      </c>
      <c r="B2893" s="247" t="s">
        <v>265</v>
      </c>
      <c r="C2893" s="247" t="s">
        <v>1343</v>
      </c>
      <c r="D2893" s="247" t="s">
        <v>711</v>
      </c>
      <c r="E2893" s="247" t="s">
        <v>946</v>
      </c>
      <c r="F2893" s="247" t="s">
        <v>2292</v>
      </c>
      <c r="G2893" s="247" t="s">
        <v>1346</v>
      </c>
      <c r="H2893" s="247" t="s">
        <v>403</v>
      </c>
      <c r="I2893" s="247" t="s">
        <v>2293</v>
      </c>
      <c r="J2893" s="247">
        <v>38</v>
      </c>
      <c r="K2893" s="247">
        <v>38</v>
      </c>
      <c r="L2893" s="249" t="s">
        <v>940</v>
      </c>
      <c r="M2893" s="249" t="s">
        <v>929</v>
      </c>
      <c r="N2893" s="248">
        <v>1654.47</v>
      </c>
      <c r="O2893" s="248">
        <v>13497.94</v>
      </c>
      <c r="P2893" s="247" t="s">
        <v>1482</v>
      </c>
      <c r="Q2893" s="247" t="s">
        <v>94</v>
      </c>
    </row>
    <row r="2894" spans="1:17" x14ac:dyDescent="0.25">
      <c r="A2894" s="247" t="s">
        <v>646</v>
      </c>
      <c r="B2894" s="247" t="s">
        <v>265</v>
      </c>
      <c r="C2894" s="247" t="s">
        <v>1343</v>
      </c>
      <c r="D2894" s="247" t="s">
        <v>711</v>
      </c>
      <c r="E2894" s="247" t="s">
        <v>946</v>
      </c>
      <c r="F2894" s="247" t="s">
        <v>2292</v>
      </c>
      <c r="G2894" s="247" t="s">
        <v>1346</v>
      </c>
      <c r="H2894" s="247" t="s">
        <v>403</v>
      </c>
      <c r="I2894" s="247" t="s">
        <v>2293</v>
      </c>
      <c r="J2894" s="247">
        <v>38</v>
      </c>
      <c r="K2894" s="247">
        <v>38</v>
      </c>
      <c r="L2894" s="249" t="s">
        <v>642</v>
      </c>
      <c r="M2894" s="249" t="s">
        <v>929</v>
      </c>
      <c r="N2894" s="248">
        <v>2137.59</v>
      </c>
      <c r="O2894" s="248">
        <v>15635.53</v>
      </c>
      <c r="P2894" s="247" t="s">
        <v>1482</v>
      </c>
      <c r="Q2894" s="247" t="s">
        <v>95</v>
      </c>
    </row>
    <row r="2895" spans="1:17" x14ac:dyDescent="0.25">
      <c r="A2895" s="247" t="s">
        <v>646</v>
      </c>
      <c r="B2895" s="247" t="s">
        <v>265</v>
      </c>
      <c r="C2895" s="247" t="s">
        <v>1343</v>
      </c>
      <c r="D2895" s="247" t="s">
        <v>755</v>
      </c>
      <c r="E2895" s="247" t="s">
        <v>946</v>
      </c>
      <c r="F2895" s="247" t="s">
        <v>2294</v>
      </c>
      <c r="G2895" s="247" t="s">
        <v>1348</v>
      </c>
      <c r="H2895" s="247" t="s">
        <v>403</v>
      </c>
      <c r="I2895" s="247" t="s">
        <v>2295</v>
      </c>
      <c r="J2895" s="247">
        <v>38</v>
      </c>
      <c r="K2895" s="247">
        <v>38</v>
      </c>
      <c r="L2895" s="249" t="s">
        <v>646</v>
      </c>
      <c r="M2895" s="249" t="s">
        <v>933</v>
      </c>
      <c r="N2895" s="248">
        <v>350.46</v>
      </c>
      <c r="O2895" s="248">
        <v>1572.78</v>
      </c>
      <c r="P2895" s="247" t="s">
        <v>1483</v>
      </c>
      <c r="Q2895" s="247" t="s">
        <v>84</v>
      </c>
    </row>
    <row r="2896" spans="1:17" x14ac:dyDescent="0.25">
      <c r="A2896" s="247" t="s">
        <v>646</v>
      </c>
      <c r="B2896" s="247" t="s">
        <v>265</v>
      </c>
      <c r="C2896" s="247" t="s">
        <v>1343</v>
      </c>
      <c r="D2896" s="247" t="s">
        <v>755</v>
      </c>
      <c r="E2896" s="247" t="s">
        <v>946</v>
      </c>
      <c r="F2896" s="247" t="s">
        <v>2294</v>
      </c>
      <c r="G2896" s="247" t="s">
        <v>1348</v>
      </c>
      <c r="H2896" s="247" t="s">
        <v>403</v>
      </c>
      <c r="I2896" s="247" t="s">
        <v>2295</v>
      </c>
      <c r="J2896" s="247">
        <v>38</v>
      </c>
      <c r="K2896" s="247">
        <v>38</v>
      </c>
      <c r="L2896" s="249" t="s">
        <v>650</v>
      </c>
      <c r="M2896" s="249" t="s">
        <v>933</v>
      </c>
      <c r="N2896" s="248">
        <v>35.479999999999997</v>
      </c>
      <c r="O2896" s="248">
        <v>1608.26</v>
      </c>
      <c r="P2896" s="247" t="s">
        <v>1483</v>
      </c>
      <c r="Q2896" s="247" t="s">
        <v>85</v>
      </c>
    </row>
    <row r="2897" spans="1:17" x14ac:dyDescent="0.25">
      <c r="A2897" s="247" t="s">
        <v>646</v>
      </c>
      <c r="B2897" s="247" t="s">
        <v>265</v>
      </c>
      <c r="C2897" s="247" t="s">
        <v>1343</v>
      </c>
      <c r="D2897" s="247" t="s">
        <v>755</v>
      </c>
      <c r="E2897" s="247" t="s">
        <v>946</v>
      </c>
      <c r="F2897" s="247" t="s">
        <v>2294</v>
      </c>
      <c r="G2897" s="247" t="s">
        <v>1348</v>
      </c>
      <c r="H2897" s="247" t="s">
        <v>403</v>
      </c>
      <c r="I2897" s="247" t="s">
        <v>2295</v>
      </c>
      <c r="J2897" s="247">
        <v>38</v>
      </c>
      <c r="K2897" s="247">
        <v>38</v>
      </c>
      <c r="L2897" s="249" t="s">
        <v>652</v>
      </c>
      <c r="M2897" s="249" t="s">
        <v>933</v>
      </c>
      <c r="N2897" s="248">
        <v>185.98</v>
      </c>
      <c r="O2897" s="248">
        <v>1794.24</v>
      </c>
      <c r="P2897" s="247" t="s">
        <v>1483</v>
      </c>
      <c r="Q2897" s="247" t="s">
        <v>86</v>
      </c>
    </row>
    <row r="2898" spans="1:17" x14ac:dyDescent="0.25">
      <c r="A2898" s="247" t="s">
        <v>646</v>
      </c>
      <c r="B2898" s="247" t="s">
        <v>265</v>
      </c>
      <c r="C2898" s="247" t="s">
        <v>1343</v>
      </c>
      <c r="D2898" s="247" t="s">
        <v>755</v>
      </c>
      <c r="E2898" s="247" t="s">
        <v>946</v>
      </c>
      <c r="F2898" s="247" t="s">
        <v>2294</v>
      </c>
      <c r="G2898" s="247" t="s">
        <v>1348</v>
      </c>
      <c r="H2898" s="247" t="s">
        <v>403</v>
      </c>
      <c r="I2898" s="247" t="s">
        <v>2295</v>
      </c>
      <c r="J2898" s="247">
        <v>38</v>
      </c>
      <c r="K2898" s="247">
        <v>38</v>
      </c>
      <c r="L2898" s="249" t="s">
        <v>789</v>
      </c>
      <c r="M2898" s="249" t="s">
        <v>929</v>
      </c>
      <c r="N2898" s="248">
        <v>185.98</v>
      </c>
      <c r="O2898" s="248">
        <v>185.98</v>
      </c>
      <c r="P2898" s="247" t="s">
        <v>1483</v>
      </c>
      <c r="Q2898" s="247" t="s">
        <v>87</v>
      </c>
    </row>
    <row r="2899" spans="1:17" x14ac:dyDescent="0.25">
      <c r="A2899" s="247" t="s">
        <v>646</v>
      </c>
      <c r="B2899" s="247" t="s">
        <v>265</v>
      </c>
      <c r="C2899" s="247" t="s">
        <v>1343</v>
      </c>
      <c r="D2899" s="247" t="s">
        <v>755</v>
      </c>
      <c r="E2899" s="247" t="s">
        <v>946</v>
      </c>
      <c r="F2899" s="247" t="s">
        <v>2294</v>
      </c>
      <c r="G2899" s="247" t="s">
        <v>1348</v>
      </c>
      <c r="H2899" s="247" t="s">
        <v>403</v>
      </c>
      <c r="I2899" s="247" t="s">
        <v>2295</v>
      </c>
      <c r="J2899" s="247">
        <v>38</v>
      </c>
      <c r="K2899" s="247">
        <v>38</v>
      </c>
      <c r="L2899" s="249" t="s">
        <v>791</v>
      </c>
      <c r="M2899" s="249" t="s">
        <v>929</v>
      </c>
      <c r="N2899" s="248">
        <v>185.98</v>
      </c>
      <c r="O2899" s="248">
        <v>371.96</v>
      </c>
      <c r="P2899" s="247" t="s">
        <v>1483</v>
      </c>
      <c r="Q2899" s="247" t="s">
        <v>88</v>
      </c>
    </row>
    <row r="2900" spans="1:17" x14ac:dyDescent="0.25">
      <c r="A2900" s="247" t="s">
        <v>646</v>
      </c>
      <c r="B2900" s="247" t="s">
        <v>265</v>
      </c>
      <c r="C2900" s="247" t="s">
        <v>1343</v>
      </c>
      <c r="D2900" s="247" t="s">
        <v>755</v>
      </c>
      <c r="E2900" s="247" t="s">
        <v>946</v>
      </c>
      <c r="F2900" s="247" t="s">
        <v>2294</v>
      </c>
      <c r="G2900" s="247" t="s">
        <v>1348</v>
      </c>
      <c r="H2900" s="247" t="s">
        <v>403</v>
      </c>
      <c r="I2900" s="247" t="s">
        <v>2295</v>
      </c>
      <c r="J2900" s="247">
        <v>38</v>
      </c>
      <c r="K2900" s="247">
        <v>38</v>
      </c>
      <c r="L2900" s="249" t="s">
        <v>935</v>
      </c>
      <c r="M2900" s="249" t="s">
        <v>929</v>
      </c>
      <c r="N2900" s="248">
        <v>185.98</v>
      </c>
      <c r="O2900" s="248">
        <v>557.94000000000005</v>
      </c>
      <c r="P2900" s="247" t="s">
        <v>1483</v>
      </c>
      <c r="Q2900" s="247" t="s">
        <v>89</v>
      </c>
    </row>
    <row r="2901" spans="1:17" x14ac:dyDescent="0.25">
      <c r="A2901" s="247" t="s">
        <v>646</v>
      </c>
      <c r="B2901" s="247" t="s">
        <v>265</v>
      </c>
      <c r="C2901" s="247" t="s">
        <v>1343</v>
      </c>
      <c r="D2901" s="247" t="s">
        <v>755</v>
      </c>
      <c r="E2901" s="247" t="s">
        <v>946</v>
      </c>
      <c r="F2901" s="247" t="s">
        <v>2294</v>
      </c>
      <c r="G2901" s="247" t="s">
        <v>1348</v>
      </c>
      <c r="H2901" s="247" t="s">
        <v>403</v>
      </c>
      <c r="I2901" s="247" t="s">
        <v>2295</v>
      </c>
      <c r="J2901" s="247">
        <v>38</v>
      </c>
      <c r="K2901" s="247">
        <v>38</v>
      </c>
      <c r="L2901" s="249" t="s">
        <v>936</v>
      </c>
      <c r="M2901" s="249" t="s">
        <v>929</v>
      </c>
      <c r="N2901" s="248">
        <v>228.98</v>
      </c>
      <c r="O2901" s="248">
        <v>786.92</v>
      </c>
      <c r="P2901" s="247" t="s">
        <v>1483</v>
      </c>
      <c r="Q2901" s="247" t="s">
        <v>90</v>
      </c>
    </row>
    <row r="2902" spans="1:17" x14ac:dyDescent="0.25">
      <c r="A2902" s="247" t="s">
        <v>646</v>
      </c>
      <c r="B2902" s="247" t="s">
        <v>265</v>
      </c>
      <c r="C2902" s="247" t="s">
        <v>1343</v>
      </c>
      <c r="D2902" s="247" t="s">
        <v>755</v>
      </c>
      <c r="E2902" s="247" t="s">
        <v>946</v>
      </c>
      <c r="F2902" s="247" t="s">
        <v>2294</v>
      </c>
      <c r="G2902" s="247" t="s">
        <v>1348</v>
      </c>
      <c r="H2902" s="247" t="s">
        <v>403</v>
      </c>
      <c r="I2902" s="247" t="s">
        <v>2295</v>
      </c>
      <c r="J2902" s="247">
        <v>38</v>
      </c>
      <c r="K2902" s="247">
        <v>38</v>
      </c>
      <c r="L2902" s="249" t="s">
        <v>937</v>
      </c>
      <c r="M2902" s="249" t="s">
        <v>929</v>
      </c>
      <c r="N2902" s="248">
        <v>228.98</v>
      </c>
      <c r="O2902" s="248">
        <v>1015.9</v>
      </c>
      <c r="P2902" s="247" t="s">
        <v>1483</v>
      </c>
      <c r="Q2902" s="247" t="s">
        <v>91</v>
      </c>
    </row>
    <row r="2903" spans="1:17" x14ac:dyDescent="0.25">
      <c r="A2903" s="247" t="s">
        <v>646</v>
      </c>
      <c r="B2903" s="247" t="s">
        <v>265</v>
      </c>
      <c r="C2903" s="247" t="s">
        <v>1343</v>
      </c>
      <c r="D2903" s="247" t="s">
        <v>755</v>
      </c>
      <c r="E2903" s="247" t="s">
        <v>946</v>
      </c>
      <c r="F2903" s="247" t="s">
        <v>2294</v>
      </c>
      <c r="G2903" s="247" t="s">
        <v>1348</v>
      </c>
      <c r="H2903" s="247" t="s">
        <v>403</v>
      </c>
      <c r="I2903" s="247" t="s">
        <v>2295</v>
      </c>
      <c r="J2903" s="247">
        <v>38</v>
      </c>
      <c r="K2903" s="247">
        <v>38</v>
      </c>
      <c r="L2903" s="249" t="s">
        <v>938</v>
      </c>
      <c r="M2903" s="249" t="s">
        <v>929</v>
      </c>
      <c r="N2903" s="248">
        <v>207.48</v>
      </c>
      <c r="O2903" s="248">
        <v>1223.3800000000001</v>
      </c>
      <c r="P2903" s="247" t="s">
        <v>1483</v>
      </c>
      <c r="Q2903" s="247" t="s">
        <v>92</v>
      </c>
    </row>
    <row r="2904" spans="1:17" x14ac:dyDescent="0.25">
      <c r="A2904" s="247" t="s">
        <v>646</v>
      </c>
      <c r="B2904" s="247" t="s">
        <v>265</v>
      </c>
      <c r="C2904" s="247" t="s">
        <v>1343</v>
      </c>
      <c r="D2904" s="247" t="s">
        <v>755</v>
      </c>
      <c r="E2904" s="247" t="s">
        <v>946</v>
      </c>
      <c r="F2904" s="247" t="s">
        <v>2294</v>
      </c>
      <c r="G2904" s="247" t="s">
        <v>1348</v>
      </c>
      <c r="H2904" s="247" t="s">
        <v>403</v>
      </c>
      <c r="I2904" s="247" t="s">
        <v>2295</v>
      </c>
      <c r="J2904" s="247">
        <v>38</v>
      </c>
      <c r="K2904" s="247">
        <v>38</v>
      </c>
      <c r="L2904" s="249" t="s">
        <v>939</v>
      </c>
      <c r="M2904" s="249" t="s">
        <v>929</v>
      </c>
      <c r="N2904" s="248">
        <v>207.48</v>
      </c>
      <c r="O2904" s="248">
        <v>1430.86</v>
      </c>
      <c r="P2904" s="247" t="s">
        <v>1483</v>
      </c>
      <c r="Q2904" s="247" t="s">
        <v>93</v>
      </c>
    </row>
    <row r="2905" spans="1:17" x14ac:dyDescent="0.25">
      <c r="A2905" s="247" t="s">
        <v>646</v>
      </c>
      <c r="B2905" s="247" t="s">
        <v>265</v>
      </c>
      <c r="C2905" s="247" t="s">
        <v>1343</v>
      </c>
      <c r="D2905" s="247" t="s">
        <v>755</v>
      </c>
      <c r="E2905" s="247" t="s">
        <v>946</v>
      </c>
      <c r="F2905" s="247" t="s">
        <v>2294</v>
      </c>
      <c r="G2905" s="247" t="s">
        <v>1348</v>
      </c>
      <c r="H2905" s="247" t="s">
        <v>403</v>
      </c>
      <c r="I2905" s="247" t="s">
        <v>2295</v>
      </c>
      <c r="J2905" s="247">
        <v>38</v>
      </c>
      <c r="K2905" s="247">
        <v>38</v>
      </c>
      <c r="L2905" s="249" t="s">
        <v>940</v>
      </c>
      <c r="M2905" s="249" t="s">
        <v>929</v>
      </c>
      <c r="N2905" s="248">
        <v>207.48</v>
      </c>
      <c r="O2905" s="248">
        <v>1638.34</v>
      </c>
      <c r="P2905" s="247" t="s">
        <v>1483</v>
      </c>
      <c r="Q2905" s="247" t="s">
        <v>94</v>
      </c>
    </row>
    <row r="2906" spans="1:17" x14ac:dyDescent="0.25">
      <c r="A2906" s="247" t="s">
        <v>646</v>
      </c>
      <c r="B2906" s="247" t="s">
        <v>265</v>
      </c>
      <c r="C2906" s="247" t="s">
        <v>1343</v>
      </c>
      <c r="D2906" s="247" t="s">
        <v>755</v>
      </c>
      <c r="E2906" s="247" t="s">
        <v>946</v>
      </c>
      <c r="F2906" s="247" t="s">
        <v>2294</v>
      </c>
      <c r="G2906" s="247" t="s">
        <v>1348</v>
      </c>
      <c r="H2906" s="247" t="s">
        <v>403</v>
      </c>
      <c r="I2906" s="247" t="s">
        <v>2295</v>
      </c>
      <c r="J2906" s="247">
        <v>38</v>
      </c>
      <c r="K2906" s="247">
        <v>38</v>
      </c>
      <c r="L2906" s="249" t="s">
        <v>642</v>
      </c>
      <c r="M2906" s="249" t="s">
        <v>929</v>
      </c>
      <c r="N2906" s="248">
        <v>215</v>
      </c>
      <c r="O2906" s="248">
        <v>1853.34</v>
      </c>
      <c r="P2906" s="247" t="s">
        <v>1483</v>
      </c>
      <c r="Q2906" s="247" t="s">
        <v>95</v>
      </c>
    </row>
    <row r="2907" spans="1:17" x14ac:dyDescent="0.25">
      <c r="A2907" s="247" t="s">
        <v>646</v>
      </c>
      <c r="B2907" s="247" t="s">
        <v>265</v>
      </c>
      <c r="C2907" s="247" t="s">
        <v>1343</v>
      </c>
      <c r="D2907" s="247" t="s">
        <v>823</v>
      </c>
      <c r="E2907" s="247" t="s">
        <v>946</v>
      </c>
      <c r="F2907" s="247" t="s">
        <v>2296</v>
      </c>
      <c r="G2907" s="247" t="s">
        <v>1350</v>
      </c>
      <c r="H2907" s="247" t="s">
        <v>403</v>
      </c>
      <c r="I2907" s="247" t="s">
        <v>2297</v>
      </c>
      <c r="J2907" s="247">
        <v>36</v>
      </c>
      <c r="K2907" s="247">
        <v>36</v>
      </c>
      <c r="L2907" s="249" t="s">
        <v>646</v>
      </c>
      <c r="M2907" s="249" t="s">
        <v>933</v>
      </c>
      <c r="N2907" s="248">
        <v>3324.72</v>
      </c>
      <c r="O2907" s="248">
        <v>16655.72</v>
      </c>
      <c r="P2907" s="247" t="s">
        <v>1484</v>
      </c>
      <c r="Q2907" s="247" t="s">
        <v>84</v>
      </c>
    </row>
    <row r="2908" spans="1:17" x14ac:dyDescent="0.25">
      <c r="A2908" s="247" t="s">
        <v>646</v>
      </c>
      <c r="B2908" s="247" t="s">
        <v>265</v>
      </c>
      <c r="C2908" s="247" t="s">
        <v>1343</v>
      </c>
      <c r="D2908" s="247" t="s">
        <v>823</v>
      </c>
      <c r="E2908" s="247" t="s">
        <v>946</v>
      </c>
      <c r="F2908" s="247" t="s">
        <v>2296</v>
      </c>
      <c r="G2908" s="247" t="s">
        <v>1350</v>
      </c>
      <c r="H2908" s="247" t="s">
        <v>403</v>
      </c>
      <c r="I2908" s="247" t="s">
        <v>2297</v>
      </c>
      <c r="J2908" s="247">
        <v>36</v>
      </c>
      <c r="K2908" s="247">
        <v>36</v>
      </c>
      <c r="L2908" s="249" t="s">
        <v>650</v>
      </c>
      <c r="M2908" s="249" t="s">
        <v>933</v>
      </c>
      <c r="N2908" s="248">
        <v>3483.04</v>
      </c>
      <c r="O2908" s="248">
        <v>20138.759999999998</v>
      </c>
      <c r="P2908" s="247" t="s">
        <v>1484</v>
      </c>
      <c r="Q2908" s="247" t="s">
        <v>85</v>
      </c>
    </row>
    <row r="2909" spans="1:17" x14ac:dyDescent="0.25">
      <c r="A2909" s="247" t="s">
        <v>646</v>
      </c>
      <c r="B2909" s="247" t="s">
        <v>265</v>
      </c>
      <c r="C2909" s="247" t="s">
        <v>1343</v>
      </c>
      <c r="D2909" s="247" t="s">
        <v>823</v>
      </c>
      <c r="E2909" s="247" t="s">
        <v>946</v>
      </c>
      <c r="F2909" s="247" t="s">
        <v>2296</v>
      </c>
      <c r="G2909" s="247" t="s">
        <v>1350</v>
      </c>
      <c r="H2909" s="247" t="s">
        <v>403</v>
      </c>
      <c r="I2909" s="247" t="s">
        <v>2297</v>
      </c>
      <c r="J2909" s="247">
        <v>36</v>
      </c>
      <c r="K2909" s="247">
        <v>36</v>
      </c>
      <c r="L2909" s="249" t="s">
        <v>652</v>
      </c>
      <c r="M2909" s="249" t="s">
        <v>933</v>
      </c>
      <c r="N2909" s="248">
        <v>2824.24</v>
      </c>
      <c r="O2909" s="248">
        <v>22963</v>
      </c>
      <c r="P2909" s="247" t="s">
        <v>1484</v>
      </c>
      <c r="Q2909" s="247" t="s">
        <v>86</v>
      </c>
    </row>
    <row r="2910" spans="1:17" x14ac:dyDescent="0.25">
      <c r="A2910" s="247" t="s">
        <v>646</v>
      </c>
      <c r="B2910" s="247" t="s">
        <v>265</v>
      </c>
      <c r="C2910" s="247" t="s">
        <v>1343</v>
      </c>
      <c r="D2910" s="247" t="s">
        <v>823</v>
      </c>
      <c r="E2910" s="247" t="s">
        <v>946</v>
      </c>
      <c r="F2910" s="247" t="s">
        <v>2296</v>
      </c>
      <c r="G2910" s="247" t="s">
        <v>1350</v>
      </c>
      <c r="H2910" s="247" t="s">
        <v>403</v>
      </c>
      <c r="I2910" s="247" t="s">
        <v>2297</v>
      </c>
      <c r="J2910" s="247">
        <v>36</v>
      </c>
      <c r="K2910" s="247">
        <v>36</v>
      </c>
      <c r="L2910" s="249" t="s">
        <v>789</v>
      </c>
      <c r="M2910" s="249" t="s">
        <v>929</v>
      </c>
      <c r="N2910" s="248">
        <v>2246.5500000000002</v>
      </c>
      <c r="O2910" s="248">
        <v>2246.5500000000002</v>
      </c>
      <c r="P2910" s="247" t="s">
        <v>1484</v>
      </c>
      <c r="Q2910" s="247" t="s">
        <v>87</v>
      </c>
    </row>
    <row r="2911" spans="1:17" x14ac:dyDescent="0.25">
      <c r="A2911" s="247" t="s">
        <v>646</v>
      </c>
      <c r="B2911" s="247" t="s">
        <v>265</v>
      </c>
      <c r="C2911" s="247" t="s">
        <v>1343</v>
      </c>
      <c r="D2911" s="247" t="s">
        <v>823</v>
      </c>
      <c r="E2911" s="247" t="s">
        <v>946</v>
      </c>
      <c r="F2911" s="247" t="s">
        <v>2296</v>
      </c>
      <c r="G2911" s="247" t="s">
        <v>1350</v>
      </c>
      <c r="H2911" s="247" t="s">
        <v>403</v>
      </c>
      <c r="I2911" s="247" t="s">
        <v>2297</v>
      </c>
      <c r="J2911" s="247">
        <v>36</v>
      </c>
      <c r="K2911" s="247">
        <v>36</v>
      </c>
      <c r="L2911" s="249" t="s">
        <v>791</v>
      </c>
      <c r="M2911" s="249" t="s">
        <v>929</v>
      </c>
      <c r="N2911" s="248">
        <v>2246.5500000000002</v>
      </c>
      <c r="O2911" s="248">
        <v>4493.1000000000004</v>
      </c>
      <c r="P2911" s="247" t="s">
        <v>1484</v>
      </c>
      <c r="Q2911" s="247" t="s">
        <v>88</v>
      </c>
    </row>
    <row r="2912" spans="1:17" x14ac:dyDescent="0.25">
      <c r="A2912" s="247" t="s">
        <v>646</v>
      </c>
      <c r="B2912" s="247" t="s">
        <v>265</v>
      </c>
      <c r="C2912" s="247" t="s">
        <v>1343</v>
      </c>
      <c r="D2912" s="247" t="s">
        <v>823</v>
      </c>
      <c r="E2912" s="247" t="s">
        <v>946</v>
      </c>
      <c r="F2912" s="247" t="s">
        <v>2296</v>
      </c>
      <c r="G2912" s="247" t="s">
        <v>1350</v>
      </c>
      <c r="H2912" s="247" t="s">
        <v>403</v>
      </c>
      <c r="I2912" s="247" t="s">
        <v>2297</v>
      </c>
      <c r="J2912" s="247">
        <v>36</v>
      </c>
      <c r="K2912" s="247">
        <v>36</v>
      </c>
      <c r="L2912" s="249" t="s">
        <v>935</v>
      </c>
      <c r="M2912" s="249" t="s">
        <v>929</v>
      </c>
      <c r="N2912" s="248">
        <v>2246.5500000000002</v>
      </c>
      <c r="O2912" s="248">
        <v>6739.65</v>
      </c>
      <c r="P2912" s="247" t="s">
        <v>1484</v>
      </c>
      <c r="Q2912" s="247" t="s">
        <v>89</v>
      </c>
    </row>
    <row r="2913" spans="1:17" x14ac:dyDescent="0.25">
      <c r="A2913" s="247" t="s">
        <v>646</v>
      </c>
      <c r="B2913" s="247" t="s">
        <v>265</v>
      </c>
      <c r="C2913" s="247" t="s">
        <v>1343</v>
      </c>
      <c r="D2913" s="247" t="s">
        <v>823</v>
      </c>
      <c r="E2913" s="247" t="s">
        <v>946</v>
      </c>
      <c r="F2913" s="247" t="s">
        <v>2296</v>
      </c>
      <c r="G2913" s="247" t="s">
        <v>1350</v>
      </c>
      <c r="H2913" s="247" t="s">
        <v>403</v>
      </c>
      <c r="I2913" s="247" t="s">
        <v>2297</v>
      </c>
      <c r="J2913" s="247">
        <v>36</v>
      </c>
      <c r="K2913" s="247">
        <v>36</v>
      </c>
      <c r="L2913" s="249" t="s">
        <v>936</v>
      </c>
      <c r="M2913" s="249" t="s">
        <v>929</v>
      </c>
      <c r="N2913" s="248">
        <v>2246.5500000000002</v>
      </c>
      <c r="O2913" s="248">
        <v>8986.2000000000007</v>
      </c>
      <c r="P2913" s="247" t="s">
        <v>1484</v>
      </c>
      <c r="Q2913" s="247" t="s">
        <v>90</v>
      </c>
    </row>
    <row r="2914" spans="1:17" x14ac:dyDescent="0.25">
      <c r="A2914" s="247" t="s">
        <v>646</v>
      </c>
      <c r="B2914" s="247" t="s">
        <v>265</v>
      </c>
      <c r="C2914" s="247" t="s">
        <v>1343</v>
      </c>
      <c r="D2914" s="247" t="s">
        <v>823</v>
      </c>
      <c r="E2914" s="247" t="s">
        <v>946</v>
      </c>
      <c r="F2914" s="247" t="s">
        <v>2296</v>
      </c>
      <c r="G2914" s="247" t="s">
        <v>1350</v>
      </c>
      <c r="H2914" s="247" t="s">
        <v>403</v>
      </c>
      <c r="I2914" s="247" t="s">
        <v>2297</v>
      </c>
      <c r="J2914" s="247">
        <v>36</v>
      </c>
      <c r="K2914" s="247">
        <v>36</v>
      </c>
      <c r="L2914" s="249" t="s">
        <v>937</v>
      </c>
      <c r="M2914" s="249" t="s">
        <v>929</v>
      </c>
      <c r="N2914" s="248">
        <v>2246.5500000000002</v>
      </c>
      <c r="O2914" s="248">
        <v>11232.75</v>
      </c>
      <c r="P2914" s="247" t="s">
        <v>1484</v>
      </c>
      <c r="Q2914" s="247" t="s">
        <v>91</v>
      </c>
    </row>
    <row r="2915" spans="1:17" x14ac:dyDescent="0.25">
      <c r="A2915" s="247" t="s">
        <v>646</v>
      </c>
      <c r="B2915" s="247" t="s">
        <v>265</v>
      </c>
      <c r="C2915" s="247" t="s">
        <v>1343</v>
      </c>
      <c r="D2915" s="247" t="s">
        <v>823</v>
      </c>
      <c r="E2915" s="247" t="s">
        <v>946</v>
      </c>
      <c r="F2915" s="247" t="s">
        <v>2296</v>
      </c>
      <c r="G2915" s="247" t="s">
        <v>1350</v>
      </c>
      <c r="H2915" s="247" t="s">
        <v>403</v>
      </c>
      <c r="I2915" s="247" t="s">
        <v>2297</v>
      </c>
      <c r="J2915" s="247">
        <v>36</v>
      </c>
      <c r="K2915" s="247">
        <v>36</v>
      </c>
      <c r="L2915" s="249" t="s">
        <v>938</v>
      </c>
      <c r="M2915" s="249" t="s">
        <v>929</v>
      </c>
      <c r="N2915" s="248">
        <v>2246.5500000000002</v>
      </c>
      <c r="O2915" s="248">
        <v>13479.3</v>
      </c>
      <c r="P2915" s="247" t="s">
        <v>1484</v>
      </c>
      <c r="Q2915" s="247" t="s">
        <v>92</v>
      </c>
    </row>
    <row r="2916" spans="1:17" x14ac:dyDescent="0.25">
      <c r="A2916" s="247" t="s">
        <v>646</v>
      </c>
      <c r="B2916" s="247" t="s">
        <v>265</v>
      </c>
      <c r="C2916" s="247" t="s">
        <v>1343</v>
      </c>
      <c r="D2916" s="247" t="s">
        <v>823</v>
      </c>
      <c r="E2916" s="247" t="s">
        <v>946</v>
      </c>
      <c r="F2916" s="247" t="s">
        <v>2296</v>
      </c>
      <c r="G2916" s="247" t="s">
        <v>1350</v>
      </c>
      <c r="H2916" s="247" t="s">
        <v>403</v>
      </c>
      <c r="I2916" s="247" t="s">
        <v>2297</v>
      </c>
      <c r="J2916" s="247">
        <v>36</v>
      </c>
      <c r="K2916" s="247">
        <v>36</v>
      </c>
      <c r="L2916" s="249" t="s">
        <v>939</v>
      </c>
      <c r="M2916" s="249" t="s">
        <v>929</v>
      </c>
      <c r="N2916" s="248">
        <v>2246.5500000000002</v>
      </c>
      <c r="O2916" s="248">
        <v>15725.85</v>
      </c>
      <c r="P2916" s="247" t="s">
        <v>1484</v>
      </c>
      <c r="Q2916" s="247" t="s">
        <v>93</v>
      </c>
    </row>
    <row r="2917" spans="1:17" x14ac:dyDescent="0.25">
      <c r="A2917" s="247" t="s">
        <v>646</v>
      </c>
      <c r="B2917" s="247" t="s">
        <v>265</v>
      </c>
      <c r="C2917" s="247" t="s">
        <v>1343</v>
      </c>
      <c r="D2917" s="247" t="s">
        <v>823</v>
      </c>
      <c r="E2917" s="247" t="s">
        <v>946</v>
      </c>
      <c r="F2917" s="247" t="s">
        <v>2296</v>
      </c>
      <c r="G2917" s="247" t="s">
        <v>1350</v>
      </c>
      <c r="H2917" s="247" t="s">
        <v>403</v>
      </c>
      <c r="I2917" s="247" t="s">
        <v>2297</v>
      </c>
      <c r="J2917" s="247">
        <v>36</v>
      </c>
      <c r="K2917" s="247">
        <v>36</v>
      </c>
      <c r="L2917" s="249" t="s">
        <v>940</v>
      </c>
      <c r="M2917" s="249" t="s">
        <v>929</v>
      </c>
      <c r="N2917" s="248">
        <v>2246.5500000000002</v>
      </c>
      <c r="O2917" s="248">
        <v>17972.400000000001</v>
      </c>
      <c r="P2917" s="247" t="s">
        <v>1484</v>
      </c>
      <c r="Q2917" s="247" t="s">
        <v>94</v>
      </c>
    </row>
    <row r="2918" spans="1:17" x14ac:dyDescent="0.25">
      <c r="A2918" s="247" t="s">
        <v>646</v>
      </c>
      <c r="B2918" s="247" t="s">
        <v>265</v>
      </c>
      <c r="C2918" s="247" t="s">
        <v>1343</v>
      </c>
      <c r="D2918" s="247" t="s">
        <v>823</v>
      </c>
      <c r="E2918" s="247" t="s">
        <v>946</v>
      </c>
      <c r="F2918" s="247" t="s">
        <v>2296</v>
      </c>
      <c r="G2918" s="247" t="s">
        <v>1350</v>
      </c>
      <c r="H2918" s="247" t="s">
        <v>403</v>
      </c>
      <c r="I2918" s="247" t="s">
        <v>2297</v>
      </c>
      <c r="J2918" s="247">
        <v>36</v>
      </c>
      <c r="K2918" s="247">
        <v>36</v>
      </c>
      <c r="L2918" s="249" t="s">
        <v>642</v>
      </c>
      <c r="M2918" s="249" t="s">
        <v>929</v>
      </c>
      <c r="N2918" s="248">
        <v>2246.5500000000002</v>
      </c>
      <c r="O2918" s="248">
        <v>20218.95</v>
      </c>
      <c r="P2918" s="247" t="s">
        <v>1484</v>
      </c>
      <c r="Q2918" s="247" t="s">
        <v>95</v>
      </c>
    </row>
    <row r="2919" spans="1:17" x14ac:dyDescent="0.25">
      <c r="A2919" s="247" t="s">
        <v>646</v>
      </c>
      <c r="B2919" s="247" t="s">
        <v>265</v>
      </c>
      <c r="C2919" s="247" t="s">
        <v>1343</v>
      </c>
      <c r="D2919" s="247" t="s">
        <v>569</v>
      </c>
      <c r="E2919" s="247" t="s">
        <v>946</v>
      </c>
      <c r="F2919" s="247" t="s">
        <v>2298</v>
      </c>
      <c r="G2919" s="247" t="s">
        <v>1352</v>
      </c>
      <c r="H2919" s="247" t="s">
        <v>403</v>
      </c>
      <c r="I2919" s="247" t="s">
        <v>2299</v>
      </c>
      <c r="J2919" s="247">
        <v>40</v>
      </c>
      <c r="K2919" s="247">
        <v>40</v>
      </c>
      <c r="L2919" s="249" t="s">
        <v>646</v>
      </c>
      <c r="M2919" s="249" t="s">
        <v>933</v>
      </c>
      <c r="N2919" s="248">
        <v>3243.35</v>
      </c>
      <c r="O2919" s="248">
        <v>22848.41</v>
      </c>
      <c r="P2919" s="247" t="s">
        <v>1485</v>
      </c>
      <c r="Q2919" s="247" t="s">
        <v>84</v>
      </c>
    </row>
    <row r="2920" spans="1:17" x14ac:dyDescent="0.25">
      <c r="A2920" s="247" t="s">
        <v>646</v>
      </c>
      <c r="B2920" s="247" t="s">
        <v>265</v>
      </c>
      <c r="C2920" s="247" t="s">
        <v>1343</v>
      </c>
      <c r="D2920" s="247" t="s">
        <v>569</v>
      </c>
      <c r="E2920" s="247" t="s">
        <v>946</v>
      </c>
      <c r="F2920" s="247" t="s">
        <v>2298</v>
      </c>
      <c r="G2920" s="247" t="s">
        <v>1352</v>
      </c>
      <c r="H2920" s="247" t="s">
        <v>403</v>
      </c>
      <c r="I2920" s="247" t="s">
        <v>2299</v>
      </c>
      <c r="J2920" s="247">
        <v>40</v>
      </c>
      <c r="K2920" s="247">
        <v>40</v>
      </c>
      <c r="L2920" s="249" t="s">
        <v>650</v>
      </c>
      <c r="M2920" s="249" t="s">
        <v>933</v>
      </c>
      <c r="N2920" s="248">
        <v>2191.9899999999998</v>
      </c>
      <c r="O2920" s="248">
        <v>25040.400000000001</v>
      </c>
      <c r="P2920" s="247" t="s">
        <v>1485</v>
      </c>
      <c r="Q2920" s="247" t="s">
        <v>85</v>
      </c>
    </row>
    <row r="2921" spans="1:17" x14ac:dyDescent="0.25">
      <c r="A2921" s="247" t="s">
        <v>646</v>
      </c>
      <c r="B2921" s="247" t="s">
        <v>265</v>
      </c>
      <c r="C2921" s="247" t="s">
        <v>1343</v>
      </c>
      <c r="D2921" s="247" t="s">
        <v>569</v>
      </c>
      <c r="E2921" s="247" t="s">
        <v>946</v>
      </c>
      <c r="F2921" s="247" t="s">
        <v>2298</v>
      </c>
      <c r="G2921" s="247" t="s">
        <v>1352</v>
      </c>
      <c r="H2921" s="247" t="s">
        <v>403</v>
      </c>
      <c r="I2921" s="247" t="s">
        <v>2299</v>
      </c>
      <c r="J2921" s="247">
        <v>40</v>
      </c>
      <c r="K2921" s="247">
        <v>40</v>
      </c>
      <c r="L2921" s="249" t="s">
        <v>652</v>
      </c>
      <c r="M2921" s="249" t="s">
        <v>933</v>
      </c>
      <c r="N2921" s="248">
        <v>2381.46</v>
      </c>
      <c r="O2921" s="248">
        <v>27421.86</v>
      </c>
      <c r="P2921" s="247" t="s">
        <v>1485</v>
      </c>
      <c r="Q2921" s="247" t="s">
        <v>86</v>
      </c>
    </row>
    <row r="2922" spans="1:17" x14ac:dyDescent="0.25">
      <c r="A2922" s="247" t="s">
        <v>646</v>
      </c>
      <c r="B2922" s="247" t="s">
        <v>265</v>
      </c>
      <c r="C2922" s="247" t="s">
        <v>1343</v>
      </c>
      <c r="D2922" s="247" t="s">
        <v>569</v>
      </c>
      <c r="E2922" s="247" t="s">
        <v>946</v>
      </c>
      <c r="F2922" s="247" t="s">
        <v>2298</v>
      </c>
      <c r="G2922" s="247" t="s">
        <v>1352</v>
      </c>
      <c r="H2922" s="247" t="s">
        <v>403</v>
      </c>
      <c r="I2922" s="247" t="s">
        <v>2299</v>
      </c>
      <c r="J2922" s="247">
        <v>40</v>
      </c>
      <c r="K2922" s="247">
        <v>40</v>
      </c>
      <c r="L2922" s="249" t="s">
        <v>789</v>
      </c>
      <c r="M2922" s="249" t="s">
        <v>929</v>
      </c>
      <c r="N2922" s="248">
        <v>2523.17</v>
      </c>
      <c r="O2922" s="248">
        <v>2523.17</v>
      </c>
      <c r="P2922" s="247" t="s">
        <v>1485</v>
      </c>
      <c r="Q2922" s="247" t="s">
        <v>87</v>
      </c>
    </row>
    <row r="2923" spans="1:17" x14ac:dyDescent="0.25">
      <c r="A2923" s="247" t="s">
        <v>646</v>
      </c>
      <c r="B2923" s="247" t="s">
        <v>265</v>
      </c>
      <c r="C2923" s="247" t="s">
        <v>1343</v>
      </c>
      <c r="D2923" s="247" t="s">
        <v>569</v>
      </c>
      <c r="E2923" s="247" t="s">
        <v>946</v>
      </c>
      <c r="F2923" s="247" t="s">
        <v>2298</v>
      </c>
      <c r="G2923" s="247" t="s">
        <v>1352</v>
      </c>
      <c r="H2923" s="247" t="s">
        <v>403</v>
      </c>
      <c r="I2923" s="247" t="s">
        <v>2299</v>
      </c>
      <c r="J2923" s="247">
        <v>40</v>
      </c>
      <c r="K2923" s="247">
        <v>40</v>
      </c>
      <c r="L2923" s="249" t="s">
        <v>791</v>
      </c>
      <c r="M2923" s="249" t="s">
        <v>929</v>
      </c>
      <c r="N2923" s="248">
        <v>2677.45</v>
      </c>
      <c r="O2923" s="248">
        <v>5200.62</v>
      </c>
      <c r="P2923" s="247" t="s">
        <v>1485</v>
      </c>
      <c r="Q2923" s="247" t="s">
        <v>88</v>
      </c>
    </row>
    <row r="2924" spans="1:17" x14ac:dyDescent="0.25">
      <c r="A2924" s="247" t="s">
        <v>646</v>
      </c>
      <c r="B2924" s="247" t="s">
        <v>265</v>
      </c>
      <c r="C2924" s="247" t="s">
        <v>1343</v>
      </c>
      <c r="D2924" s="247" t="s">
        <v>569</v>
      </c>
      <c r="E2924" s="247" t="s">
        <v>946</v>
      </c>
      <c r="F2924" s="247" t="s">
        <v>2298</v>
      </c>
      <c r="G2924" s="247" t="s">
        <v>1352</v>
      </c>
      <c r="H2924" s="247" t="s">
        <v>403</v>
      </c>
      <c r="I2924" s="247" t="s">
        <v>2299</v>
      </c>
      <c r="J2924" s="247">
        <v>40</v>
      </c>
      <c r="K2924" s="247">
        <v>40</v>
      </c>
      <c r="L2924" s="249" t="s">
        <v>935</v>
      </c>
      <c r="M2924" s="249" t="s">
        <v>929</v>
      </c>
      <c r="N2924" s="248">
        <v>2697.26</v>
      </c>
      <c r="O2924" s="248">
        <v>7897.88</v>
      </c>
      <c r="P2924" s="247" t="s">
        <v>1485</v>
      </c>
      <c r="Q2924" s="247" t="s">
        <v>89</v>
      </c>
    </row>
    <row r="2925" spans="1:17" x14ac:dyDescent="0.25">
      <c r="A2925" s="247" t="s">
        <v>646</v>
      </c>
      <c r="B2925" s="247" t="s">
        <v>265</v>
      </c>
      <c r="C2925" s="247" t="s">
        <v>1343</v>
      </c>
      <c r="D2925" s="247" t="s">
        <v>569</v>
      </c>
      <c r="E2925" s="247" t="s">
        <v>946</v>
      </c>
      <c r="F2925" s="247" t="s">
        <v>2298</v>
      </c>
      <c r="G2925" s="247" t="s">
        <v>1352</v>
      </c>
      <c r="H2925" s="247" t="s">
        <v>403</v>
      </c>
      <c r="I2925" s="247" t="s">
        <v>2299</v>
      </c>
      <c r="J2925" s="247">
        <v>40</v>
      </c>
      <c r="K2925" s="247">
        <v>40</v>
      </c>
      <c r="L2925" s="249" t="s">
        <v>936</v>
      </c>
      <c r="M2925" s="249" t="s">
        <v>929</v>
      </c>
      <c r="N2925" s="248">
        <v>3714.46</v>
      </c>
      <c r="O2925" s="248">
        <v>11612.34</v>
      </c>
      <c r="P2925" s="247" t="s">
        <v>1485</v>
      </c>
      <c r="Q2925" s="247" t="s">
        <v>90</v>
      </c>
    </row>
    <row r="2926" spans="1:17" x14ac:dyDescent="0.25">
      <c r="A2926" s="247" t="s">
        <v>646</v>
      </c>
      <c r="B2926" s="247" t="s">
        <v>265</v>
      </c>
      <c r="C2926" s="247" t="s">
        <v>1343</v>
      </c>
      <c r="D2926" s="247" t="s">
        <v>569</v>
      </c>
      <c r="E2926" s="247" t="s">
        <v>946</v>
      </c>
      <c r="F2926" s="247" t="s">
        <v>2298</v>
      </c>
      <c r="G2926" s="247" t="s">
        <v>1352</v>
      </c>
      <c r="H2926" s="247" t="s">
        <v>403</v>
      </c>
      <c r="I2926" s="247" t="s">
        <v>2299</v>
      </c>
      <c r="J2926" s="247">
        <v>40</v>
      </c>
      <c r="K2926" s="247">
        <v>40</v>
      </c>
      <c r="L2926" s="249" t="s">
        <v>937</v>
      </c>
      <c r="M2926" s="249" t="s">
        <v>929</v>
      </c>
      <c r="N2926" s="248">
        <v>2326.14</v>
      </c>
      <c r="O2926" s="248">
        <v>13938.48</v>
      </c>
      <c r="P2926" s="247" t="s">
        <v>1485</v>
      </c>
      <c r="Q2926" s="247" t="s">
        <v>91</v>
      </c>
    </row>
    <row r="2927" spans="1:17" x14ac:dyDescent="0.25">
      <c r="A2927" s="247" t="s">
        <v>646</v>
      </c>
      <c r="B2927" s="247" t="s">
        <v>265</v>
      </c>
      <c r="C2927" s="247" t="s">
        <v>1343</v>
      </c>
      <c r="D2927" s="247" t="s">
        <v>569</v>
      </c>
      <c r="E2927" s="247" t="s">
        <v>946</v>
      </c>
      <c r="F2927" s="247" t="s">
        <v>2298</v>
      </c>
      <c r="G2927" s="247" t="s">
        <v>1352</v>
      </c>
      <c r="H2927" s="247" t="s">
        <v>403</v>
      </c>
      <c r="I2927" s="247" t="s">
        <v>2299</v>
      </c>
      <c r="J2927" s="247">
        <v>40</v>
      </c>
      <c r="K2927" s="247">
        <v>40</v>
      </c>
      <c r="L2927" s="249" t="s">
        <v>938</v>
      </c>
      <c r="M2927" s="249" t="s">
        <v>929</v>
      </c>
      <c r="N2927" s="248">
        <v>2422.09</v>
      </c>
      <c r="O2927" s="248">
        <v>16360.57</v>
      </c>
      <c r="P2927" s="247" t="s">
        <v>1485</v>
      </c>
      <c r="Q2927" s="247" t="s">
        <v>92</v>
      </c>
    </row>
    <row r="2928" spans="1:17" x14ac:dyDescent="0.25">
      <c r="A2928" s="247" t="s">
        <v>646</v>
      </c>
      <c r="B2928" s="247" t="s">
        <v>265</v>
      </c>
      <c r="C2928" s="247" t="s">
        <v>1343</v>
      </c>
      <c r="D2928" s="247" t="s">
        <v>569</v>
      </c>
      <c r="E2928" s="247" t="s">
        <v>946</v>
      </c>
      <c r="F2928" s="247" t="s">
        <v>2298</v>
      </c>
      <c r="G2928" s="247" t="s">
        <v>1352</v>
      </c>
      <c r="H2928" s="247" t="s">
        <v>403</v>
      </c>
      <c r="I2928" s="247" t="s">
        <v>2299</v>
      </c>
      <c r="J2928" s="247">
        <v>40</v>
      </c>
      <c r="K2928" s="247">
        <v>40</v>
      </c>
      <c r="L2928" s="249" t="s">
        <v>939</v>
      </c>
      <c r="M2928" s="249" t="s">
        <v>929</v>
      </c>
      <c r="N2928" s="248">
        <v>2489.54</v>
      </c>
      <c r="O2928" s="248">
        <v>18850.11</v>
      </c>
      <c r="P2928" s="247" t="s">
        <v>1485</v>
      </c>
      <c r="Q2928" s="247" t="s">
        <v>93</v>
      </c>
    </row>
    <row r="2929" spans="1:17" x14ac:dyDescent="0.25">
      <c r="A2929" s="247" t="s">
        <v>646</v>
      </c>
      <c r="B2929" s="247" t="s">
        <v>265</v>
      </c>
      <c r="C2929" s="247" t="s">
        <v>1343</v>
      </c>
      <c r="D2929" s="247" t="s">
        <v>569</v>
      </c>
      <c r="E2929" s="247" t="s">
        <v>946</v>
      </c>
      <c r="F2929" s="247" t="s">
        <v>2298</v>
      </c>
      <c r="G2929" s="247" t="s">
        <v>1352</v>
      </c>
      <c r="H2929" s="247" t="s">
        <v>403</v>
      </c>
      <c r="I2929" s="247" t="s">
        <v>2299</v>
      </c>
      <c r="J2929" s="247">
        <v>40</v>
      </c>
      <c r="K2929" s="247">
        <v>40</v>
      </c>
      <c r="L2929" s="249" t="s">
        <v>940</v>
      </c>
      <c r="M2929" s="249" t="s">
        <v>929</v>
      </c>
      <c r="N2929" s="248">
        <v>2420.14</v>
      </c>
      <c r="O2929" s="248">
        <v>21270.25</v>
      </c>
      <c r="P2929" s="247" t="s">
        <v>1485</v>
      </c>
      <c r="Q2929" s="247" t="s">
        <v>94</v>
      </c>
    </row>
    <row r="2930" spans="1:17" x14ac:dyDescent="0.25">
      <c r="A2930" s="247" t="s">
        <v>646</v>
      </c>
      <c r="B2930" s="247" t="s">
        <v>265</v>
      </c>
      <c r="C2930" s="247" t="s">
        <v>1343</v>
      </c>
      <c r="D2930" s="247" t="s">
        <v>569</v>
      </c>
      <c r="E2930" s="247" t="s">
        <v>946</v>
      </c>
      <c r="F2930" s="247" t="s">
        <v>2298</v>
      </c>
      <c r="G2930" s="247" t="s">
        <v>1352</v>
      </c>
      <c r="H2930" s="247" t="s">
        <v>403</v>
      </c>
      <c r="I2930" s="247" t="s">
        <v>2299</v>
      </c>
      <c r="J2930" s="247">
        <v>40</v>
      </c>
      <c r="K2930" s="247">
        <v>40</v>
      </c>
      <c r="L2930" s="249" t="s">
        <v>642</v>
      </c>
      <c r="M2930" s="249" t="s">
        <v>929</v>
      </c>
      <c r="N2930" s="248">
        <v>3795.17</v>
      </c>
      <c r="O2930" s="248">
        <v>25065.42</v>
      </c>
      <c r="P2930" s="247" t="s">
        <v>1485</v>
      </c>
      <c r="Q2930" s="247" t="s">
        <v>95</v>
      </c>
    </row>
    <row r="2931" spans="1:17" x14ac:dyDescent="0.25">
      <c r="A2931" s="247" t="s">
        <v>646</v>
      </c>
      <c r="B2931" s="247" t="s">
        <v>265</v>
      </c>
      <c r="C2931" s="247" t="s">
        <v>1343</v>
      </c>
      <c r="D2931" s="247" t="s">
        <v>575</v>
      </c>
      <c r="E2931" s="247" t="s">
        <v>946</v>
      </c>
      <c r="F2931" s="247" t="s">
        <v>2300</v>
      </c>
      <c r="G2931" s="247" t="s">
        <v>1354</v>
      </c>
      <c r="H2931" s="247" t="s">
        <v>403</v>
      </c>
      <c r="I2931" s="247" t="s">
        <v>2301</v>
      </c>
      <c r="J2931" s="247">
        <v>40</v>
      </c>
      <c r="K2931" s="247">
        <v>40</v>
      </c>
      <c r="L2931" s="249" t="s">
        <v>646</v>
      </c>
      <c r="M2931" s="249" t="s">
        <v>933</v>
      </c>
      <c r="N2931" s="248">
        <v>758.52</v>
      </c>
      <c r="O2931" s="248">
        <v>5343.58</v>
      </c>
      <c r="P2931" s="247" t="s">
        <v>1486</v>
      </c>
      <c r="Q2931" s="247" t="s">
        <v>84</v>
      </c>
    </row>
    <row r="2932" spans="1:17" x14ac:dyDescent="0.25">
      <c r="A2932" s="247" t="s">
        <v>646</v>
      </c>
      <c r="B2932" s="247" t="s">
        <v>265</v>
      </c>
      <c r="C2932" s="247" t="s">
        <v>1343</v>
      </c>
      <c r="D2932" s="247" t="s">
        <v>575</v>
      </c>
      <c r="E2932" s="247" t="s">
        <v>946</v>
      </c>
      <c r="F2932" s="247" t="s">
        <v>2300</v>
      </c>
      <c r="G2932" s="247" t="s">
        <v>1354</v>
      </c>
      <c r="H2932" s="247" t="s">
        <v>403</v>
      </c>
      <c r="I2932" s="247" t="s">
        <v>2301</v>
      </c>
      <c r="J2932" s="247">
        <v>40</v>
      </c>
      <c r="K2932" s="247">
        <v>40</v>
      </c>
      <c r="L2932" s="249" t="s">
        <v>650</v>
      </c>
      <c r="M2932" s="249" t="s">
        <v>933</v>
      </c>
      <c r="N2932" s="248">
        <v>512.64</v>
      </c>
      <c r="O2932" s="248">
        <v>5856.22</v>
      </c>
      <c r="P2932" s="247" t="s">
        <v>1486</v>
      </c>
      <c r="Q2932" s="247" t="s">
        <v>85</v>
      </c>
    </row>
    <row r="2933" spans="1:17" x14ac:dyDescent="0.25">
      <c r="A2933" s="247" t="s">
        <v>646</v>
      </c>
      <c r="B2933" s="247" t="s">
        <v>265</v>
      </c>
      <c r="C2933" s="247" t="s">
        <v>1343</v>
      </c>
      <c r="D2933" s="247" t="s">
        <v>575</v>
      </c>
      <c r="E2933" s="247" t="s">
        <v>946</v>
      </c>
      <c r="F2933" s="247" t="s">
        <v>2300</v>
      </c>
      <c r="G2933" s="247" t="s">
        <v>1354</v>
      </c>
      <c r="H2933" s="247" t="s">
        <v>403</v>
      </c>
      <c r="I2933" s="247" t="s">
        <v>2301</v>
      </c>
      <c r="J2933" s="247">
        <v>40</v>
      </c>
      <c r="K2933" s="247">
        <v>40</v>
      </c>
      <c r="L2933" s="249" t="s">
        <v>652</v>
      </c>
      <c r="M2933" s="249" t="s">
        <v>933</v>
      </c>
      <c r="N2933" s="248">
        <v>556.98</v>
      </c>
      <c r="O2933" s="248">
        <v>6413.2</v>
      </c>
      <c r="P2933" s="247" t="s">
        <v>1486</v>
      </c>
      <c r="Q2933" s="247" t="s">
        <v>86</v>
      </c>
    </row>
    <row r="2934" spans="1:17" x14ac:dyDescent="0.25">
      <c r="A2934" s="247" t="s">
        <v>646</v>
      </c>
      <c r="B2934" s="247" t="s">
        <v>265</v>
      </c>
      <c r="C2934" s="247" t="s">
        <v>1343</v>
      </c>
      <c r="D2934" s="247" t="s">
        <v>575</v>
      </c>
      <c r="E2934" s="247" t="s">
        <v>946</v>
      </c>
      <c r="F2934" s="247" t="s">
        <v>2300</v>
      </c>
      <c r="G2934" s="247" t="s">
        <v>1354</v>
      </c>
      <c r="H2934" s="247" t="s">
        <v>403</v>
      </c>
      <c r="I2934" s="247" t="s">
        <v>2301</v>
      </c>
      <c r="J2934" s="247">
        <v>40</v>
      </c>
      <c r="K2934" s="247">
        <v>40</v>
      </c>
      <c r="L2934" s="249" t="s">
        <v>789</v>
      </c>
      <c r="M2934" s="249" t="s">
        <v>929</v>
      </c>
      <c r="N2934" s="248">
        <v>590.1</v>
      </c>
      <c r="O2934" s="248">
        <v>590.1</v>
      </c>
      <c r="P2934" s="247" t="s">
        <v>1486</v>
      </c>
      <c r="Q2934" s="247" t="s">
        <v>87</v>
      </c>
    </row>
    <row r="2935" spans="1:17" x14ac:dyDescent="0.25">
      <c r="A2935" s="247" t="s">
        <v>646</v>
      </c>
      <c r="B2935" s="247" t="s">
        <v>265</v>
      </c>
      <c r="C2935" s="247" t="s">
        <v>1343</v>
      </c>
      <c r="D2935" s="247" t="s">
        <v>575</v>
      </c>
      <c r="E2935" s="247" t="s">
        <v>946</v>
      </c>
      <c r="F2935" s="247" t="s">
        <v>2300</v>
      </c>
      <c r="G2935" s="247" t="s">
        <v>1354</v>
      </c>
      <c r="H2935" s="247" t="s">
        <v>403</v>
      </c>
      <c r="I2935" s="247" t="s">
        <v>2301</v>
      </c>
      <c r="J2935" s="247">
        <v>40</v>
      </c>
      <c r="K2935" s="247">
        <v>40</v>
      </c>
      <c r="L2935" s="249" t="s">
        <v>791</v>
      </c>
      <c r="M2935" s="249" t="s">
        <v>929</v>
      </c>
      <c r="N2935" s="248">
        <v>626.16</v>
      </c>
      <c r="O2935" s="248">
        <v>1216.26</v>
      </c>
      <c r="P2935" s="247" t="s">
        <v>1486</v>
      </c>
      <c r="Q2935" s="247" t="s">
        <v>88</v>
      </c>
    </row>
    <row r="2936" spans="1:17" x14ac:dyDescent="0.25">
      <c r="A2936" s="247" t="s">
        <v>646</v>
      </c>
      <c r="B2936" s="247" t="s">
        <v>265</v>
      </c>
      <c r="C2936" s="247" t="s">
        <v>1343</v>
      </c>
      <c r="D2936" s="247" t="s">
        <v>575</v>
      </c>
      <c r="E2936" s="247" t="s">
        <v>946</v>
      </c>
      <c r="F2936" s="247" t="s">
        <v>2300</v>
      </c>
      <c r="G2936" s="247" t="s">
        <v>1354</v>
      </c>
      <c r="H2936" s="247" t="s">
        <v>403</v>
      </c>
      <c r="I2936" s="247" t="s">
        <v>2301</v>
      </c>
      <c r="J2936" s="247">
        <v>40</v>
      </c>
      <c r="K2936" s="247">
        <v>40</v>
      </c>
      <c r="L2936" s="249" t="s">
        <v>935</v>
      </c>
      <c r="M2936" s="249" t="s">
        <v>929</v>
      </c>
      <c r="N2936" s="248">
        <v>630.83000000000004</v>
      </c>
      <c r="O2936" s="248">
        <v>1847.09</v>
      </c>
      <c r="P2936" s="247" t="s">
        <v>1486</v>
      </c>
      <c r="Q2936" s="247" t="s">
        <v>89</v>
      </c>
    </row>
    <row r="2937" spans="1:17" x14ac:dyDescent="0.25">
      <c r="A2937" s="247" t="s">
        <v>646</v>
      </c>
      <c r="B2937" s="247" t="s">
        <v>265</v>
      </c>
      <c r="C2937" s="247" t="s">
        <v>1343</v>
      </c>
      <c r="D2937" s="247" t="s">
        <v>575</v>
      </c>
      <c r="E2937" s="247" t="s">
        <v>946</v>
      </c>
      <c r="F2937" s="247" t="s">
        <v>2300</v>
      </c>
      <c r="G2937" s="247" t="s">
        <v>1354</v>
      </c>
      <c r="H2937" s="247" t="s">
        <v>403</v>
      </c>
      <c r="I2937" s="247" t="s">
        <v>2301</v>
      </c>
      <c r="J2937" s="247">
        <v>40</v>
      </c>
      <c r="K2937" s="247">
        <v>40</v>
      </c>
      <c r="L2937" s="249" t="s">
        <v>936</v>
      </c>
      <c r="M2937" s="249" t="s">
        <v>929</v>
      </c>
      <c r="N2937" s="248">
        <v>868.71</v>
      </c>
      <c r="O2937" s="248">
        <v>2715.8</v>
      </c>
      <c r="P2937" s="247" t="s">
        <v>1486</v>
      </c>
      <c r="Q2937" s="247" t="s">
        <v>90</v>
      </c>
    </row>
    <row r="2938" spans="1:17" x14ac:dyDescent="0.25">
      <c r="A2938" s="247" t="s">
        <v>646</v>
      </c>
      <c r="B2938" s="247" t="s">
        <v>265</v>
      </c>
      <c r="C2938" s="247" t="s">
        <v>1343</v>
      </c>
      <c r="D2938" s="247" t="s">
        <v>575</v>
      </c>
      <c r="E2938" s="247" t="s">
        <v>946</v>
      </c>
      <c r="F2938" s="247" t="s">
        <v>2300</v>
      </c>
      <c r="G2938" s="247" t="s">
        <v>1354</v>
      </c>
      <c r="H2938" s="247" t="s">
        <v>403</v>
      </c>
      <c r="I2938" s="247" t="s">
        <v>2301</v>
      </c>
      <c r="J2938" s="247">
        <v>40</v>
      </c>
      <c r="K2938" s="247">
        <v>40</v>
      </c>
      <c r="L2938" s="249" t="s">
        <v>937</v>
      </c>
      <c r="M2938" s="249" t="s">
        <v>929</v>
      </c>
      <c r="N2938" s="248">
        <v>543.99</v>
      </c>
      <c r="O2938" s="248">
        <v>3259.79</v>
      </c>
      <c r="P2938" s="247" t="s">
        <v>1486</v>
      </c>
      <c r="Q2938" s="247" t="s">
        <v>91</v>
      </c>
    </row>
    <row r="2939" spans="1:17" x14ac:dyDescent="0.25">
      <c r="A2939" s="247" t="s">
        <v>646</v>
      </c>
      <c r="B2939" s="247" t="s">
        <v>265</v>
      </c>
      <c r="C2939" s="247" t="s">
        <v>1343</v>
      </c>
      <c r="D2939" s="247" t="s">
        <v>575</v>
      </c>
      <c r="E2939" s="247" t="s">
        <v>946</v>
      </c>
      <c r="F2939" s="247" t="s">
        <v>2300</v>
      </c>
      <c r="G2939" s="247" t="s">
        <v>1354</v>
      </c>
      <c r="H2939" s="247" t="s">
        <v>403</v>
      </c>
      <c r="I2939" s="247" t="s">
        <v>2301</v>
      </c>
      <c r="J2939" s="247">
        <v>40</v>
      </c>
      <c r="K2939" s="247">
        <v>40</v>
      </c>
      <c r="L2939" s="249" t="s">
        <v>938</v>
      </c>
      <c r="M2939" s="249" t="s">
        <v>929</v>
      </c>
      <c r="N2939" s="248">
        <v>566.47</v>
      </c>
      <c r="O2939" s="248">
        <v>3826.26</v>
      </c>
      <c r="P2939" s="247" t="s">
        <v>1486</v>
      </c>
      <c r="Q2939" s="247" t="s">
        <v>92</v>
      </c>
    </row>
    <row r="2940" spans="1:17" x14ac:dyDescent="0.25">
      <c r="A2940" s="247" t="s">
        <v>646</v>
      </c>
      <c r="B2940" s="247" t="s">
        <v>265</v>
      </c>
      <c r="C2940" s="247" t="s">
        <v>1343</v>
      </c>
      <c r="D2940" s="247" t="s">
        <v>575</v>
      </c>
      <c r="E2940" s="247" t="s">
        <v>946</v>
      </c>
      <c r="F2940" s="247" t="s">
        <v>2300</v>
      </c>
      <c r="G2940" s="247" t="s">
        <v>1354</v>
      </c>
      <c r="H2940" s="247" t="s">
        <v>403</v>
      </c>
      <c r="I2940" s="247" t="s">
        <v>2301</v>
      </c>
      <c r="J2940" s="247">
        <v>40</v>
      </c>
      <c r="K2940" s="247">
        <v>40</v>
      </c>
      <c r="L2940" s="249" t="s">
        <v>939</v>
      </c>
      <c r="M2940" s="249" t="s">
        <v>929</v>
      </c>
      <c r="N2940" s="248">
        <v>582.25</v>
      </c>
      <c r="O2940" s="248">
        <v>4408.51</v>
      </c>
      <c r="P2940" s="247" t="s">
        <v>1486</v>
      </c>
      <c r="Q2940" s="247" t="s">
        <v>93</v>
      </c>
    </row>
    <row r="2941" spans="1:17" x14ac:dyDescent="0.25">
      <c r="A2941" s="247" t="s">
        <v>646</v>
      </c>
      <c r="B2941" s="247" t="s">
        <v>265</v>
      </c>
      <c r="C2941" s="247" t="s">
        <v>1343</v>
      </c>
      <c r="D2941" s="247" t="s">
        <v>575</v>
      </c>
      <c r="E2941" s="247" t="s">
        <v>946</v>
      </c>
      <c r="F2941" s="247" t="s">
        <v>2300</v>
      </c>
      <c r="G2941" s="247" t="s">
        <v>1354</v>
      </c>
      <c r="H2941" s="247" t="s">
        <v>403</v>
      </c>
      <c r="I2941" s="247" t="s">
        <v>2301</v>
      </c>
      <c r="J2941" s="247">
        <v>40</v>
      </c>
      <c r="K2941" s="247">
        <v>40</v>
      </c>
      <c r="L2941" s="249" t="s">
        <v>940</v>
      </c>
      <c r="M2941" s="249" t="s">
        <v>929</v>
      </c>
      <c r="N2941" s="248">
        <v>565.98</v>
      </c>
      <c r="O2941" s="248">
        <v>4974.49</v>
      </c>
      <c r="P2941" s="247" t="s">
        <v>1486</v>
      </c>
      <c r="Q2941" s="247" t="s">
        <v>94</v>
      </c>
    </row>
    <row r="2942" spans="1:17" x14ac:dyDescent="0.25">
      <c r="A2942" s="247" t="s">
        <v>646</v>
      </c>
      <c r="B2942" s="247" t="s">
        <v>265</v>
      </c>
      <c r="C2942" s="247" t="s">
        <v>1343</v>
      </c>
      <c r="D2942" s="247" t="s">
        <v>575</v>
      </c>
      <c r="E2942" s="247" t="s">
        <v>946</v>
      </c>
      <c r="F2942" s="247" t="s">
        <v>2300</v>
      </c>
      <c r="G2942" s="247" t="s">
        <v>1354</v>
      </c>
      <c r="H2942" s="247" t="s">
        <v>403</v>
      </c>
      <c r="I2942" s="247" t="s">
        <v>2301</v>
      </c>
      <c r="J2942" s="247">
        <v>40</v>
      </c>
      <c r="K2942" s="247">
        <v>40</v>
      </c>
      <c r="L2942" s="249" t="s">
        <v>642</v>
      </c>
      <c r="M2942" s="249" t="s">
        <v>929</v>
      </c>
      <c r="N2942" s="248">
        <v>887.58</v>
      </c>
      <c r="O2942" s="248">
        <v>5862.07</v>
      </c>
      <c r="P2942" s="247" t="s">
        <v>1486</v>
      </c>
      <c r="Q2942" s="247" t="s">
        <v>95</v>
      </c>
    </row>
    <row r="2943" spans="1:17" x14ac:dyDescent="0.25">
      <c r="A2943" s="247" t="s">
        <v>646</v>
      </c>
      <c r="B2943" s="247" t="s">
        <v>265</v>
      </c>
      <c r="C2943" s="247" t="s">
        <v>1343</v>
      </c>
      <c r="D2943" s="247" t="s">
        <v>1356</v>
      </c>
      <c r="E2943" s="247" t="s">
        <v>946</v>
      </c>
      <c r="F2943" s="247" t="s">
        <v>2302</v>
      </c>
      <c r="G2943" s="247" t="s">
        <v>1357</v>
      </c>
      <c r="H2943" s="247" t="s">
        <v>403</v>
      </c>
      <c r="I2943" s="247" t="s">
        <v>2303</v>
      </c>
      <c r="J2943" s="247">
        <v>40</v>
      </c>
      <c r="K2943" s="247">
        <v>40</v>
      </c>
      <c r="L2943" s="249" t="s">
        <v>646</v>
      </c>
      <c r="M2943" s="249" t="s">
        <v>933</v>
      </c>
      <c r="N2943" s="248">
        <v>0</v>
      </c>
      <c r="O2943" s="248">
        <v>418.31</v>
      </c>
      <c r="P2943" s="247" t="s">
        <v>1487</v>
      </c>
      <c r="Q2943" s="247" t="s">
        <v>84</v>
      </c>
    </row>
    <row r="2944" spans="1:17" x14ac:dyDescent="0.25">
      <c r="A2944" s="247" t="s">
        <v>646</v>
      </c>
      <c r="B2944" s="247" t="s">
        <v>265</v>
      </c>
      <c r="C2944" s="247" t="s">
        <v>1343</v>
      </c>
      <c r="D2944" s="247" t="s">
        <v>1356</v>
      </c>
      <c r="E2944" s="247" t="s">
        <v>946</v>
      </c>
      <c r="F2944" s="247" t="s">
        <v>2302</v>
      </c>
      <c r="G2944" s="247" t="s">
        <v>1357</v>
      </c>
      <c r="H2944" s="247" t="s">
        <v>403</v>
      </c>
      <c r="I2944" s="247" t="s">
        <v>2303</v>
      </c>
      <c r="J2944" s="247">
        <v>40</v>
      </c>
      <c r="K2944" s="247">
        <v>40</v>
      </c>
      <c r="L2944" s="249" t="s">
        <v>650</v>
      </c>
      <c r="M2944" s="249" t="s">
        <v>933</v>
      </c>
      <c r="N2944" s="248">
        <v>0</v>
      </c>
      <c r="O2944" s="248">
        <v>418.31</v>
      </c>
      <c r="P2944" s="247" t="s">
        <v>1487</v>
      </c>
      <c r="Q2944" s="247" t="s">
        <v>85</v>
      </c>
    </row>
    <row r="2945" spans="1:17" x14ac:dyDescent="0.25">
      <c r="A2945" s="247" t="s">
        <v>646</v>
      </c>
      <c r="B2945" s="247" t="s">
        <v>265</v>
      </c>
      <c r="C2945" s="247" t="s">
        <v>1343</v>
      </c>
      <c r="D2945" s="247" t="s">
        <v>1356</v>
      </c>
      <c r="E2945" s="247" t="s">
        <v>946</v>
      </c>
      <c r="F2945" s="247" t="s">
        <v>2302</v>
      </c>
      <c r="G2945" s="247" t="s">
        <v>1357</v>
      </c>
      <c r="H2945" s="247" t="s">
        <v>403</v>
      </c>
      <c r="I2945" s="247" t="s">
        <v>2303</v>
      </c>
      <c r="J2945" s="247">
        <v>40</v>
      </c>
      <c r="K2945" s="247">
        <v>40</v>
      </c>
      <c r="L2945" s="249" t="s">
        <v>652</v>
      </c>
      <c r="M2945" s="249" t="s">
        <v>933</v>
      </c>
      <c r="N2945" s="248">
        <v>24.24</v>
      </c>
      <c r="O2945" s="248">
        <v>442.55</v>
      </c>
      <c r="P2945" s="247" t="s">
        <v>1487</v>
      </c>
      <c r="Q2945" s="247" t="s">
        <v>86</v>
      </c>
    </row>
    <row r="2946" spans="1:17" x14ac:dyDescent="0.25">
      <c r="A2946" s="247" t="s">
        <v>646</v>
      </c>
      <c r="B2946" s="247" t="s">
        <v>265</v>
      </c>
      <c r="C2946" s="247" t="s">
        <v>1343</v>
      </c>
      <c r="D2946" s="247" t="s">
        <v>1356</v>
      </c>
      <c r="E2946" s="247" t="s">
        <v>946</v>
      </c>
      <c r="F2946" s="247" t="s">
        <v>2302</v>
      </c>
      <c r="G2946" s="247" t="s">
        <v>1357</v>
      </c>
      <c r="H2946" s="247" t="s">
        <v>403</v>
      </c>
      <c r="I2946" s="247" t="s">
        <v>2303</v>
      </c>
      <c r="J2946" s="247">
        <v>40</v>
      </c>
      <c r="K2946" s="247">
        <v>40</v>
      </c>
      <c r="L2946" s="249" t="s">
        <v>789</v>
      </c>
      <c r="M2946" s="249" t="s">
        <v>929</v>
      </c>
      <c r="N2946" s="248">
        <v>244.17</v>
      </c>
      <c r="O2946" s="248">
        <v>244.17</v>
      </c>
      <c r="P2946" s="247" t="s">
        <v>1487</v>
      </c>
      <c r="Q2946" s="247" t="s">
        <v>87</v>
      </c>
    </row>
    <row r="2947" spans="1:17" x14ac:dyDescent="0.25">
      <c r="A2947" s="247" t="s">
        <v>646</v>
      </c>
      <c r="B2947" s="247" t="s">
        <v>265</v>
      </c>
      <c r="C2947" s="247" t="s">
        <v>1343</v>
      </c>
      <c r="D2947" s="247" t="s">
        <v>1356</v>
      </c>
      <c r="E2947" s="247" t="s">
        <v>946</v>
      </c>
      <c r="F2947" s="247" t="s">
        <v>2302</v>
      </c>
      <c r="G2947" s="247" t="s">
        <v>1357</v>
      </c>
      <c r="H2947" s="247" t="s">
        <v>403</v>
      </c>
      <c r="I2947" s="247" t="s">
        <v>2303</v>
      </c>
      <c r="J2947" s="247">
        <v>40</v>
      </c>
      <c r="K2947" s="247">
        <v>40</v>
      </c>
      <c r="L2947" s="249" t="s">
        <v>791</v>
      </c>
      <c r="M2947" s="249" t="s">
        <v>929</v>
      </c>
      <c r="N2947" s="248">
        <v>230.81</v>
      </c>
      <c r="O2947" s="248">
        <v>474.98</v>
      </c>
      <c r="P2947" s="247" t="s">
        <v>1487</v>
      </c>
      <c r="Q2947" s="247" t="s">
        <v>88</v>
      </c>
    </row>
    <row r="2948" spans="1:17" x14ac:dyDescent="0.25">
      <c r="A2948" s="247" t="s">
        <v>646</v>
      </c>
      <c r="B2948" s="247" t="s">
        <v>265</v>
      </c>
      <c r="C2948" s="247" t="s">
        <v>1343</v>
      </c>
      <c r="D2948" s="247" t="s">
        <v>1356</v>
      </c>
      <c r="E2948" s="247" t="s">
        <v>946</v>
      </c>
      <c r="F2948" s="247" t="s">
        <v>2302</v>
      </c>
      <c r="G2948" s="247" t="s">
        <v>1357</v>
      </c>
      <c r="H2948" s="247" t="s">
        <v>403</v>
      </c>
      <c r="I2948" s="247" t="s">
        <v>2303</v>
      </c>
      <c r="J2948" s="247">
        <v>40</v>
      </c>
      <c r="K2948" s="247">
        <v>40</v>
      </c>
      <c r="L2948" s="249" t="s">
        <v>935</v>
      </c>
      <c r="M2948" s="249" t="s">
        <v>929</v>
      </c>
      <c r="N2948" s="248">
        <v>29.01</v>
      </c>
      <c r="O2948" s="248">
        <v>503.99</v>
      </c>
      <c r="P2948" s="247" t="s">
        <v>1487</v>
      </c>
      <c r="Q2948" s="247" t="s">
        <v>89</v>
      </c>
    </row>
    <row r="2949" spans="1:17" x14ac:dyDescent="0.25">
      <c r="A2949" s="247" t="s">
        <v>646</v>
      </c>
      <c r="B2949" s="247" t="s">
        <v>265</v>
      </c>
      <c r="C2949" s="247" t="s">
        <v>1343</v>
      </c>
      <c r="D2949" s="247" t="s">
        <v>1356</v>
      </c>
      <c r="E2949" s="247" t="s">
        <v>946</v>
      </c>
      <c r="F2949" s="247" t="s">
        <v>2302</v>
      </c>
      <c r="G2949" s="247" t="s">
        <v>1357</v>
      </c>
      <c r="H2949" s="247" t="s">
        <v>403</v>
      </c>
      <c r="I2949" s="247" t="s">
        <v>2303</v>
      </c>
      <c r="J2949" s="247">
        <v>40</v>
      </c>
      <c r="K2949" s="247">
        <v>40</v>
      </c>
      <c r="L2949" s="249" t="s">
        <v>936</v>
      </c>
      <c r="M2949" s="249" t="s">
        <v>929</v>
      </c>
      <c r="N2949" s="248">
        <v>0</v>
      </c>
      <c r="O2949" s="248">
        <v>503.99</v>
      </c>
      <c r="P2949" s="247" t="s">
        <v>1487</v>
      </c>
      <c r="Q2949" s="247" t="s">
        <v>90</v>
      </c>
    </row>
    <row r="2950" spans="1:17" x14ac:dyDescent="0.25">
      <c r="A2950" s="247" t="s">
        <v>646</v>
      </c>
      <c r="B2950" s="247" t="s">
        <v>265</v>
      </c>
      <c r="C2950" s="247" t="s">
        <v>1343</v>
      </c>
      <c r="D2950" s="247" t="s">
        <v>1356</v>
      </c>
      <c r="E2950" s="247" t="s">
        <v>946</v>
      </c>
      <c r="F2950" s="247" t="s">
        <v>2302</v>
      </c>
      <c r="G2950" s="247" t="s">
        <v>1357</v>
      </c>
      <c r="H2950" s="247" t="s">
        <v>403</v>
      </c>
      <c r="I2950" s="247" t="s">
        <v>2303</v>
      </c>
      <c r="J2950" s="247">
        <v>40</v>
      </c>
      <c r="K2950" s="247">
        <v>40</v>
      </c>
      <c r="L2950" s="249" t="s">
        <v>937</v>
      </c>
      <c r="M2950" s="249" t="s">
        <v>929</v>
      </c>
      <c r="N2950" s="248">
        <v>3.37</v>
      </c>
      <c r="O2950" s="248">
        <v>507.36</v>
      </c>
      <c r="P2950" s="247" t="s">
        <v>1487</v>
      </c>
      <c r="Q2950" s="247" t="s">
        <v>91</v>
      </c>
    </row>
    <row r="2951" spans="1:17" x14ac:dyDescent="0.25">
      <c r="A2951" s="247" t="s">
        <v>646</v>
      </c>
      <c r="B2951" s="247" t="s">
        <v>265</v>
      </c>
      <c r="C2951" s="247" t="s">
        <v>1343</v>
      </c>
      <c r="D2951" s="247" t="s">
        <v>1356</v>
      </c>
      <c r="E2951" s="247" t="s">
        <v>946</v>
      </c>
      <c r="F2951" s="247" t="s">
        <v>2302</v>
      </c>
      <c r="G2951" s="247" t="s">
        <v>1357</v>
      </c>
      <c r="H2951" s="247" t="s">
        <v>403</v>
      </c>
      <c r="I2951" s="247" t="s">
        <v>2303</v>
      </c>
      <c r="J2951" s="247">
        <v>40</v>
      </c>
      <c r="K2951" s="247">
        <v>40</v>
      </c>
      <c r="L2951" s="249" t="s">
        <v>938</v>
      </c>
      <c r="M2951" s="249" t="s">
        <v>929</v>
      </c>
      <c r="N2951" s="248">
        <v>16.61</v>
      </c>
      <c r="O2951" s="248">
        <v>523.97</v>
      </c>
      <c r="P2951" s="247" t="s">
        <v>1487</v>
      </c>
      <c r="Q2951" s="247" t="s">
        <v>92</v>
      </c>
    </row>
    <row r="2952" spans="1:17" x14ac:dyDescent="0.25">
      <c r="A2952" s="247" t="s">
        <v>646</v>
      </c>
      <c r="B2952" s="247" t="s">
        <v>265</v>
      </c>
      <c r="C2952" s="247" t="s">
        <v>1343</v>
      </c>
      <c r="D2952" s="247" t="s">
        <v>1356</v>
      </c>
      <c r="E2952" s="247" t="s">
        <v>946</v>
      </c>
      <c r="F2952" s="247" t="s">
        <v>2302</v>
      </c>
      <c r="G2952" s="247" t="s">
        <v>1357</v>
      </c>
      <c r="H2952" s="247" t="s">
        <v>403</v>
      </c>
      <c r="I2952" s="247" t="s">
        <v>2303</v>
      </c>
      <c r="J2952" s="247">
        <v>40</v>
      </c>
      <c r="K2952" s="247">
        <v>40</v>
      </c>
      <c r="L2952" s="249" t="s">
        <v>939</v>
      </c>
      <c r="M2952" s="249" t="s">
        <v>929</v>
      </c>
      <c r="N2952" s="248">
        <v>34</v>
      </c>
      <c r="O2952" s="248">
        <v>557.97</v>
      </c>
      <c r="P2952" s="247" t="s">
        <v>1487</v>
      </c>
      <c r="Q2952" s="247" t="s">
        <v>93</v>
      </c>
    </row>
    <row r="2953" spans="1:17" x14ac:dyDescent="0.25">
      <c r="A2953" s="247" t="s">
        <v>646</v>
      </c>
      <c r="B2953" s="247" t="s">
        <v>265</v>
      </c>
      <c r="C2953" s="247" t="s">
        <v>1343</v>
      </c>
      <c r="D2953" s="247" t="s">
        <v>1356</v>
      </c>
      <c r="E2953" s="247" t="s">
        <v>946</v>
      </c>
      <c r="F2953" s="247" t="s">
        <v>2302</v>
      </c>
      <c r="G2953" s="247" t="s">
        <v>1357</v>
      </c>
      <c r="H2953" s="247" t="s">
        <v>403</v>
      </c>
      <c r="I2953" s="247" t="s">
        <v>2303</v>
      </c>
      <c r="J2953" s="247">
        <v>40</v>
      </c>
      <c r="K2953" s="247">
        <v>40</v>
      </c>
      <c r="L2953" s="249" t="s">
        <v>940</v>
      </c>
      <c r="M2953" s="249" t="s">
        <v>929</v>
      </c>
      <c r="N2953" s="248">
        <v>40.98</v>
      </c>
      <c r="O2953" s="248">
        <v>598.95000000000005</v>
      </c>
      <c r="P2953" s="247" t="s">
        <v>1487</v>
      </c>
      <c r="Q2953" s="247" t="s">
        <v>94</v>
      </c>
    </row>
    <row r="2954" spans="1:17" x14ac:dyDescent="0.25">
      <c r="A2954" s="247" t="s">
        <v>646</v>
      </c>
      <c r="B2954" s="247" t="s">
        <v>265</v>
      </c>
      <c r="C2954" s="247" t="s">
        <v>1343</v>
      </c>
      <c r="D2954" s="247" t="s">
        <v>1356</v>
      </c>
      <c r="E2954" s="247" t="s">
        <v>946</v>
      </c>
      <c r="F2954" s="247" t="s">
        <v>2302</v>
      </c>
      <c r="G2954" s="247" t="s">
        <v>1357</v>
      </c>
      <c r="H2954" s="247" t="s">
        <v>403</v>
      </c>
      <c r="I2954" s="247" t="s">
        <v>2303</v>
      </c>
      <c r="J2954" s="247">
        <v>40</v>
      </c>
      <c r="K2954" s="247">
        <v>40</v>
      </c>
      <c r="L2954" s="249" t="s">
        <v>642</v>
      </c>
      <c r="M2954" s="249" t="s">
        <v>929</v>
      </c>
      <c r="N2954" s="248">
        <v>31.03</v>
      </c>
      <c r="O2954" s="248">
        <v>629.98</v>
      </c>
      <c r="P2954" s="247" t="s">
        <v>1487</v>
      </c>
      <c r="Q2954" s="247" t="s">
        <v>95</v>
      </c>
    </row>
    <row r="2955" spans="1:17" x14ac:dyDescent="0.25">
      <c r="A2955" s="247" t="s">
        <v>646</v>
      </c>
      <c r="B2955" s="247" t="s">
        <v>265</v>
      </c>
      <c r="C2955" s="247" t="s">
        <v>1343</v>
      </c>
      <c r="D2955" s="247" t="s">
        <v>946</v>
      </c>
      <c r="E2955" s="247" t="s">
        <v>946</v>
      </c>
      <c r="F2955" s="247" t="s">
        <v>2304</v>
      </c>
      <c r="G2955" s="247" t="s">
        <v>1359</v>
      </c>
      <c r="H2955" s="247" t="s">
        <v>403</v>
      </c>
      <c r="I2955" s="247" t="s">
        <v>2305</v>
      </c>
      <c r="J2955" s="247">
        <v>40</v>
      </c>
      <c r="K2955" s="247">
        <v>40</v>
      </c>
      <c r="L2955" s="249" t="s">
        <v>646</v>
      </c>
      <c r="M2955" s="249" t="s">
        <v>933</v>
      </c>
      <c r="N2955" s="248">
        <v>178.29</v>
      </c>
      <c r="O2955" s="248">
        <v>1506.39</v>
      </c>
      <c r="P2955" s="247" t="s">
        <v>1488</v>
      </c>
      <c r="Q2955" s="247" t="s">
        <v>84</v>
      </c>
    </row>
    <row r="2956" spans="1:17" x14ac:dyDescent="0.25">
      <c r="A2956" s="247" t="s">
        <v>646</v>
      </c>
      <c r="B2956" s="247" t="s">
        <v>265</v>
      </c>
      <c r="C2956" s="247" t="s">
        <v>1343</v>
      </c>
      <c r="D2956" s="247" t="s">
        <v>946</v>
      </c>
      <c r="E2956" s="247" t="s">
        <v>946</v>
      </c>
      <c r="F2956" s="247" t="s">
        <v>2304</v>
      </c>
      <c r="G2956" s="247" t="s">
        <v>1359</v>
      </c>
      <c r="H2956" s="247" t="s">
        <v>403</v>
      </c>
      <c r="I2956" s="247" t="s">
        <v>2305</v>
      </c>
      <c r="J2956" s="247">
        <v>40</v>
      </c>
      <c r="K2956" s="247">
        <v>40</v>
      </c>
      <c r="L2956" s="249" t="s">
        <v>650</v>
      </c>
      <c r="M2956" s="249" t="s">
        <v>933</v>
      </c>
      <c r="N2956" s="248">
        <v>46.24</v>
      </c>
      <c r="O2956" s="248">
        <v>1552.63</v>
      </c>
      <c r="P2956" s="247" t="s">
        <v>1488</v>
      </c>
      <c r="Q2956" s="247" t="s">
        <v>85</v>
      </c>
    </row>
    <row r="2957" spans="1:17" x14ac:dyDescent="0.25">
      <c r="A2957" s="247" t="s">
        <v>646</v>
      </c>
      <c r="B2957" s="247" t="s">
        <v>265</v>
      </c>
      <c r="C2957" s="247" t="s">
        <v>1343</v>
      </c>
      <c r="D2957" s="247" t="s">
        <v>946</v>
      </c>
      <c r="E2957" s="247" t="s">
        <v>946</v>
      </c>
      <c r="F2957" s="247" t="s">
        <v>2304</v>
      </c>
      <c r="G2957" s="247" t="s">
        <v>1359</v>
      </c>
      <c r="H2957" s="247" t="s">
        <v>403</v>
      </c>
      <c r="I2957" s="247" t="s">
        <v>2305</v>
      </c>
      <c r="J2957" s="247">
        <v>40</v>
      </c>
      <c r="K2957" s="247">
        <v>40</v>
      </c>
      <c r="L2957" s="249" t="s">
        <v>652</v>
      </c>
      <c r="M2957" s="249" t="s">
        <v>933</v>
      </c>
      <c r="N2957" s="248">
        <v>45.14</v>
      </c>
      <c r="O2957" s="248">
        <v>1597.77</v>
      </c>
      <c r="P2957" s="247" t="s">
        <v>1488</v>
      </c>
      <c r="Q2957" s="247" t="s">
        <v>86</v>
      </c>
    </row>
    <row r="2958" spans="1:17" x14ac:dyDescent="0.25">
      <c r="A2958" s="247" t="s">
        <v>646</v>
      </c>
      <c r="B2958" s="247" t="s">
        <v>265</v>
      </c>
      <c r="C2958" s="247" t="s">
        <v>1343</v>
      </c>
      <c r="D2958" s="247" t="s">
        <v>946</v>
      </c>
      <c r="E2958" s="247" t="s">
        <v>946</v>
      </c>
      <c r="F2958" s="247" t="s">
        <v>2304</v>
      </c>
      <c r="G2958" s="247" t="s">
        <v>1359</v>
      </c>
      <c r="H2958" s="247" t="s">
        <v>403</v>
      </c>
      <c r="I2958" s="247" t="s">
        <v>2305</v>
      </c>
      <c r="J2958" s="247">
        <v>40</v>
      </c>
      <c r="K2958" s="247">
        <v>40</v>
      </c>
      <c r="L2958" s="249" t="s">
        <v>789</v>
      </c>
      <c r="M2958" s="249" t="s">
        <v>929</v>
      </c>
      <c r="N2958" s="248">
        <v>159.72</v>
      </c>
      <c r="O2958" s="248">
        <v>159.72</v>
      </c>
      <c r="P2958" s="247" t="s">
        <v>1488</v>
      </c>
      <c r="Q2958" s="247" t="s">
        <v>87</v>
      </c>
    </row>
    <row r="2959" spans="1:17" x14ac:dyDescent="0.25">
      <c r="A2959" s="247" t="s">
        <v>646</v>
      </c>
      <c r="B2959" s="247" t="s">
        <v>265</v>
      </c>
      <c r="C2959" s="247" t="s">
        <v>1343</v>
      </c>
      <c r="D2959" s="247" t="s">
        <v>946</v>
      </c>
      <c r="E2959" s="247" t="s">
        <v>946</v>
      </c>
      <c r="F2959" s="247" t="s">
        <v>2304</v>
      </c>
      <c r="G2959" s="247" t="s">
        <v>1359</v>
      </c>
      <c r="H2959" s="247" t="s">
        <v>403</v>
      </c>
      <c r="I2959" s="247" t="s">
        <v>2305</v>
      </c>
      <c r="J2959" s="247">
        <v>40</v>
      </c>
      <c r="K2959" s="247">
        <v>40</v>
      </c>
      <c r="L2959" s="249" t="s">
        <v>791</v>
      </c>
      <c r="M2959" s="249" t="s">
        <v>929</v>
      </c>
      <c r="N2959" s="248">
        <v>159.77000000000001</v>
      </c>
      <c r="O2959" s="248">
        <v>319.49</v>
      </c>
      <c r="P2959" s="247" t="s">
        <v>1488</v>
      </c>
      <c r="Q2959" s="247" t="s">
        <v>88</v>
      </c>
    </row>
    <row r="2960" spans="1:17" x14ac:dyDescent="0.25">
      <c r="A2960" s="247" t="s">
        <v>646</v>
      </c>
      <c r="B2960" s="247" t="s">
        <v>265</v>
      </c>
      <c r="C2960" s="247" t="s">
        <v>1343</v>
      </c>
      <c r="D2960" s="247" t="s">
        <v>946</v>
      </c>
      <c r="E2960" s="247" t="s">
        <v>946</v>
      </c>
      <c r="F2960" s="247" t="s">
        <v>2304</v>
      </c>
      <c r="G2960" s="247" t="s">
        <v>1359</v>
      </c>
      <c r="H2960" s="247" t="s">
        <v>403</v>
      </c>
      <c r="I2960" s="247" t="s">
        <v>2305</v>
      </c>
      <c r="J2960" s="247">
        <v>40</v>
      </c>
      <c r="K2960" s="247">
        <v>40</v>
      </c>
      <c r="L2960" s="249" t="s">
        <v>935</v>
      </c>
      <c r="M2960" s="249" t="s">
        <v>929</v>
      </c>
      <c r="N2960" s="248">
        <v>160.94999999999999</v>
      </c>
      <c r="O2960" s="248">
        <v>480.44</v>
      </c>
      <c r="P2960" s="247" t="s">
        <v>1488</v>
      </c>
      <c r="Q2960" s="247" t="s">
        <v>89</v>
      </c>
    </row>
    <row r="2961" spans="1:17" x14ac:dyDescent="0.25">
      <c r="A2961" s="247" t="s">
        <v>646</v>
      </c>
      <c r="B2961" s="247" t="s">
        <v>265</v>
      </c>
      <c r="C2961" s="247" t="s">
        <v>1343</v>
      </c>
      <c r="D2961" s="247" t="s">
        <v>946</v>
      </c>
      <c r="E2961" s="247" t="s">
        <v>946</v>
      </c>
      <c r="F2961" s="247" t="s">
        <v>2304</v>
      </c>
      <c r="G2961" s="247" t="s">
        <v>1359</v>
      </c>
      <c r="H2961" s="247" t="s">
        <v>403</v>
      </c>
      <c r="I2961" s="247" t="s">
        <v>2305</v>
      </c>
      <c r="J2961" s="247">
        <v>40</v>
      </c>
      <c r="K2961" s="247">
        <v>40</v>
      </c>
      <c r="L2961" s="249" t="s">
        <v>936</v>
      </c>
      <c r="M2961" s="249" t="s">
        <v>929</v>
      </c>
      <c r="N2961" s="248">
        <v>221.67</v>
      </c>
      <c r="O2961" s="248">
        <v>702.11</v>
      </c>
      <c r="P2961" s="247" t="s">
        <v>1488</v>
      </c>
      <c r="Q2961" s="247" t="s">
        <v>90</v>
      </c>
    </row>
    <row r="2962" spans="1:17" x14ac:dyDescent="0.25">
      <c r="A2962" s="247" t="s">
        <v>646</v>
      </c>
      <c r="B2962" s="247" t="s">
        <v>265</v>
      </c>
      <c r="C2962" s="247" t="s">
        <v>1343</v>
      </c>
      <c r="D2962" s="247" t="s">
        <v>946</v>
      </c>
      <c r="E2962" s="247" t="s">
        <v>946</v>
      </c>
      <c r="F2962" s="247" t="s">
        <v>2304</v>
      </c>
      <c r="G2962" s="247" t="s">
        <v>1359</v>
      </c>
      <c r="H2962" s="247" t="s">
        <v>403</v>
      </c>
      <c r="I2962" s="247" t="s">
        <v>2305</v>
      </c>
      <c r="J2962" s="247">
        <v>40</v>
      </c>
      <c r="K2962" s="247">
        <v>40</v>
      </c>
      <c r="L2962" s="249" t="s">
        <v>937</v>
      </c>
      <c r="M2962" s="249" t="s">
        <v>929</v>
      </c>
      <c r="N2962" s="248">
        <v>138.78</v>
      </c>
      <c r="O2962" s="248">
        <v>840.89</v>
      </c>
      <c r="P2962" s="247" t="s">
        <v>1488</v>
      </c>
      <c r="Q2962" s="247" t="s">
        <v>91</v>
      </c>
    </row>
    <row r="2963" spans="1:17" x14ac:dyDescent="0.25">
      <c r="A2963" s="247" t="s">
        <v>646</v>
      </c>
      <c r="B2963" s="247" t="s">
        <v>265</v>
      </c>
      <c r="C2963" s="247" t="s">
        <v>1343</v>
      </c>
      <c r="D2963" s="247" t="s">
        <v>946</v>
      </c>
      <c r="E2963" s="247" t="s">
        <v>946</v>
      </c>
      <c r="F2963" s="247" t="s">
        <v>2304</v>
      </c>
      <c r="G2963" s="247" t="s">
        <v>1359</v>
      </c>
      <c r="H2963" s="247" t="s">
        <v>403</v>
      </c>
      <c r="I2963" s="247" t="s">
        <v>2305</v>
      </c>
      <c r="J2963" s="247">
        <v>40</v>
      </c>
      <c r="K2963" s="247">
        <v>40</v>
      </c>
      <c r="L2963" s="249" t="s">
        <v>938</v>
      </c>
      <c r="M2963" s="249" t="s">
        <v>929</v>
      </c>
      <c r="N2963" s="248">
        <v>144.54</v>
      </c>
      <c r="O2963" s="248">
        <v>985.43</v>
      </c>
      <c r="P2963" s="247" t="s">
        <v>1488</v>
      </c>
      <c r="Q2963" s="247" t="s">
        <v>92</v>
      </c>
    </row>
    <row r="2964" spans="1:17" x14ac:dyDescent="0.25">
      <c r="A2964" s="247" t="s">
        <v>646</v>
      </c>
      <c r="B2964" s="247" t="s">
        <v>265</v>
      </c>
      <c r="C2964" s="247" t="s">
        <v>1343</v>
      </c>
      <c r="D2964" s="247" t="s">
        <v>946</v>
      </c>
      <c r="E2964" s="247" t="s">
        <v>946</v>
      </c>
      <c r="F2964" s="247" t="s">
        <v>2304</v>
      </c>
      <c r="G2964" s="247" t="s">
        <v>1359</v>
      </c>
      <c r="H2964" s="247" t="s">
        <v>403</v>
      </c>
      <c r="I2964" s="247" t="s">
        <v>2305</v>
      </c>
      <c r="J2964" s="247">
        <v>40</v>
      </c>
      <c r="K2964" s="247">
        <v>40</v>
      </c>
      <c r="L2964" s="249" t="s">
        <v>939</v>
      </c>
      <c r="M2964" s="249" t="s">
        <v>929</v>
      </c>
      <c r="N2964" s="248">
        <v>148.56</v>
      </c>
      <c r="O2964" s="248">
        <v>1133.99</v>
      </c>
      <c r="P2964" s="247" t="s">
        <v>1488</v>
      </c>
      <c r="Q2964" s="247" t="s">
        <v>93</v>
      </c>
    </row>
    <row r="2965" spans="1:17" x14ac:dyDescent="0.25">
      <c r="A2965" s="247" t="s">
        <v>646</v>
      </c>
      <c r="B2965" s="247" t="s">
        <v>265</v>
      </c>
      <c r="C2965" s="247" t="s">
        <v>1343</v>
      </c>
      <c r="D2965" s="247" t="s">
        <v>946</v>
      </c>
      <c r="E2965" s="247" t="s">
        <v>946</v>
      </c>
      <c r="F2965" s="247" t="s">
        <v>2304</v>
      </c>
      <c r="G2965" s="247" t="s">
        <v>1359</v>
      </c>
      <c r="H2965" s="247" t="s">
        <v>403</v>
      </c>
      <c r="I2965" s="247" t="s">
        <v>2305</v>
      </c>
      <c r="J2965" s="247">
        <v>40</v>
      </c>
      <c r="K2965" s="247">
        <v>40</v>
      </c>
      <c r="L2965" s="249" t="s">
        <v>940</v>
      </c>
      <c r="M2965" s="249" t="s">
        <v>929</v>
      </c>
      <c r="N2965" s="248">
        <v>144.41999999999999</v>
      </c>
      <c r="O2965" s="248">
        <v>1278.4100000000001</v>
      </c>
      <c r="P2965" s="247" t="s">
        <v>1488</v>
      </c>
      <c r="Q2965" s="247" t="s">
        <v>94</v>
      </c>
    </row>
    <row r="2966" spans="1:17" x14ac:dyDescent="0.25">
      <c r="A2966" s="247" t="s">
        <v>646</v>
      </c>
      <c r="B2966" s="247" t="s">
        <v>265</v>
      </c>
      <c r="C2966" s="247" t="s">
        <v>1343</v>
      </c>
      <c r="D2966" s="247" t="s">
        <v>946</v>
      </c>
      <c r="E2966" s="247" t="s">
        <v>946</v>
      </c>
      <c r="F2966" s="247" t="s">
        <v>2304</v>
      </c>
      <c r="G2966" s="247" t="s">
        <v>1359</v>
      </c>
      <c r="H2966" s="247" t="s">
        <v>403</v>
      </c>
      <c r="I2966" s="247" t="s">
        <v>2305</v>
      </c>
      <c r="J2966" s="247">
        <v>40</v>
      </c>
      <c r="K2966" s="247">
        <v>40</v>
      </c>
      <c r="L2966" s="249" t="s">
        <v>642</v>
      </c>
      <c r="M2966" s="249" t="s">
        <v>929</v>
      </c>
      <c r="N2966" s="248">
        <v>226.55</v>
      </c>
      <c r="O2966" s="248">
        <v>1504.96</v>
      </c>
      <c r="P2966" s="247" t="s">
        <v>1488</v>
      </c>
      <c r="Q2966" s="247" t="s">
        <v>95</v>
      </c>
    </row>
    <row r="2967" spans="1:17" x14ac:dyDescent="0.25">
      <c r="A2967" s="247" t="s">
        <v>646</v>
      </c>
      <c r="B2967" s="247" t="s">
        <v>265</v>
      </c>
      <c r="C2967" s="247" t="s">
        <v>1343</v>
      </c>
      <c r="D2967" s="247" t="s">
        <v>1361</v>
      </c>
      <c r="E2967" s="247" t="s">
        <v>946</v>
      </c>
      <c r="F2967" s="247" t="s">
        <v>2306</v>
      </c>
      <c r="G2967" s="247" t="s">
        <v>1362</v>
      </c>
      <c r="H2967" s="247" t="s">
        <v>403</v>
      </c>
      <c r="I2967" s="247" t="s">
        <v>2307</v>
      </c>
      <c r="J2967" s="247">
        <v>39</v>
      </c>
      <c r="K2967" s="247">
        <v>39</v>
      </c>
      <c r="L2967" s="249" t="s">
        <v>646</v>
      </c>
      <c r="M2967" s="249" t="s">
        <v>933</v>
      </c>
      <c r="N2967" s="248">
        <v>4262.62</v>
      </c>
      <c r="O2967" s="248">
        <v>21174.58</v>
      </c>
      <c r="P2967" s="247" t="s">
        <v>1489</v>
      </c>
      <c r="Q2967" s="247" t="s">
        <v>84</v>
      </c>
    </row>
    <row r="2968" spans="1:17" x14ac:dyDescent="0.25">
      <c r="A2968" s="247" t="s">
        <v>646</v>
      </c>
      <c r="B2968" s="247" t="s">
        <v>265</v>
      </c>
      <c r="C2968" s="247" t="s">
        <v>1343</v>
      </c>
      <c r="D2968" s="247" t="s">
        <v>1361</v>
      </c>
      <c r="E2968" s="247" t="s">
        <v>946</v>
      </c>
      <c r="F2968" s="247" t="s">
        <v>2306</v>
      </c>
      <c r="G2968" s="247" t="s">
        <v>1362</v>
      </c>
      <c r="H2968" s="247" t="s">
        <v>403</v>
      </c>
      <c r="I2968" s="247" t="s">
        <v>2307</v>
      </c>
      <c r="J2968" s="247">
        <v>39</v>
      </c>
      <c r="K2968" s="247">
        <v>39</v>
      </c>
      <c r="L2968" s="249" t="s">
        <v>650</v>
      </c>
      <c r="M2968" s="249" t="s">
        <v>933</v>
      </c>
      <c r="N2968" s="248">
        <v>2788.93</v>
      </c>
      <c r="O2968" s="248">
        <v>23963.51</v>
      </c>
      <c r="P2968" s="247" t="s">
        <v>1489</v>
      </c>
      <c r="Q2968" s="247" t="s">
        <v>85</v>
      </c>
    </row>
    <row r="2969" spans="1:17" x14ac:dyDescent="0.25">
      <c r="A2969" s="247" t="s">
        <v>646</v>
      </c>
      <c r="B2969" s="247" t="s">
        <v>265</v>
      </c>
      <c r="C2969" s="247" t="s">
        <v>1343</v>
      </c>
      <c r="D2969" s="247" t="s">
        <v>1361</v>
      </c>
      <c r="E2969" s="247" t="s">
        <v>946</v>
      </c>
      <c r="F2969" s="247" t="s">
        <v>2306</v>
      </c>
      <c r="G2969" s="247" t="s">
        <v>1362</v>
      </c>
      <c r="H2969" s="247" t="s">
        <v>403</v>
      </c>
      <c r="I2969" s="247" t="s">
        <v>2307</v>
      </c>
      <c r="J2969" s="247">
        <v>39</v>
      </c>
      <c r="K2969" s="247">
        <v>39</v>
      </c>
      <c r="L2969" s="249" t="s">
        <v>652</v>
      </c>
      <c r="M2969" s="249" t="s">
        <v>933</v>
      </c>
      <c r="N2969" s="248">
        <v>3157.86</v>
      </c>
      <c r="O2969" s="248">
        <v>27121.37</v>
      </c>
      <c r="P2969" s="247" t="s">
        <v>1489</v>
      </c>
      <c r="Q2969" s="247" t="s">
        <v>86</v>
      </c>
    </row>
    <row r="2970" spans="1:17" x14ac:dyDescent="0.25">
      <c r="A2970" s="247" t="s">
        <v>646</v>
      </c>
      <c r="B2970" s="247" t="s">
        <v>265</v>
      </c>
      <c r="C2970" s="247" t="s">
        <v>1343</v>
      </c>
      <c r="D2970" s="247" t="s">
        <v>1361</v>
      </c>
      <c r="E2970" s="247" t="s">
        <v>946</v>
      </c>
      <c r="F2970" s="247" t="s">
        <v>2306</v>
      </c>
      <c r="G2970" s="247" t="s">
        <v>1362</v>
      </c>
      <c r="H2970" s="247" t="s">
        <v>403</v>
      </c>
      <c r="I2970" s="247" t="s">
        <v>2307</v>
      </c>
      <c r="J2970" s="247">
        <v>39</v>
      </c>
      <c r="K2970" s="247">
        <v>39</v>
      </c>
      <c r="L2970" s="249" t="s">
        <v>789</v>
      </c>
      <c r="M2970" s="249" t="s">
        <v>929</v>
      </c>
      <c r="N2970" s="248">
        <v>3251.17</v>
      </c>
      <c r="O2970" s="248">
        <v>3251.17</v>
      </c>
      <c r="P2970" s="247" t="s">
        <v>1489</v>
      </c>
      <c r="Q2970" s="247" t="s">
        <v>87</v>
      </c>
    </row>
    <row r="2971" spans="1:17" x14ac:dyDescent="0.25">
      <c r="A2971" s="247" t="s">
        <v>646</v>
      </c>
      <c r="B2971" s="247" t="s">
        <v>265</v>
      </c>
      <c r="C2971" s="247" t="s">
        <v>1343</v>
      </c>
      <c r="D2971" s="247" t="s">
        <v>1361</v>
      </c>
      <c r="E2971" s="247" t="s">
        <v>946</v>
      </c>
      <c r="F2971" s="247" t="s">
        <v>2306</v>
      </c>
      <c r="G2971" s="247" t="s">
        <v>1362</v>
      </c>
      <c r="H2971" s="247" t="s">
        <v>403</v>
      </c>
      <c r="I2971" s="247" t="s">
        <v>2307</v>
      </c>
      <c r="J2971" s="247">
        <v>39</v>
      </c>
      <c r="K2971" s="247">
        <v>39</v>
      </c>
      <c r="L2971" s="249" t="s">
        <v>791</v>
      </c>
      <c r="M2971" s="249" t="s">
        <v>929</v>
      </c>
      <c r="N2971" s="248">
        <v>3872.12</v>
      </c>
      <c r="O2971" s="248">
        <v>7123.29</v>
      </c>
      <c r="P2971" s="247" t="s">
        <v>1489</v>
      </c>
      <c r="Q2971" s="247" t="s">
        <v>88</v>
      </c>
    </row>
    <row r="2972" spans="1:17" x14ac:dyDescent="0.25">
      <c r="A2972" s="247" t="s">
        <v>646</v>
      </c>
      <c r="B2972" s="247" t="s">
        <v>265</v>
      </c>
      <c r="C2972" s="247" t="s">
        <v>1343</v>
      </c>
      <c r="D2972" s="247" t="s">
        <v>1361</v>
      </c>
      <c r="E2972" s="247" t="s">
        <v>946</v>
      </c>
      <c r="F2972" s="247" t="s">
        <v>2306</v>
      </c>
      <c r="G2972" s="247" t="s">
        <v>1362</v>
      </c>
      <c r="H2972" s="247" t="s">
        <v>403</v>
      </c>
      <c r="I2972" s="247" t="s">
        <v>2307</v>
      </c>
      <c r="J2972" s="247">
        <v>39</v>
      </c>
      <c r="K2972" s="247">
        <v>39</v>
      </c>
      <c r="L2972" s="249" t="s">
        <v>935</v>
      </c>
      <c r="M2972" s="249" t="s">
        <v>929</v>
      </c>
      <c r="N2972" s="248">
        <v>3878.2</v>
      </c>
      <c r="O2972" s="248">
        <v>11001.49</v>
      </c>
      <c r="P2972" s="247" t="s">
        <v>1489</v>
      </c>
      <c r="Q2972" s="247" t="s">
        <v>89</v>
      </c>
    </row>
    <row r="2973" spans="1:17" x14ac:dyDescent="0.25">
      <c r="A2973" s="247" t="s">
        <v>646</v>
      </c>
      <c r="B2973" s="247" t="s">
        <v>265</v>
      </c>
      <c r="C2973" s="247" t="s">
        <v>1343</v>
      </c>
      <c r="D2973" s="247" t="s">
        <v>1361</v>
      </c>
      <c r="E2973" s="247" t="s">
        <v>946</v>
      </c>
      <c r="F2973" s="247" t="s">
        <v>2306</v>
      </c>
      <c r="G2973" s="247" t="s">
        <v>1362</v>
      </c>
      <c r="H2973" s="247" t="s">
        <v>403</v>
      </c>
      <c r="I2973" s="247" t="s">
        <v>2307</v>
      </c>
      <c r="J2973" s="247">
        <v>39</v>
      </c>
      <c r="K2973" s="247">
        <v>39</v>
      </c>
      <c r="L2973" s="249" t="s">
        <v>936</v>
      </c>
      <c r="M2973" s="249" t="s">
        <v>929</v>
      </c>
      <c r="N2973" s="248">
        <v>5174.9799999999996</v>
      </c>
      <c r="O2973" s="248">
        <v>16176.47</v>
      </c>
      <c r="P2973" s="247" t="s">
        <v>1489</v>
      </c>
      <c r="Q2973" s="247" t="s">
        <v>90</v>
      </c>
    </row>
    <row r="2974" spans="1:17" x14ac:dyDescent="0.25">
      <c r="A2974" s="247" t="s">
        <v>646</v>
      </c>
      <c r="B2974" s="247" t="s">
        <v>265</v>
      </c>
      <c r="C2974" s="247" t="s">
        <v>1343</v>
      </c>
      <c r="D2974" s="247" t="s">
        <v>1361</v>
      </c>
      <c r="E2974" s="247" t="s">
        <v>946</v>
      </c>
      <c r="F2974" s="247" t="s">
        <v>2306</v>
      </c>
      <c r="G2974" s="247" t="s">
        <v>1362</v>
      </c>
      <c r="H2974" s="247" t="s">
        <v>403</v>
      </c>
      <c r="I2974" s="247" t="s">
        <v>2307</v>
      </c>
      <c r="J2974" s="247">
        <v>39</v>
      </c>
      <c r="K2974" s="247">
        <v>39</v>
      </c>
      <c r="L2974" s="249" t="s">
        <v>937</v>
      </c>
      <c r="M2974" s="249" t="s">
        <v>929</v>
      </c>
      <c r="N2974" s="248">
        <v>3174.45</v>
      </c>
      <c r="O2974" s="248">
        <v>19350.919999999998</v>
      </c>
      <c r="P2974" s="247" t="s">
        <v>1489</v>
      </c>
      <c r="Q2974" s="247" t="s">
        <v>91</v>
      </c>
    </row>
    <row r="2975" spans="1:17" x14ac:dyDescent="0.25">
      <c r="A2975" s="247" t="s">
        <v>646</v>
      </c>
      <c r="B2975" s="247" t="s">
        <v>265</v>
      </c>
      <c r="C2975" s="247" t="s">
        <v>1343</v>
      </c>
      <c r="D2975" s="247" t="s">
        <v>1361</v>
      </c>
      <c r="E2975" s="247" t="s">
        <v>946</v>
      </c>
      <c r="F2975" s="247" t="s">
        <v>2306</v>
      </c>
      <c r="G2975" s="247" t="s">
        <v>1362</v>
      </c>
      <c r="H2975" s="247" t="s">
        <v>403</v>
      </c>
      <c r="I2975" s="247" t="s">
        <v>2307</v>
      </c>
      <c r="J2975" s="247">
        <v>39</v>
      </c>
      <c r="K2975" s="247">
        <v>39</v>
      </c>
      <c r="L2975" s="249" t="s">
        <v>938</v>
      </c>
      <c r="M2975" s="249" t="s">
        <v>929</v>
      </c>
      <c r="N2975" s="248">
        <v>1006.42</v>
      </c>
      <c r="O2975" s="248">
        <v>20357.34</v>
      </c>
      <c r="P2975" s="247" t="s">
        <v>1489</v>
      </c>
      <c r="Q2975" s="247" t="s">
        <v>92</v>
      </c>
    </row>
    <row r="2976" spans="1:17" x14ac:dyDescent="0.25">
      <c r="A2976" s="247" t="s">
        <v>646</v>
      </c>
      <c r="B2976" s="247" t="s">
        <v>265</v>
      </c>
      <c r="C2976" s="247" t="s">
        <v>1343</v>
      </c>
      <c r="D2976" s="247" t="s">
        <v>1361</v>
      </c>
      <c r="E2976" s="247" t="s">
        <v>946</v>
      </c>
      <c r="F2976" s="247" t="s">
        <v>2306</v>
      </c>
      <c r="G2976" s="247" t="s">
        <v>1362</v>
      </c>
      <c r="H2976" s="247" t="s">
        <v>403</v>
      </c>
      <c r="I2976" s="247" t="s">
        <v>2307</v>
      </c>
      <c r="J2976" s="247">
        <v>39</v>
      </c>
      <c r="K2976" s="247">
        <v>39</v>
      </c>
      <c r="L2976" s="249" t="s">
        <v>939</v>
      </c>
      <c r="M2976" s="249" t="s">
        <v>929</v>
      </c>
      <c r="N2976" s="248">
        <v>3213.02</v>
      </c>
      <c r="O2976" s="248">
        <v>23570.36</v>
      </c>
      <c r="P2976" s="247" t="s">
        <v>1489</v>
      </c>
      <c r="Q2976" s="247" t="s">
        <v>93</v>
      </c>
    </row>
    <row r="2977" spans="1:17" x14ac:dyDescent="0.25">
      <c r="A2977" s="247" t="s">
        <v>646</v>
      </c>
      <c r="B2977" s="247" t="s">
        <v>265</v>
      </c>
      <c r="C2977" s="247" t="s">
        <v>1343</v>
      </c>
      <c r="D2977" s="247" t="s">
        <v>1361</v>
      </c>
      <c r="E2977" s="247" t="s">
        <v>946</v>
      </c>
      <c r="F2977" s="247" t="s">
        <v>2306</v>
      </c>
      <c r="G2977" s="247" t="s">
        <v>1362</v>
      </c>
      <c r="H2977" s="247" t="s">
        <v>403</v>
      </c>
      <c r="I2977" s="247" t="s">
        <v>2307</v>
      </c>
      <c r="J2977" s="247">
        <v>39</v>
      </c>
      <c r="K2977" s="247">
        <v>39</v>
      </c>
      <c r="L2977" s="249" t="s">
        <v>940</v>
      </c>
      <c r="M2977" s="249" t="s">
        <v>929</v>
      </c>
      <c r="N2977" s="248">
        <v>3498.54</v>
      </c>
      <c r="O2977" s="248">
        <v>27068.9</v>
      </c>
      <c r="P2977" s="247" t="s">
        <v>1489</v>
      </c>
      <c r="Q2977" s="247" t="s">
        <v>94</v>
      </c>
    </row>
    <row r="2978" spans="1:17" x14ac:dyDescent="0.25">
      <c r="A2978" s="247" t="s">
        <v>646</v>
      </c>
      <c r="B2978" s="247" t="s">
        <v>265</v>
      </c>
      <c r="C2978" s="247" t="s">
        <v>1343</v>
      </c>
      <c r="D2978" s="247" t="s">
        <v>1361</v>
      </c>
      <c r="E2978" s="247" t="s">
        <v>946</v>
      </c>
      <c r="F2978" s="247" t="s">
        <v>2306</v>
      </c>
      <c r="G2978" s="247" t="s">
        <v>1362</v>
      </c>
      <c r="H2978" s="247" t="s">
        <v>403</v>
      </c>
      <c r="I2978" s="247" t="s">
        <v>2307</v>
      </c>
      <c r="J2978" s="247">
        <v>39</v>
      </c>
      <c r="K2978" s="247">
        <v>39</v>
      </c>
      <c r="L2978" s="249" t="s">
        <v>642</v>
      </c>
      <c r="M2978" s="249" t="s">
        <v>929</v>
      </c>
      <c r="N2978" s="248">
        <v>4824.09</v>
      </c>
      <c r="O2978" s="248">
        <v>31892.99</v>
      </c>
      <c r="P2978" s="247" t="s">
        <v>1489</v>
      </c>
      <c r="Q2978" s="247" t="s">
        <v>95</v>
      </c>
    </row>
    <row r="2979" spans="1:17" x14ac:dyDescent="0.25">
      <c r="A2979" s="247" t="s">
        <v>646</v>
      </c>
      <c r="B2979" s="247" t="s">
        <v>265</v>
      </c>
      <c r="C2979" s="247" t="s">
        <v>1343</v>
      </c>
      <c r="D2979" s="247" t="s">
        <v>1049</v>
      </c>
      <c r="E2979" s="247" t="s">
        <v>946</v>
      </c>
      <c r="F2979" s="247" t="s">
        <v>2308</v>
      </c>
      <c r="G2979" s="247" t="s">
        <v>1450</v>
      </c>
      <c r="H2979" s="247" t="s">
        <v>403</v>
      </c>
      <c r="I2979" s="247" t="s">
        <v>2309</v>
      </c>
      <c r="J2979" s="247">
        <v>38</v>
      </c>
      <c r="K2979" s="247">
        <v>38</v>
      </c>
      <c r="L2979" s="249" t="s">
        <v>642</v>
      </c>
      <c r="M2979" s="249" t="s">
        <v>929</v>
      </c>
      <c r="N2979" s="248">
        <v>1992.67</v>
      </c>
      <c r="O2979" s="248">
        <v>1992.67</v>
      </c>
      <c r="P2979" s="247" t="s">
        <v>1490</v>
      </c>
      <c r="Q2979" s="247" t="s">
        <v>95</v>
      </c>
    </row>
    <row r="2980" spans="1:17" x14ac:dyDescent="0.25">
      <c r="A2980" s="247" t="s">
        <v>646</v>
      </c>
      <c r="B2980" s="247" t="s">
        <v>265</v>
      </c>
      <c r="C2980" s="247" t="s">
        <v>1343</v>
      </c>
      <c r="D2980" s="247" t="s">
        <v>1172</v>
      </c>
      <c r="E2980" s="247" t="s">
        <v>946</v>
      </c>
      <c r="F2980" s="247" t="s">
        <v>2310</v>
      </c>
      <c r="G2980" s="247" t="s">
        <v>1364</v>
      </c>
      <c r="H2980" s="247" t="s">
        <v>403</v>
      </c>
      <c r="I2980" s="247" t="s">
        <v>2311</v>
      </c>
      <c r="J2980" s="247">
        <v>41</v>
      </c>
      <c r="K2980" s="247">
        <v>41</v>
      </c>
      <c r="L2980" s="249" t="s">
        <v>646</v>
      </c>
      <c r="M2980" s="249" t="s">
        <v>933</v>
      </c>
      <c r="N2980" s="248">
        <v>861.95</v>
      </c>
      <c r="O2980" s="248">
        <v>2295.36</v>
      </c>
      <c r="P2980" s="247" t="s">
        <v>1491</v>
      </c>
      <c r="Q2980" s="247" t="s">
        <v>84</v>
      </c>
    </row>
    <row r="2981" spans="1:17" x14ac:dyDescent="0.25">
      <c r="A2981" s="247" t="s">
        <v>646</v>
      </c>
      <c r="B2981" s="247" t="s">
        <v>265</v>
      </c>
      <c r="C2981" s="247" t="s">
        <v>1343</v>
      </c>
      <c r="D2981" s="247" t="s">
        <v>1172</v>
      </c>
      <c r="E2981" s="247" t="s">
        <v>946</v>
      </c>
      <c r="F2981" s="247" t="s">
        <v>2310</v>
      </c>
      <c r="G2981" s="247" t="s">
        <v>1364</v>
      </c>
      <c r="H2981" s="247" t="s">
        <v>403</v>
      </c>
      <c r="I2981" s="247" t="s">
        <v>2311</v>
      </c>
      <c r="J2981" s="247">
        <v>41</v>
      </c>
      <c r="K2981" s="247">
        <v>41</v>
      </c>
      <c r="L2981" s="249" t="s">
        <v>650</v>
      </c>
      <c r="M2981" s="249" t="s">
        <v>933</v>
      </c>
      <c r="N2981" s="248">
        <v>0</v>
      </c>
      <c r="O2981" s="248">
        <v>2295.36</v>
      </c>
      <c r="P2981" s="247" t="s">
        <v>1491</v>
      </c>
      <c r="Q2981" s="247" t="s">
        <v>85</v>
      </c>
    </row>
    <row r="2982" spans="1:17" x14ac:dyDescent="0.25">
      <c r="A2982" s="247" t="s">
        <v>646</v>
      </c>
      <c r="B2982" s="247" t="s">
        <v>265</v>
      </c>
      <c r="C2982" s="247" t="s">
        <v>1343</v>
      </c>
      <c r="D2982" s="247" t="s">
        <v>1172</v>
      </c>
      <c r="E2982" s="247" t="s">
        <v>946</v>
      </c>
      <c r="F2982" s="247" t="s">
        <v>2310</v>
      </c>
      <c r="G2982" s="247" t="s">
        <v>1364</v>
      </c>
      <c r="H2982" s="247" t="s">
        <v>403</v>
      </c>
      <c r="I2982" s="247" t="s">
        <v>2311</v>
      </c>
      <c r="J2982" s="247">
        <v>41</v>
      </c>
      <c r="K2982" s="247">
        <v>41</v>
      </c>
      <c r="L2982" s="249" t="s">
        <v>652</v>
      </c>
      <c r="M2982" s="249" t="s">
        <v>933</v>
      </c>
      <c r="N2982" s="248">
        <v>0</v>
      </c>
      <c r="O2982" s="248">
        <v>2295.36</v>
      </c>
      <c r="P2982" s="247" t="s">
        <v>1491</v>
      </c>
      <c r="Q2982" s="247" t="s">
        <v>86</v>
      </c>
    </row>
    <row r="2983" spans="1:17" x14ac:dyDescent="0.25">
      <c r="A2983" s="247" t="s">
        <v>646</v>
      </c>
      <c r="B2983" s="247" t="s">
        <v>265</v>
      </c>
      <c r="C2983" s="247" t="s">
        <v>1343</v>
      </c>
      <c r="D2983" s="247" t="s">
        <v>1172</v>
      </c>
      <c r="E2983" s="247" t="s">
        <v>946</v>
      </c>
      <c r="F2983" s="247" t="s">
        <v>2310</v>
      </c>
      <c r="G2983" s="247" t="s">
        <v>1364</v>
      </c>
      <c r="H2983" s="247" t="s">
        <v>403</v>
      </c>
      <c r="I2983" s="247" t="s">
        <v>2311</v>
      </c>
      <c r="J2983" s="247">
        <v>41</v>
      </c>
      <c r="K2983" s="247">
        <v>41</v>
      </c>
      <c r="L2983" s="249" t="s">
        <v>935</v>
      </c>
      <c r="M2983" s="249" t="s">
        <v>929</v>
      </c>
      <c r="N2983" s="248">
        <v>166.16</v>
      </c>
      <c r="O2983" s="248">
        <v>166.16</v>
      </c>
      <c r="P2983" s="247" t="s">
        <v>1491</v>
      </c>
      <c r="Q2983" s="247" t="s">
        <v>89</v>
      </c>
    </row>
    <row r="2984" spans="1:17" x14ac:dyDescent="0.25">
      <c r="A2984" s="247" t="s">
        <v>646</v>
      </c>
      <c r="B2984" s="247" t="s">
        <v>265</v>
      </c>
      <c r="C2984" s="247" t="s">
        <v>1343</v>
      </c>
      <c r="D2984" s="247" t="s">
        <v>1172</v>
      </c>
      <c r="E2984" s="247" t="s">
        <v>946</v>
      </c>
      <c r="F2984" s="247" t="s">
        <v>2310</v>
      </c>
      <c r="G2984" s="247" t="s">
        <v>1364</v>
      </c>
      <c r="H2984" s="247" t="s">
        <v>403</v>
      </c>
      <c r="I2984" s="247" t="s">
        <v>2311</v>
      </c>
      <c r="J2984" s="247">
        <v>41</v>
      </c>
      <c r="K2984" s="247">
        <v>41</v>
      </c>
      <c r="L2984" s="249" t="s">
        <v>936</v>
      </c>
      <c r="M2984" s="249" t="s">
        <v>929</v>
      </c>
      <c r="N2984" s="248">
        <v>0</v>
      </c>
      <c r="O2984" s="248">
        <v>166.16</v>
      </c>
      <c r="P2984" s="247" t="s">
        <v>1491</v>
      </c>
      <c r="Q2984" s="247" t="s">
        <v>90</v>
      </c>
    </row>
    <row r="2985" spans="1:17" x14ac:dyDescent="0.25">
      <c r="A2985" s="247" t="s">
        <v>646</v>
      </c>
      <c r="B2985" s="247" t="s">
        <v>265</v>
      </c>
      <c r="C2985" s="247" t="s">
        <v>1343</v>
      </c>
      <c r="D2985" s="247" t="s">
        <v>1172</v>
      </c>
      <c r="E2985" s="247" t="s">
        <v>946</v>
      </c>
      <c r="F2985" s="247" t="s">
        <v>2310</v>
      </c>
      <c r="G2985" s="247" t="s">
        <v>1364</v>
      </c>
      <c r="H2985" s="247" t="s">
        <v>403</v>
      </c>
      <c r="I2985" s="247" t="s">
        <v>2311</v>
      </c>
      <c r="J2985" s="247">
        <v>41</v>
      </c>
      <c r="K2985" s="247">
        <v>41</v>
      </c>
      <c r="L2985" s="249" t="s">
        <v>937</v>
      </c>
      <c r="M2985" s="249" t="s">
        <v>929</v>
      </c>
      <c r="N2985" s="248">
        <v>136</v>
      </c>
      <c r="O2985" s="248">
        <v>302.16000000000003</v>
      </c>
      <c r="P2985" s="247" t="s">
        <v>1491</v>
      </c>
      <c r="Q2985" s="247" t="s">
        <v>91</v>
      </c>
    </row>
    <row r="2986" spans="1:17" x14ac:dyDescent="0.25">
      <c r="A2986" s="247" t="s">
        <v>646</v>
      </c>
      <c r="B2986" s="247" t="s">
        <v>265</v>
      </c>
      <c r="C2986" s="247" t="s">
        <v>1343</v>
      </c>
      <c r="D2986" s="247" t="s">
        <v>1172</v>
      </c>
      <c r="E2986" s="247" t="s">
        <v>946</v>
      </c>
      <c r="F2986" s="247" t="s">
        <v>2310</v>
      </c>
      <c r="G2986" s="247" t="s">
        <v>1364</v>
      </c>
      <c r="H2986" s="247" t="s">
        <v>403</v>
      </c>
      <c r="I2986" s="247" t="s">
        <v>2311</v>
      </c>
      <c r="J2986" s="247">
        <v>41</v>
      </c>
      <c r="K2986" s="247">
        <v>41</v>
      </c>
      <c r="L2986" s="249" t="s">
        <v>938</v>
      </c>
      <c r="M2986" s="249" t="s">
        <v>929</v>
      </c>
      <c r="N2986" s="248">
        <v>0</v>
      </c>
      <c r="O2986" s="248">
        <v>302.16000000000003</v>
      </c>
      <c r="P2986" s="247" t="s">
        <v>1491</v>
      </c>
      <c r="Q2986" s="247" t="s">
        <v>92</v>
      </c>
    </row>
    <row r="2987" spans="1:17" x14ac:dyDescent="0.25">
      <c r="A2987" s="247" t="s">
        <v>646</v>
      </c>
      <c r="B2987" s="247" t="s">
        <v>265</v>
      </c>
      <c r="C2987" s="247" t="s">
        <v>1343</v>
      </c>
      <c r="D2987" s="247" t="s">
        <v>1172</v>
      </c>
      <c r="E2987" s="247" t="s">
        <v>946</v>
      </c>
      <c r="F2987" s="247" t="s">
        <v>2310</v>
      </c>
      <c r="G2987" s="247" t="s">
        <v>1364</v>
      </c>
      <c r="H2987" s="247" t="s">
        <v>403</v>
      </c>
      <c r="I2987" s="247" t="s">
        <v>2311</v>
      </c>
      <c r="J2987" s="247">
        <v>41</v>
      </c>
      <c r="K2987" s="247">
        <v>41</v>
      </c>
      <c r="L2987" s="249" t="s">
        <v>939</v>
      </c>
      <c r="M2987" s="249" t="s">
        <v>929</v>
      </c>
      <c r="N2987" s="248">
        <v>50</v>
      </c>
      <c r="O2987" s="248">
        <v>352.16</v>
      </c>
      <c r="P2987" s="247" t="s">
        <v>1491</v>
      </c>
      <c r="Q2987" s="247" t="s">
        <v>93</v>
      </c>
    </row>
    <row r="2988" spans="1:17" x14ac:dyDescent="0.25">
      <c r="A2988" s="247" t="s">
        <v>646</v>
      </c>
      <c r="B2988" s="247" t="s">
        <v>265</v>
      </c>
      <c r="C2988" s="247" t="s">
        <v>1343</v>
      </c>
      <c r="D2988" s="247" t="s">
        <v>1172</v>
      </c>
      <c r="E2988" s="247" t="s">
        <v>946</v>
      </c>
      <c r="F2988" s="247" t="s">
        <v>2310</v>
      </c>
      <c r="G2988" s="247" t="s">
        <v>1364</v>
      </c>
      <c r="H2988" s="247" t="s">
        <v>403</v>
      </c>
      <c r="I2988" s="247" t="s">
        <v>2311</v>
      </c>
      <c r="J2988" s="247">
        <v>41</v>
      </c>
      <c r="K2988" s="247">
        <v>41</v>
      </c>
      <c r="L2988" s="249" t="s">
        <v>940</v>
      </c>
      <c r="M2988" s="249" t="s">
        <v>929</v>
      </c>
      <c r="N2988" s="248">
        <v>103.03</v>
      </c>
      <c r="O2988" s="248">
        <v>455.19</v>
      </c>
      <c r="P2988" s="247" t="s">
        <v>1491</v>
      </c>
      <c r="Q2988" s="247" t="s">
        <v>94</v>
      </c>
    </row>
    <row r="2989" spans="1:17" x14ac:dyDescent="0.25">
      <c r="A2989" s="247" t="s">
        <v>646</v>
      </c>
      <c r="B2989" s="247" t="s">
        <v>265</v>
      </c>
      <c r="C2989" s="247" t="s">
        <v>1343</v>
      </c>
      <c r="D2989" s="247" t="s">
        <v>1172</v>
      </c>
      <c r="E2989" s="247" t="s">
        <v>946</v>
      </c>
      <c r="F2989" s="247" t="s">
        <v>2310</v>
      </c>
      <c r="G2989" s="247" t="s">
        <v>1364</v>
      </c>
      <c r="H2989" s="247" t="s">
        <v>403</v>
      </c>
      <c r="I2989" s="247" t="s">
        <v>2311</v>
      </c>
      <c r="J2989" s="247">
        <v>41</v>
      </c>
      <c r="K2989" s="247">
        <v>41</v>
      </c>
      <c r="L2989" s="249" t="s">
        <v>642</v>
      </c>
      <c r="M2989" s="249" t="s">
        <v>929</v>
      </c>
      <c r="N2989" s="248">
        <v>0</v>
      </c>
      <c r="O2989" s="248">
        <v>455.19</v>
      </c>
      <c r="P2989" s="247" t="s">
        <v>1491</v>
      </c>
      <c r="Q2989" s="247" t="s">
        <v>95</v>
      </c>
    </row>
    <row r="2990" spans="1:17" x14ac:dyDescent="0.25">
      <c r="A2990" s="247" t="s">
        <v>646</v>
      </c>
      <c r="B2990" s="247" t="s">
        <v>265</v>
      </c>
      <c r="C2990" s="247" t="s">
        <v>1492</v>
      </c>
      <c r="D2990" s="247" t="s">
        <v>926</v>
      </c>
      <c r="E2990" s="247" t="s">
        <v>926</v>
      </c>
      <c r="F2990" s="247" t="s">
        <v>2312</v>
      </c>
      <c r="G2990" s="247" t="s">
        <v>1493</v>
      </c>
      <c r="H2990" s="247"/>
      <c r="I2990" s="247" t="s">
        <v>2313</v>
      </c>
      <c r="J2990" s="247">
        <v>58</v>
      </c>
      <c r="K2990" s="247">
        <v>58</v>
      </c>
      <c r="L2990" s="249" t="s">
        <v>646</v>
      </c>
      <c r="M2990" s="249" t="s">
        <v>933</v>
      </c>
      <c r="N2990" s="248">
        <v>24655.35</v>
      </c>
      <c r="O2990" s="248">
        <v>262245.71999999997</v>
      </c>
      <c r="P2990" s="247" t="s">
        <v>1494</v>
      </c>
      <c r="Q2990" s="247" t="s">
        <v>84</v>
      </c>
    </row>
    <row r="2991" spans="1:17" x14ac:dyDescent="0.25">
      <c r="A2991" s="247" t="s">
        <v>646</v>
      </c>
      <c r="B2991" s="247" t="s">
        <v>265</v>
      </c>
      <c r="C2991" s="247" t="s">
        <v>1492</v>
      </c>
      <c r="D2991" s="247" t="s">
        <v>926</v>
      </c>
      <c r="E2991" s="247" t="s">
        <v>926</v>
      </c>
      <c r="F2991" s="247" t="s">
        <v>2312</v>
      </c>
      <c r="G2991" s="247" t="s">
        <v>1493</v>
      </c>
      <c r="H2991" s="247"/>
      <c r="I2991" s="247" t="s">
        <v>2313</v>
      </c>
      <c r="J2991" s="247">
        <v>58</v>
      </c>
      <c r="K2991" s="247">
        <v>58</v>
      </c>
      <c r="L2991" s="249" t="s">
        <v>650</v>
      </c>
      <c r="M2991" s="249" t="s">
        <v>933</v>
      </c>
      <c r="N2991" s="248">
        <v>29075.78</v>
      </c>
      <c r="O2991" s="248">
        <v>291321.5</v>
      </c>
      <c r="P2991" s="247" t="s">
        <v>1494</v>
      </c>
      <c r="Q2991" s="247" t="s">
        <v>85</v>
      </c>
    </row>
    <row r="2992" spans="1:17" x14ac:dyDescent="0.25">
      <c r="A2992" s="247" t="s">
        <v>646</v>
      </c>
      <c r="B2992" s="247" t="s">
        <v>265</v>
      </c>
      <c r="C2992" s="247" t="s">
        <v>1492</v>
      </c>
      <c r="D2992" s="247" t="s">
        <v>926</v>
      </c>
      <c r="E2992" s="247" t="s">
        <v>926</v>
      </c>
      <c r="F2992" s="247" t="s">
        <v>2312</v>
      </c>
      <c r="G2992" s="247" t="s">
        <v>1493</v>
      </c>
      <c r="H2992" s="247"/>
      <c r="I2992" s="247" t="s">
        <v>2313</v>
      </c>
      <c r="J2992" s="247">
        <v>58</v>
      </c>
      <c r="K2992" s="247">
        <v>58</v>
      </c>
      <c r="L2992" s="249" t="s">
        <v>652</v>
      </c>
      <c r="M2992" s="249" t="s">
        <v>933</v>
      </c>
      <c r="N2992" s="248">
        <v>-11348.47</v>
      </c>
      <c r="O2992" s="248">
        <v>279973.03000000003</v>
      </c>
      <c r="P2992" s="247" t="s">
        <v>1494</v>
      </c>
      <c r="Q2992" s="247" t="s">
        <v>86</v>
      </c>
    </row>
    <row r="2993" spans="1:17" x14ac:dyDescent="0.25">
      <c r="A2993" s="247" t="s">
        <v>646</v>
      </c>
      <c r="B2993" s="247" t="s">
        <v>265</v>
      </c>
      <c r="C2993" s="247" t="s">
        <v>1492</v>
      </c>
      <c r="D2993" s="247" t="s">
        <v>926</v>
      </c>
      <c r="E2993" s="247" t="s">
        <v>926</v>
      </c>
      <c r="F2993" s="247" t="s">
        <v>2312</v>
      </c>
      <c r="G2993" s="247" t="s">
        <v>1493</v>
      </c>
      <c r="H2993" s="247"/>
      <c r="I2993" s="247" t="s">
        <v>2313</v>
      </c>
      <c r="J2993" s="247">
        <v>58</v>
      </c>
      <c r="K2993" s="247">
        <v>58</v>
      </c>
      <c r="L2993" s="249" t="s">
        <v>789</v>
      </c>
      <c r="M2993" s="249" t="s">
        <v>929</v>
      </c>
      <c r="N2993" s="248">
        <v>6840.92</v>
      </c>
      <c r="O2993" s="248">
        <v>6840.92</v>
      </c>
      <c r="P2993" s="247" t="s">
        <v>1494</v>
      </c>
      <c r="Q2993" s="247" t="s">
        <v>87</v>
      </c>
    </row>
    <row r="2994" spans="1:17" x14ac:dyDescent="0.25">
      <c r="A2994" s="247" t="s">
        <v>646</v>
      </c>
      <c r="B2994" s="247" t="s">
        <v>265</v>
      </c>
      <c r="C2994" s="247" t="s">
        <v>1492</v>
      </c>
      <c r="D2994" s="247" t="s">
        <v>926</v>
      </c>
      <c r="E2994" s="247" t="s">
        <v>926</v>
      </c>
      <c r="F2994" s="247" t="s">
        <v>2312</v>
      </c>
      <c r="G2994" s="247" t="s">
        <v>1493</v>
      </c>
      <c r="H2994" s="247"/>
      <c r="I2994" s="247" t="s">
        <v>2313</v>
      </c>
      <c r="J2994" s="247">
        <v>58</v>
      </c>
      <c r="K2994" s="247">
        <v>58</v>
      </c>
      <c r="L2994" s="249" t="s">
        <v>791</v>
      </c>
      <c r="M2994" s="249" t="s">
        <v>929</v>
      </c>
      <c r="N2994" s="248">
        <v>7712.85</v>
      </c>
      <c r="O2994" s="248">
        <v>14553.77</v>
      </c>
      <c r="P2994" s="247" t="s">
        <v>1494</v>
      </c>
      <c r="Q2994" s="247" t="s">
        <v>88</v>
      </c>
    </row>
    <row r="2995" spans="1:17" x14ac:dyDescent="0.25">
      <c r="A2995" s="247" t="s">
        <v>646</v>
      </c>
      <c r="B2995" s="247" t="s">
        <v>265</v>
      </c>
      <c r="C2995" s="247" t="s">
        <v>1492</v>
      </c>
      <c r="D2995" s="247" t="s">
        <v>926</v>
      </c>
      <c r="E2995" s="247" t="s">
        <v>926</v>
      </c>
      <c r="F2995" s="247" t="s">
        <v>2312</v>
      </c>
      <c r="G2995" s="247" t="s">
        <v>1493</v>
      </c>
      <c r="H2995" s="247"/>
      <c r="I2995" s="247" t="s">
        <v>2313</v>
      </c>
      <c r="J2995" s="247">
        <v>58</v>
      </c>
      <c r="K2995" s="247">
        <v>58</v>
      </c>
      <c r="L2995" s="249" t="s">
        <v>935</v>
      </c>
      <c r="M2995" s="249" t="s">
        <v>929</v>
      </c>
      <c r="N2995" s="248">
        <v>7507.78</v>
      </c>
      <c r="O2995" s="248">
        <v>22061.55</v>
      </c>
      <c r="P2995" s="247" t="s">
        <v>1494</v>
      </c>
      <c r="Q2995" s="247" t="s">
        <v>89</v>
      </c>
    </row>
    <row r="2996" spans="1:17" x14ac:dyDescent="0.25">
      <c r="A2996" s="247" t="s">
        <v>646</v>
      </c>
      <c r="B2996" s="247" t="s">
        <v>265</v>
      </c>
      <c r="C2996" s="247" t="s">
        <v>1492</v>
      </c>
      <c r="D2996" s="247" t="s">
        <v>926</v>
      </c>
      <c r="E2996" s="247" t="s">
        <v>926</v>
      </c>
      <c r="F2996" s="247" t="s">
        <v>2312</v>
      </c>
      <c r="G2996" s="247" t="s">
        <v>1493</v>
      </c>
      <c r="H2996" s="247"/>
      <c r="I2996" s="247" t="s">
        <v>2313</v>
      </c>
      <c r="J2996" s="247">
        <v>58</v>
      </c>
      <c r="K2996" s="247">
        <v>58</v>
      </c>
      <c r="L2996" s="249" t="s">
        <v>936</v>
      </c>
      <c r="M2996" s="249" t="s">
        <v>929</v>
      </c>
      <c r="N2996" s="248">
        <v>2997.07</v>
      </c>
      <c r="O2996" s="248">
        <v>25058.62</v>
      </c>
      <c r="P2996" s="247" t="s">
        <v>1494</v>
      </c>
      <c r="Q2996" s="247" t="s">
        <v>90</v>
      </c>
    </row>
    <row r="2997" spans="1:17" x14ac:dyDescent="0.25">
      <c r="A2997" s="247" t="s">
        <v>646</v>
      </c>
      <c r="B2997" s="247" t="s">
        <v>265</v>
      </c>
      <c r="C2997" s="247" t="s">
        <v>1492</v>
      </c>
      <c r="D2997" s="247" t="s">
        <v>926</v>
      </c>
      <c r="E2997" s="247" t="s">
        <v>926</v>
      </c>
      <c r="F2997" s="247" t="s">
        <v>2312</v>
      </c>
      <c r="G2997" s="247" t="s">
        <v>1493</v>
      </c>
      <c r="H2997" s="247"/>
      <c r="I2997" s="247" t="s">
        <v>2313</v>
      </c>
      <c r="J2997" s="247">
        <v>58</v>
      </c>
      <c r="K2997" s="247">
        <v>58</v>
      </c>
      <c r="L2997" s="249" t="s">
        <v>937</v>
      </c>
      <c r="M2997" s="249" t="s">
        <v>929</v>
      </c>
      <c r="N2997" s="248">
        <v>6602.29</v>
      </c>
      <c r="O2997" s="248">
        <v>31660.91</v>
      </c>
      <c r="P2997" s="247" t="s">
        <v>1494</v>
      </c>
      <c r="Q2997" s="247" t="s">
        <v>91</v>
      </c>
    </row>
    <row r="2998" spans="1:17" x14ac:dyDescent="0.25">
      <c r="A2998" s="247" t="s">
        <v>646</v>
      </c>
      <c r="B2998" s="247" t="s">
        <v>265</v>
      </c>
      <c r="C2998" s="247" t="s">
        <v>1492</v>
      </c>
      <c r="D2998" s="247" t="s">
        <v>926</v>
      </c>
      <c r="E2998" s="247" t="s">
        <v>926</v>
      </c>
      <c r="F2998" s="247" t="s">
        <v>2312</v>
      </c>
      <c r="G2998" s="247" t="s">
        <v>1493</v>
      </c>
      <c r="H2998" s="247"/>
      <c r="I2998" s="247" t="s">
        <v>2313</v>
      </c>
      <c r="J2998" s="247">
        <v>58</v>
      </c>
      <c r="K2998" s="247">
        <v>58</v>
      </c>
      <c r="L2998" s="249" t="s">
        <v>938</v>
      </c>
      <c r="M2998" s="249" t="s">
        <v>929</v>
      </c>
      <c r="N2998" s="248">
        <v>2586.06</v>
      </c>
      <c r="O2998" s="248">
        <v>34246.97</v>
      </c>
      <c r="P2998" s="247" t="s">
        <v>1494</v>
      </c>
      <c r="Q2998" s="247" t="s">
        <v>92</v>
      </c>
    </row>
    <row r="2999" spans="1:17" x14ac:dyDescent="0.25">
      <c r="A2999" s="247" t="s">
        <v>646</v>
      </c>
      <c r="B2999" s="247" t="s">
        <v>265</v>
      </c>
      <c r="C2999" s="247" t="s">
        <v>1492</v>
      </c>
      <c r="D2999" s="247" t="s">
        <v>926</v>
      </c>
      <c r="E2999" s="247" t="s">
        <v>926</v>
      </c>
      <c r="F2999" s="247" t="s">
        <v>2312</v>
      </c>
      <c r="G2999" s="247" t="s">
        <v>1493</v>
      </c>
      <c r="H2999" s="247"/>
      <c r="I2999" s="247" t="s">
        <v>2313</v>
      </c>
      <c r="J2999" s="247">
        <v>58</v>
      </c>
      <c r="K2999" s="247">
        <v>58</v>
      </c>
      <c r="L2999" s="249" t="s">
        <v>939</v>
      </c>
      <c r="M2999" s="249" t="s">
        <v>929</v>
      </c>
      <c r="N2999" s="248">
        <v>-3921.58</v>
      </c>
      <c r="O2999" s="248">
        <v>30325.39</v>
      </c>
      <c r="P2999" s="247" t="s">
        <v>1494</v>
      </c>
      <c r="Q2999" s="247" t="s">
        <v>93</v>
      </c>
    </row>
    <row r="3000" spans="1:17" x14ac:dyDescent="0.25">
      <c r="A3000" s="247" t="s">
        <v>646</v>
      </c>
      <c r="B3000" s="247" t="s">
        <v>265</v>
      </c>
      <c r="C3000" s="247" t="s">
        <v>1492</v>
      </c>
      <c r="D3000" s="247" t="s">
        <v>926</v>
      </c>
      <c r="E3000" s="247" t="s">
        <v>926</v>
      </c>
      <c r="F3000" s="247" t="s">
        <v>2312</v>
      </c>
      <c r="G3000" s="247" t="s">
        <v>1493</v>
      </c>
      <c r="H3000" s="247"/>
      <c r="I3000" s="247" t="s">
        <v>2313</v>
      </c>
      <c r="J3000" s="247">
        <v>58</v>
      </c>
      <c r="K3000" s="247">
        <v>58</v>
      </c>
      <c r="L3000" s="249" t="s">
        <v>940</v>
      </c>
      <c r="M3000" s="249" t="s">
        <v>929</v>
      </c>
      <c r="N3000" s="248">
        <v>3240.96</v>
      </c>
      <c r="O3000" s="248">
        <v>33566.35</v>
      </c>
      <c r="P3000" s="247" t="s">
        <v>1494</v>
      </c>
      <c r="Q3000" s="247" t="s">
        <v>94</v>
      </c>
    </row>
    <row r="3001" spans="1:17" x14ac:dyDescent="0.25">
      <c r="A3001" s="247" t="s">
        <v>646</v>
      </c>
      <c r="B3001" s="247" t="s">
        <v>265</v>
      </c>
      <c r="C3001" s="247" t="s">
        <v>1492</v>
      </c>
      <c r="D3001" s="247" t="s">
        <v>926</v>
      </c>
      <c r="E3001" s="247" t="s">
        <v>926</v>
      </c>
      <c r="F3001" s="247" t="s">
        <v>2312</v>
      </c>
      <c r="G3001" s="247" t="s">
        <v>1493</v>
      </c>
      <c r="H3001" s="247"/>
      <c r="I3001" s="247" t="s">
        <v>2313</v>
      </c>
      <c r="J3001" s="247">
        <v>58</v>
      </c>
      <c r="K3001" s="247">
        <v>58</v>
      </c>
      <c r="L3001" s="249" t="s">
        <v>642</v>
      </c>
      <c r="M3001" s="249" t="s">
        <v>929</v>
      </c>
      <c r="N3001" s="248">
        <v>1402.22</v>
      </c>
      <c r="O3001" s="248">
        <v>34968.57</v>
      </c>
      <c r="P3001" s="247" t="s">
        <v>1494</v>
      </c>
      <c r="Q3001" s="247" t="s">
        <v>95</v>
      </c>
    </row>
    <row r="3002" spans="1:17" x14ac:dyDescent="0.25">
      <c r="A3002" s="247" t="s">
        <v>646</v>
      </c>
      <c r="B3002" s="247" t="s">
        <v>265</v>
      </c>
      <c r="C3002" s="247" t="s">
        <v>1492</v>
      </c>
      <c r="D3002" s="247" t="s">
        <v>755</v>
      </c>
      <c r="E3002" s="247" t="s">
        <v>926</v>
      </c>
      <c r="F3002" s="247" t="s">
        <v>2314</v>
      </c>
      <c r="G3002" s="247" t="s">
        <v>1495</v>
      </c>
      <c r="H3002" s="247"/>
      <c r="I3002" s="247" t="s">
        <v>2315</v>
      </c>
      <c r="J3002" s="247">
        <v>59</v>
      </c>
      <c r="K3002" s="247">
        <v>59</v>
      </c>
      <c r="L3002" s="249" t="s">
        <v>646</v>
      </c>
      <c r="M3002" s="249" t="s">
        <v>933</v>
      </c>
      <c r="N3002" s="248">
        <v>14119.31</v>
      </c>
      <c r="O3002" s="248">
        <v>70151.649999999994</v>
      </c>
      <c r="P3002" s="247" t="s">
        <v>1496</v>
      </c>
      <c r="Q3002" s="247" t="s">
        <v>84</v>
      </c>
    </row>
    <row r="3003" spans="1:17" x14ac:dyDescent="0.25">
      <c r="A3003" s="247" t="s">
        <v>646</v>
      </c>
      <c r="B3003" s="247" t="s">
        <v>265</v>
      </c>
      <c r="C3003" s="247" t="s">
        <v>1492</v>
      </c>
      <c r="D3003" s="247" t="s">
        <v>755</v>
      </c>
      <c r="E3003" s="247" t="s">
        <v>926</v>
      </c>
      <c r="F3003" s="247" t="s">
        <v>2314</v>
      </c>
      <c r="G3003" s="247" t="s">
        <v>1495</v>
      </c>
      <c r="H3003" s="247"/>
      <c r="I3003" s="247" t="s">
        <v>2315</v>
      </c>
      <c r="J3003" s="247">
        <v>59</v>
      </c>
      <c r="K3003" s="247">
        <v>59</v>
      </c>
      <c r="L3003" s="249" t="s">
        <v>650</v>
      </c>
      <c r="M3003" s="249" t="s">
        <v>933</v>
      </c>
      <c r="N3003" s="248">
        <v>2836.88</v>
      </c>
      <c r="O3003" s="248">
        <v>72988.53</v>
      </c>
      <c r="P3003" s="247" t="s">
        <v>1496</v>
      </c>
      <c r="Q3003" s="247" t="s">
        <v>85</v>
      </c>
    </row>
    <row r="3004" spans="1:17" x14ac:dyDescent="0.25">
      <c r="A3004" s="247" t="s">
        <v>646</v>
      </c>
      <c r="B3004" s="247" t="s">
        <v>265</v>
      </c>
      <c r="C3004" s="247" t="s">
        <v>1492</v>
      </c>
      <c r="D3004" s="247" t="s">
        <v>755</v>
      </c>
      <c r="E3004" s="247" t="s">
        <v>926</v>
      </c>
      <c r="F3004" s="247" t="s">
        <v>2314</v>
      </c>
      <c r="G3004" s="247" t="s">
        <v>1495</v>
      </c>
      <c r="H3004" s="247"/>
      <c r="I3004" s="247" t="s">
        <v>2315</v>
      </c>
      <c r="J3004" s="247">
        <v>59</v>
      </c>
      <c r="K3004" s="247">
        <v>59</v>
      </c>
      <c r="L3004" s="249" t="s">
        <v>652</v>
      </c>
      <c r="M3004" s="249" t="s">
        <v>933</v>
      </c>
      <c r="N3004" s="248">
        <v>4598.6099999999997</v>
      </c>
      <c r="O3004" s="248">
        <v>77587.14</v>
      </c>
      <c r="P3004" s="247" t="s">
        <v>1496</v>
      </c>
      <c r="Q3004" s="247" t="s">
        <v>86</v>
      </c>
    </row>
    <row r="3005" spans="1:17" x14ac:dyDescent="0.25">
      <c r="A3005" s="247" t="s">
        <v>646</v>
      </c>
      <c r="B3005" s="247" t="s">
        <v>265</v>
      </c>
      <c r="C3005" s="247" t="s">
        <v>1492</v>
      </c>
      <c r="D3005" s="247" t="s">
        <v>755</v>
      </c>
      <c r="E3005" s="247" t="s">
        <v>926</v>
      </c>
      <c r="F3005" s="247" t="s">
        <v>2314</v>
      </c>
      <c r="G3005" s="247" t="s">
        <v>1495</v>
      </c>
      <c r="H3005" s="247"/>
      <c r="I3005" s="247" t="s">
        <v>2315</v>
      </c>
      <c r="J3005" s="247">
        <v>59</v>
      </c>
      <c r="K3005" s="247">
        <v>59</v>
      </c>
      <c r="L3005" s="249" t="s">
        <v>789</v>
      </c>
      <c r="M3005" s="249" t="s">
        <v>929</v>
      </c>
      <c r="N3005" s="248">
        <v>5167.1899999999996</v>
      </c>
      <c r="O3005" s="248">
        <v>5167.1899999999996</v>
      </c>
      <c r="P3005" s="247" t="s">
        <v>1496</v>
      </c>
      <c r="Q3005" s="247" t="s">
        <v>87</v>
      </c>
    </row>
    <row r="3006" spans="1:17" x14ac:dyDescent="0.25">
      <c r="A3006" s="247" t="s">
        <v>646</v>
      </c>
      <c r="B3006" s="247" t="s">
        <v>265</v>
      </c>
      <c r="C3006" s="247" t="s">
        <v>1492</v>
      </c>
      <c r="D3006" s="247" t="s">
        <v>755</v>
      </c>
      <c r="E3006" s="247" t="s">
        <v>926</v>
      </c>
      <c r="F3006" s="247" t="s">
        <v>2314</v>
      </c>
      <c r="G3006" s="247" t="s">
        <v>1495</v>
      </c>
      <c r="H3006" s="247"/>
      <c r="I3006" s="247" t="s">
        <v>2315</v>
      </c>
      <c r="J3006" s="247">
        <v>59</v>
      </c>
      <c r="K3006" s="247">
        <v>59</v>
      </c>
      <c r="L3006" s="249" t="s">
        <v>791</v>
      </c>
      <c r="M3006" s="249" t="s">
        <v>929</v>
      </c>
      <c r="N3006" s="248">
        <v>1727.07</v>
      </c>
      <c r="O3006" s="248">
        <v>6894.26</v>
      </c>
      <c r="P3006" s="247" t="s">
        <v>1496</v>
      </c>
      <c r="Q3006" s="247" t="s">
        <v>88</v>
      </c>
    </row>
    <row r="3007" spans="1:17" x14ac:dyDescent="0.25">
      <c r="A3007" s="247" t="s">
        <v>646</v>
      </c>
      <c r="B3007" s="247" t="s">
        <v>265</v>
      </c>
      <c r="C3007" s="247" t="s">
        <v>1492</v>
      </c>
      <c r="D3007" s="247" t="s">
        <v>755</v>
      </c>
      <c r="E3007" s="247" t="s">
        <v>926</v>
      </c>
      <c r="F3007" s="247" t="s">
        <v>2314</v>
      </c>
      <c r="G3007" s="247" t="s">
        <v>1495</v>
      </c>
      <c r="H3007" s="247"/>
      <c r="I3007" s="247" t="s">
        <v>2315</v>
      </c>
      <c r="J3007" s="247">
        <v>59</v>
      </c>
      <c r="K3007" s="247">
        <v>59</v>
      </c>
      <c r="L3007" s="249" t="s">
        <v>935</v>
      </c>
      <c r="M3007" s="249" t="s">
        <v>929</v>
      </c>
      <c r="N3007" s="248">
        <v>7330.27</v>
      </c>
      <c r="O3007" s="248">
        <v>14224.53</v>
      </c>
      <c r="P3007" s="247" t="s">
        <v>1496</v>
      </c>
      <c r="Q3007" s="247" t="s">
        <v>89</v>
      </c>
    </row>
    <row r="3008" spans="1:17" x14ac:dyDescent="0.25">
      <c r="A3008" s="247" t="s">
        <v>646</v>
      </c>
      <c r="B3008" s="247" t="s">
        <v>265</v>
      </c>
      <c r="C3008" s="247" t="s">
        <v>1492</v>
      </c>
      <c r="D3008" s="247" t="s">
        <v>755</v>
      </c>
      <c r="E3008" s="247" t="s">
        <v>926</v>
      </c>
      <c r="F3008" s="247" t="s">
        <v>2314</v>
      </c>
      <c r="G3008" s="247" t="s">
        <v>1495</v>
      </c>
      <c r="H3008" s="247"/>
      <c r="I3008" s="247" t="s">
        <v>2315</v>
      </c>
      <c r="J3008" s="247">
        <v>59</v>
      </c>
      <c r="K3008" s="247">
        <v>59</v>
      </c>
      <c r="L3008" s="249" t="s">
        <v>936</v>
      </c>
      <c r="M3008" s="249" t="s">
        <v>929</v>
      </c>
      <c r="N3008" s="248">
        <v>8038.14</v>
      </c>
      <c r="O3008" s="248">
        <v>22262.67</v>
      </c>
      <c r="P3008" s="247" t="s">
        <v>1496</v>
      </c>
      <c r="Q3008" s="247" t="s">
        <v>90</v>
      </c>
    </row>
    <row r="3009" spans="1:17" x14ac:dyDescent="0.25">
      <c r="A3009" s="247" t="s">
        <v>646</v>
      </c>
      <c r="B3009" s="247" t="s">
        <v>265</v>
      </c>
      <c r="C3009" s="247" t="s">
        <v>1492</v>
      </c>
      <c r="D3009" s="247" t="s">
        <v>755</v>
      </c>
      <c r="E3009" s="247" t="s">
        <v>926</v>
      </c>
      <c r="F3009" s="247" t="s">
        <v>2314</v>
      </c>
      <c r="G3009" s="247" t="s">
        <v>1495</v>
      </c>
      <c r="H3009" s="247"/>
      <c r="I3009" s="247" t="s">
        <v>2315</v>
      </c>
      <c r="J3009" s="247">
        <v>59</v>
      </c>
      <c r="K3009" s="247">
        <v>59</v>
      </c>
      <c r="L3009" s="249" t="s">
        <v>937</v>
      </c>
      <c r="M3009" s="249" t="s">
        <v>929</v>
      </c>
      <c r="N3009" s="248">
        <v>2332.9</v>
      </c>
      <c r="O3009" s="248">
        <v>24595.57</v>
      </c>
      <c r="P3009" s="247" t="s">
        <v>1496</v>
      </c>
      <c r="Q3009" s="247" t="s">
        <v>91</v>
      </c>
    </row>
    <row r="3010" spans="1:17" x14ac:dyDescent="0.25">
      <c r="A3010" s="247" t="s">
        <v>646</v>
      </c>
      <c r="B3010" s="247" t="s">
        <v>265</v>
      </c>
      <c r="C3010" s="247" t="s">
        <v>1492</v>
      </c>
      <c r="D3010" s="247" t="s">
        <v>755</v>
      </c>
      <c r="E3010" s="247" t="s">
        <v>926</v>
      </c>
      <c r="F3010" s="247" t="s">
        <v>2314</v>
      </c>
      <c r="G3010" s="247" t="s">
        <v>1495</v>
      </c>
      <c r="H3010" s="247"/>
      <c r="I3010" s="247" t="s">
        <v>2315</v>
      </c>
      <c r="J3010" s="247">
        <v>59</v>
      </c>
      <c r="K3010" s="247">
        <v>59</v>
      </c>
      <c r="L3010" s="249" t="s">
        <v>938</v>
      </c>
      <c r="M3010" s="249" t="s">
        <v>929</v>
      </c>
      <c r="N3010" s="248">
        <v>6245.27</v>
      </c>
      <c r="O3010" s="248">
        <v>30840.84</v>
      </c>
      <c r="P3010" s="247" t="s">
        <v>1496</v>
      </c>
      <c r="Q3010" s="247" t="s">
        <v>92</v>
      </c>
    </row>
    <row r="3011" spans="1:17" x14ac:dyDescent="0.25">
      <c r="A3011" s="247" t="s">
        <v>646</v>
      </c>
      <c r="B3011" s="247" t="s">
        <v>265</v>
      </c>
      <c r="C3011" s="247" t="s">
        <v>1492</v>
      </c>
      <c r="D3011" s="247" t="s">
        <v>755</v>
      </c>
      <c r="E3011" s="247" t="s">
        <v>926</v>
      </c>
      <c r="F3011" s="247" t="s">
        <v>2314</v>
      </c>
      <c r="G3011" s="247" t="s">
        <v>1495</v>
      </c>
      <c r="H3011" s="247"/>
      <c r="I3011" s="247" t="s">
        <v>2315</v>
      </c>
      <c r="J3011" s="247">
        <v>59</v>
      </c>
      <c r="K3011" s="247">
        <v>59</v>
      </c>
      <c r="L3011" s="249" t="s">
        <v>939</v>
      </c>
      <c r="M3011" s="249" t="s">
        <v>929</v>
      </c>
      <c r="N3011" s="248">
        <v>4527.92</v>
      </c>
      <c r="O3011" s="248">
        <v>35368.76</v>
      </c>
      <c r="P3011" s="247" t="s">
        <v>1496</v>
      </c>
      <c r="Q3011" s="247" t="s">
        <v>93</v>
      </c>
    </row>
    <row r="3012" spans="1:17" x14ac:dyDescent="0.25">
      <c r="A3012" s="247" t="s">
        <v>646</v>
      </c>
      <c r="B3012" s="247" t="s">
        <v>265</v>
      </c>
      <c r="C3012" s="247" t="s">
        <v>1492</v>
      </c>
      <c r="D3012" s="247" t="s">
        <v>755</v>
      </c>
      <c r="E3012" s="247" t="s">
        <v>926</v>
      </c>
      <c r="F3012" s="247" t="s">
        <v>2314</v>
      </c>
      <c r="G3012" s="247" t="s">
        <v>1495</v>
      </c>
      <c r="H3012" s="247"/>
      <c r="I3012" s="247" t="s">
        <v>2315</v>
      </c>
      <c r="J3012" s="247">
        <v>59</v>
      </c>
      <c r="K3012" s="247">
        <v>59</v>
      </c>
      <c r="L3012" s="249" t="s">
        <v>940</v>
      </c>
      <c r="M3012" s="249" t="s">
        <v>929</v>
      </c>
      <c r="N3012" s="248">
        <v>11979.68</v>
      </c>
      <c r="O3012" s="248">
        <v>47348.44</v>
      </c>
      <c r="P3012" s="247" t="s">
        <v>1496</v>
      </c>
      <c r="Q3012" s="247" t="s">
        <v>94</v>
      </c>
    </row>
    <row r="3013" spans="1:17" x14ac:dyDescent="0.25">
      <c r="A3013" s="247" t="s">
        <v>646</v>
      </c>
      <c r="B3013" s="247" t="s">
        <v>265</v>
      </c>
      <c r="C3013" s="247" t="s">
        <v>1492</v>
      </c>
      <c r="D3013" s="247" t="s">
        <v>755</v>
      </c>
      <c r="E3013" s="247" t="s">
        <v>926</v>
      </c>
      <c r="F3013" s="247" t="s">
        <v>2314</v>
      </c>
      <c r="G3013" s="247" t="s">
        <v>1495</v>
      </c>
      <c r="H3013" s="247"/>
      <c r="I3013" s="247" t="s">
        <v>2315</v>
      </c>
      <c r="J3013" s="247">
        <v>59</v>
      </c>
      <c r="K3013" s="247">
        <v>59</v>
      </c>
      <c r="L3013" s="249" t="s">
        <v>642</v>
      </c>
      <c r="M3013" s="249" t="s">
        <v>929</v>
      </c>
      <c r="N3013" s="248">
        <v>5796.41</v>
      </c>
      <c r="O3013" s="248">
        <v>53144.85</v>
      </c>
      <c r="P3013" s="247" t="s">
        <v>1496</v>
      </c>
      <c r="Q3013" s="247" t="s">
        <v>95</v>
      </c>
    </row>
    <row r="3014" spans="1:17" x14ac:dyDescent="0.25">
      <c r="A3014" s="247" t="s">
        <v>646</v>
      </c>
      <c r="B3014" s="247" t="s">
        <v>265</v>
      </c>
      <c r="C3014" s="247" t="s">
        <v>1492</v>
      </c>
      <c r="D3014" s="247" t="s">
        <v>823</v>
      </c>
      <c r="E3014" s="247" t="s">
        <v>926</v>
      </c>
      <c r="F3014" s="247" t="s">
        <v>2316</v>
      </c>
      <c r="G3014" s="247" t="s">
        <v>1497</v>
      </c>
      <c r="H3014" s="247"/>
      <c r="I3014" s="247" t="s">
        <v>2317</v>
      </c>
      <c r="J3014" s="247">
        <v>60</v>
      </c>
      <c r="K3014" s="247">
        <v>60</v>
      </c>
      <c r="L3014" s="249" t="s">
        <v>646</v>
      </c>
      <c r="M3014" s="249" t="s">
        <v>933</v>
      </c>
      <c r="N3014" s="248">
        <v>20539.95</v>
      </c>
      <c r="O3014" s="248">
        <v>217743.9</v>
      </c>
      <c r="P3014" s="247" t="s">
        <v>1498</v>
      </c>
      <c r="Q3014" s="247" t="s">
        <v>84</v>
      </c>
    </row>
    <row r="3015" spans="1:17" x14ac:dyDescent="0.25">
      <c r="A3015" s="247" t="s">
        <v>646</v>
      </c>
      <c r="B3015" s="247" t="s">
        <v>265</v>
      </c>
      <c r="C3015" s="247" t="s">
        <v>1492</v>
      </c>
      <c r="D3015" s="247" t="s">
        <v>823</v>
      </c>
      <c r="E3015" s="247" t="s">
        <v>926</v>
      </c>
      <c r="F3015" s="247" t="s">
        <v>2316</v>
      </c>
      <c r="G3015" s="247" t="s">
        <v>1497</v>
      </c>
      <c r="H3015" s="247"/>
      <c r="I3015" s="247" t="s">
        <v>2317</v>
      </c>
      <c r="J3015" s="247">
        <v>60</v>
      </c>
      <c r="K3015" s="247">
        <v>60</v>
      </c>
      <c r="L3015" s="249" t="s">
        <v>650</v>
      </c>
      <c r="M3015" s="249" t="s">
        <v>933</v>
      </c>
      <c r="N3015" s="248">
        <v>29616.58</v>
      </c>
      <c r="O3015" s="248">
        <v>247360.48</v>
      </c>
      <c r="P3015" s="247" t="s">
        <v>1498</v>
      </c>
      <c r="Q3015" s="247" t="s">
        <v>85</v>
      </c>
    </row>
    <row r="3016" spans="1:17" x14ac:dyDescent="0.25">
      <c r="A3016" s="247" t="s">
        <v>646</v>
      </c>
      <c r="B3016" s="247" t="s">
        <v>265</v>
      </c>
      <c r="C3016" s="247" t="s">
        <v>1492</v>
      </c>
      <c r="D3016" s="247" t="s">
        <v>823</v>
      </c>
      <c r="E3016" s="247" t="s">
        <v>926</v>
      </c>
      <c r="F3016" s="247" t="s">
        <v>2316</v>
      </c>
      <c r="G3016" s="247" t="s">
        <v>1497</v>
      </c>
      <c r="H3016" s="247"/>
      <c r="I3016" s="247" t="s">
        <v>2317</v>
      </c>
      <c r="J3016" s="247">
        <v>60</v>
      </c>
      <c r="K3016" s="247">
        <v>60</v>
      </c>
      <c r="L3016" s="249" t="s">
        <v>652</v>
      </c>
      <c r="M3016" s="249" t="s">
        <v>933</v>
      </c>
      <c r="N3016" s="248">
        <v>3033.65</v>
      </c>
      <c r="O3016" s="248">
        <v>250394.13</v>
      </c>
      <c r="P3016" s="247" t="s">
        <v>1498</v>
      </c>
      <c r="Q3016" s="247" t="s">
        <v>86</v>
      </c>
    </row>
    <row r="3017" spans="1:17" x14ac:dyDescent="0.25">
      <c r="A3017" s="247" t="s">
        <v>646</v>
      </c>
      <c r="B3017" s="247" t="s">
        <v>265</v>
      </c>
      <c r="C3017" s="247" t="s">
        <v>1492</v>
      </c>
      <c r="D3017" s="247" t="s">
        <v>823</v>
      </c>
      <c r="E3017" s="247" t="s">
        <v>926</v>
      </c>
      <c r="F3017" s="247" t="s">
        <v>2316</v>
      </c>
      <c r="G3017" s="247" t="s">
        <v>1497</v>
      </c>
      <c r="H3017" s="247"/>
      <c r="I3017" s="247" t="s">
        <v>2317</v>
      </c>
      <c r="J3017" s="247">
        <v>60</v>
      </c>
      <c r="K3017" s="247">
        <v>60</v>
      </c>
      <c r="L3017" s="249" t="s">
        <v>789</v>
      </c>
      <c r="M3017" s="249" t="s">
        <v>929</v>
      </c>
      <c r="N3017" s="248">
        <v>2907.28</v>
      </c>
      <c r="O3017" s="248">
        <v>2907.28</v>
      </c>
      <c r="P3017" s="247" t="s">
        <v>1498</v>
      </c>
      <c r="Q3017" s="247" t="s">
        <v>87</v>
      </c>
    </row>
    <row r="3018" spans="1:17" x14ac:dyDescent="0.25">
      <c r="A3018" s="247" t="s">
        <v>646</v>
      </c>
      <c r="B3018" s="247" t="s">
        <v>265</v>
      </c>
      <c r="C3018" s="247" t="s">
        <v>1492</v>
      </c>
      <c r="D3018" s="247" t="s">
        <v>823</v>
      </c>
      <c r="E3018" s="247" t="s">
        <v>926</v>
      </c>
      <c r="F3018" s="247" t="s">
        <v>2316</v>
      </c>
      <c r="G3018" s="247" t="s">
        <v>1497</v>
      </c>
      <c r="H3018" s="247"/>
      <c r="I3018" s="247" t="s">
        <v>2317</v>
      </c>
      <c r="J3018" s="247">
        <v>60</v>
      </c>
      <c r="K3018" s="247">
        <v>60</v>
      </c>
      <c r="L3018" s="249" t="s">
        <v>791</v>
      </c>
      <c r="M3018" s="249" t="s">
        <v>929</v>
      </c>
      <c r="N3018" s="248">
        <v>13643.84</v>
      </c>
      <c r="O3018" s="248">
        <v>16551.12</v>
      </c>
      <c r="P3018" s="247" t="s">
        <v>1498</v>
      </c>
      <c r="Q3018" s="247" t="s">
        <v>88</v>
      </c>
    </row>
    <row r="3019" spans="1:17" x14ac:dyDescent="0.25">
      <c r="A3019" s="247" t="s">
        <v>646</v>
      </c>
      <c r="B3019" s="247" t="s">
        <v>265</v>
      </c>
      <c r="C3019" s="247" t="s">
        <v>1492</v>
      </c>
      <c r="D3019" s="247" t="s">
        <v>823</v>
      </c>
      <c r="E3019" s="247" t="s">
        <v>926</v>
      </c>
      <c r="F3019" s="247" t="s">
        <v>2316</v>
      </c>
      <c r="G3019" s="247" t="s">
        <v>1497</v>
      </c>
      <c r="H3019" s="247"/>
      <c r="I3019" s="247" t="s">
        <v>2317</v>
      </c>
      <c r="J3019" s="247">
        <v>60</v>
      </c>
      <c r="K3019" s="247">
        <v>60</v>
      </c>
      <c r="L3019" s="249" t="s">
        <v>935</v>
      </c>
      <c r="M3019" s="249" t="s">
        <v>929</v>
      </c>
      <c r="N3019" s="248">
        <v>18604.63</v>
      </c>
      <c r="O3019" s="248">
        <v>35155.75</v>
      </c>
      <c r="P3019" s="247" t="s">
        <v>1498</v>
      </c>
      <c r="Q3019" s="247" t="s">
        <v>89</v>
      </c>
    </row>
    <row r="3020" spans="1:17" x14ac:dyDescent="0.25">
      <c r="A3020" s="247" t="s">
        <v>646</v>
      </c>
      <c r="B3020" s="247" t="s">
        <v>265</v>
      </c>
      <c r="C3020" s="247" t="s">
        <v>1492</v>
      </c>
      <c r="D3020" s="247" t="s">
        <v>823</v>
      </c>
      <c r="E3020" s="247" t="s">
        <v>926</v>
      </c>
      <c r="F3020" s="247" t="s">
        <v>2316</v>
      </c>
      <c r="G3020" s="247" t="s">
        <v>1497</v>
      </c>
      <c r="H3020" s="247"/>
      <c r="I3020" s="247" t="s">
        <v>2317</v>
      </c>
      <c r="J3020" s="247">
        <v>60</v>
      </c>
      <c r="K3020" s="247">
        <v>60</v>
      </c>
      <c r="L3020" s="249" t="s">
        <v>936</v>
      </c>
      <c r="M3020" s="249" t="s">
        <v>929</v>
      </c>
      <c r="N3020" s="248">
        <v>3279.23</v>
      </c>
      <c r="O3020" s="248">
        <v>38434.980000000003</v>
      </c>
      <c r="P3020" s="247" t="s">
        <v>1498</v>
      </c>
      <c r="Q3020" s="247" t="s">
        <v>90</v>
      </c>
    </row>
    <row r="3021" spans="1:17" x14ac:dyDescent="0.25">
      <c r="A3021" s="247" t="s">
        <v>646</v>
      </c>
      <c r="B3021" s="247" t="s">
        <v>265</v>
      </c>
      <c r="C3021" s="247" t="s">
        <v>1492</v>
      </c>
      <c r="D3021" s="247" t="s">
        <v>823</v>
      </c>
      <c r="E3021" s="247" t="s">
        <v>926</v>
      </c>
      <c r="F3021" s="247" t="s">
        <v>2316</v>
      </c>
      <c r="G3021" s="247" t="s">
        <v>1497</v>
      </c>
      <c r="H3021" s="247"/>
      <c r="I3021" s="247" t="s">
        <v>2317</v>
      </c>
      <c r="J3021" s="247">
        <v>60</v>
      </c>
      <c r="K3021" s="247">
        <v>60</v>
      </c>
      <c r="L3021" s="249" t="s">
        <v>937</v>
      </c>
      <c r="M3021" s="249" t="s">
        <v>929</v>
      </c>
      <c r="N3021" s="248">
        <v>18877.310000000001</v>
      </c>
      <c r="O3021" s="248">
        <v>57312.29</v>
      </c>
      <c r="P3021" s="247" t="s">
        <v>1498</v>
      </c>
      <c r="Q3021" s="247" t="s">
        <v>91</v>
      </c>
    </row>
    <row r="3022" spans="1:17" x14ac:dyDescent="0.25">
      <c r="A3022" s="247" t="s">
        <v>646</v>
      </c>
      <c r="B3022" s="247" t="s">
        <v>265</v>
      </c>
      <c r="C3022" s="247" t="s">
        <v>1492</v>
      </c>
      <c r="D3022" s="247" t="s">
        <v>823</v>
      </c>
      <c r="E3022" s="247" t="s">
        <v>926</v>
      </c>
      <c r="F3022" s="247" t="s">
        <v>2316</v>
      </c>
      <c r="G3022" s="247" t="s">
        <v>1497</v>
      </c>
      <c r="H3022" s="247"/>
      <c r="I3022" s="247" t="s">
        <v>2317</v>
      </c>
      <c r="J3022" s="247">
        <v>60</v>
      </c>
      <c r="K3022" s="247">
        <v>60</v>
      </c>
      <c r="L3022" s="249" t="s">
        <v>938</v>
      </c>
      <c r="M3022" s="249" t="s">
        <v>929</v>
      </c>
      <c r="N3022" s="248">
        <v>11985.81</v>
      </c>
      <c r="O3022" s="248">
        <v>69298.100000000006</v>
      </c>
      <c r="P3022" s="247" t="s">
        <v>1498</v>
      </c>
      <c r="Q3022" s="247" t="s">
        <v>92</v>
      </c>
    </row>
    <row r="3023" spans="1:17" x14ac:dyDescent="0.25">
      <c r="A3023" s="247" t="s">
        <v>646</v>
      </c>
      <c r="B3023" s="247" t="s">
        <v>265</v>
      </c>
      <c r="C3023" s="247" t="s">
        <v>1492</v>
      </c>
      <c r="D3023" s="247" t="s">
        <v>823</v>
      </c>
      <c r="E3023" s="247" t="s">
        <v>926</v>
      </c>
      <c r="F3023" s="247" t="s">
        <v>2316</v>
      </c>
      <c r="G3023" s="247" t="s">
        <v>1497</v>
      </c>
      <c r="H3023" s="247"/>
      <c r="I3023" s="247" t="s">
        <v>2317</v>
      </c>
      <c r="J3023" s="247">
        <v>60</v>
      </c>
      <c r="K3023" s="247">
        <v>60</v>
      </c>
      <c r="L3023" s="249" t="s">
        <v>939</v>
      </c>
      <c r="M3023" s="249" t="s">
        <v>929</v>
      </c>
      <c r="N3023" s="248">
        <v>34477.9</v>
      </c>
      <c r="O3023" s="248">
        <v>103776</v>
      </c>
      <c r="P3023" s="247" t="s">
        <v>1498</v>
      </c>
      <c r="Q3023" s="247" t="s">
        <v>93</v>
      </c>
    </row>
    <row r="3024" spans="1:17" x14ac:dyDescent="0.25">
      <c r="A3024" s="247" t="s">
        <v>646</v>
      </c>
      <c r="B3024" s="247" t="s">
        <v>265</v>
      </c>
      <c r="C3024" s="247" t="s">
        <v>1492</v>
      </c>
      <c r="D3024" s="247" t="s">
        <v>823</v>
      </c>
      <c r="E3024" s="247" t="s">
        <v>926</v>
      </c>
      <c r="F3024" s="247" t="s">
        <v>2316</v>
      </c>
      <c r="G3024" s="247" t="s">
        <v>1497</v>
      </c>
      <c r="H3024" s="247"/>
      <c r="I3024" s="247" t="s">
        <v>2317</v>
      </c>
      <c r="J3024" s="247">
        <v>60</v>
      </c>
      <c r="K3024" s="247">
        <v>60</v>
      </c>
      <c r="L3024" s="249" t="s">
        <v>940</v>
      </c>
      <c r="M3024" s="249" t="s">
        <v>929</v>
      </c>
      <c r="N3024" s="248">
        <v>14633.26</v>
      </c>
      <c r="O3024" s="248">
        <v>118409.26</v>
      </c>
      <c r="P3024" s="247" t="s">
        <v>1498</v>
      </c>
      <c r="Q3024" s="247" t="s">
        <v>94</v>
      </c>
    </row>
    <row r="3025" spans="1:17" x14ac:dyDescent="0.25">
      <c r="A3025" s="247" t="s">
        <v>646</v>
      </c>
      <c r="B3025" s="247" t="s">
        <v>265</v>
      </c>
      <c r="C3025" s="247" t="s">
        <v>1492</v>
      </c>
      <c r="D3025" s="247" t="s">
        <v>823</v>
      </c>
      <c r="E3025" s="247" t="s">
        <v>926</v>
      </c>
      <c r="F3025" s="247" t="s">
        <v>2316</v>
      </c>
      <c r="G3025" s="247" t="s">
        <v>1497</v>
      </c>
      <c r="H3025" s="247"/>
      <c r="I3025" s="247" t="s">
        <v>2317</v>
      </c>
      <c r="J3025" s="247">
        <v>60</v>
      </c>
      <c r="K3025" s="247">
        <v>60</v>
      </c>
      <c r="L3025" s="249" t="s">
        <v>642</v>
      </c>
      <c r="M3025" s="249" t="s">
        <v>929</v>
      </c>
      <c r="N3025" s="248">
        <v>23033.15</v>
      </c>
      <c r="O3025" s="248">
        <v>141442.41</v>
      </c>
      <c r="P3025" s="247" t="s">
        <v>1498</v>
      </c>
      <c r="Q3025" s="247" t="s">
        <v>95</v>
      </c>
    </row>
    <row r="3026" spans="1:17" x14ac:dyDescent="0.25">
      <c r="A3026" s="247" t="s">
        <v>646</v>
      </c>
      <c r="B3026" s="247" t="s">
        <v>265</v>
      </c>
      <c r="C3026" s="247" t="s">
        <v>1492</v>
      </c>
      <c r="D3026" s="247" t="s">
        <v>509</v>
      </c>
      <c r="E3026" s="247" t="s">
        <v>926</v>
      </c>
      <c r="F3026" s="247" t="s">
        <v>2318</v>
      </c>
      <c r="G3026" s="247" t="s">
        <v>1499</v>
      </c>
      <c r="H3026" s="247"/>
      <c r="I3026" s="247" t="s">
        <v>2319</v>
      </c>
      <c r="J3026" s="247">
        <v>61</v>
      </c>
      <c r="K3026" s="247">
        <v>61</v>
      </c>
      <c r="L3026" s="249" t="s">
        <v>646</v>
      </c>
      <c r="M3026" s="249" t="s">
        <v>933</v>
      </c>
      <c r="N3026" s="248">
        <v>2284.9699999999998</v>
      </c>
      <c r="O3026" s="248">
        <v>56122.51</v>
      </c>
      <c r="P3026" s="247" t="s">
        <v>1500</v>
      </c>
      <c r="Q3026" s="247" t="s">
        <v>84</v>
      </c>
    </row>
    <row r="3027" spans="1:17" x14ac:dyDescent="0.25">
      <c r="A3027" s="247" t="s">
        <v>646</v>
      </c>
      <c r="B3027" s="247" t="s">
        <v>265</v>
      </c>
      <c r="C3027" s="247" t="s">
        <v>1492</v>
      </c>
      <c r="D3027" s="247" t="s">
        <v>509</v>
      </c>
      <c r="E3027" s="247" t="s">
        <v>926</v>
      </c>
      <c r="F3027" s="247" t="s">
        <v>2318</v>
      </c>
      <c r="G3027" s="247" t="s">
        <v>1499</v>
      </c>
      <c r="H3027" s="247"/>
      <c r="I3027" s="247" t="s">
        <v>2319</v>
      </c>
      <c r="J3027" s="247">
        <v>61</v>
      </c>
      <c r="K3027" s="247">
        <v>61</v>
      </c>
      <c r="L3027" s="249" t="s">
        <v>650</v>
      </c>
      <c r="M3027" s="249" t="s">
        <v>933</v>
      </c>
      <c r="N3027" s="248">
        <v>25668.05</v>
      </c>
      <c r="O3027" s="248">
        <v>81790.559999999998</v>
      </c>
      <c r="P3027" s="247" t="s">
        <v>1500</v>
      </c>
      <c r="Q3027" s="247" t="s">
        <v>85</v>
      </c>
    </row>
    <row r="3028" spans="1:17" x14ac:dyDescent="0.25">
      <c r="A3028" s="247" t="s">
        <v>646</v>
      </c>
      <c r="B3028" s="247" t="s">
        <v>265</v>
      </c>
      <c r="C3028" s="247" t="s">
        <v>1492</v>
      </c>
      <c r="D3028" s="247" t="s">
        <v>509</v>
      </c>
      <c r="E3028" s="247" t="s">
        <v>926</v>
      </c>
      <c r="F3028" s="247" t="s">
        <v>2318</v>
      </c>
      <c r="G3028" s="247" t="s">
        <v>1499</v>
      </c>
      <c r="H3028" s="247"/>
      <c r="I3028" s="247" t="s">
        <v>2319</v>
      </c>
      <c r="J3028" s="247">
        <v>61</v>
      </c>
      <c r="K3028" s="247">
        <v>61</v>
      </c>
      <c r="L3028" s="249" t="s">
        <v>652</v>
      </c>
      <c r="M3028" s="249" t="s">
        <v>933</v>
      </c>
      <c r="N3028" s="248">
        <v>3865.12</v>
      </c>
      <c r="O3028" s="248">
        <v>85655.679999999993</v>
      </c>
      <c r="P3028" s="247" t="s">
        <v>1500</v>
      </c>
      <c r="Q3028" s="247" t="s">
        <v>86</v>
      </c>
    </row>
    <row r="3029" spans="1:17" x14ac:dyDescent="0.25">
      <c r="A3029" s="247" t="s">
        <v>646</v>
      </c>
      <c r="B3029" s="247" t="s">
        <v>265</v>
      </c>
      <c r="C3029" s="247" t="s">
        <v>1492</v>
      </c>
      <c r="D3029" s="247" t="s">
        <v>509</v>
      </c>
      <c r="E3029" s="247" t="s">
        <v>926</v>
      </c>
      <c r="F3029" s="247" t="s">
        <v>2318</v>
      </c>
      <c r="G3029" s="247" t="s">
        <v>1499</v>
      </c>
      <c r="H3029" s="247"/>
      <c r="I3029" s="247" t="s">
        <v>2319</v>
      </c>
      <c r="J3029" s="247">
        <v>61</v>
      </c>
      <c r="K3029" s="247">
        <v>61</v>
      </c>
      <c r="L3029" s="249" t="s">
        <v>791</v>
      </c>
      <c r="M3029" s="249" t="s">
        <v>929</v>
      </c>
      <c r="N3029" s="248">
        <v>86.88</v>
      </c>
      <c r="O3029" s="248">
        <v>86.88</v>
      </c>
      <c r="P3029" s="247" t="s">
        <v>1500</v>
      </c>
      <c r="Q3029" s="247" t="s">
        <v>88</v>
      </c>
    </row>
    <row r="3030" spans="1:17" x14ac:dyDescent="0.25">
      <c r="A3030" s="247" t="s">
        <v>646</v>
      </c>
      <c r="B3030" s="247" t="s">
        <v>265</v>
      </c>
      <c r="C3030" s="247" t="s">
        <v>1492</v>
      </c>
      <c r="D3030" s="247" t="s">
        <v>509</v>
      </c>
      <c r="E3030" s="247" t="s">
        <v>926</v>
      </c>
      <c r="F3030" s="247" t="s">
        <v>2318</v>
      </c>
      <c r="G3030" s="247" t="s">
        <v>1499</v>
      </c>
      <c r="H3030" s="247"/>
      <c r="I3030" s="247" t="s">
        <v>2319</v>
      </c>
      <c r="J3030" s="247">
        <v>61</v>
      </c>
      <c r="K3030" s="247">
        <v>61</v>
      </c>
      <c r="L3030" s="249" t="s">
        <v>935</v>
      </c>
      <c r="M3030" s="249" t="s">
        <v>929</v>
      </c>
      <c r="N3030" s="248">
        <v>0</v>
      </c>
      <c r="O3030" s="248">
        <v>86.88</v>
      </c>
      <c r="P3030" s="247" t="s">
        <v>1500</v>
      </c>
      <c r="Q3030" s="247" t="s">
        <v>89</v>
      </c>
    </row>
    <row r="3031" spans="1:17" x14ac:dyDescent="0.25">
      <c r="A3031" s="247" t="s">
        <v>646</v>
      </c>
      <c r="B3031" s="247" t="s">
        <v>265</v>
      </c>
      <c r="C3031" s="247" t="s">
        <v>1492</v>
      </c>
      <c r="D3031" s="247" t="s">
        <v>509</v>
      </c>
      <c r="E3031" s="247" t="s">
        <v>926</v>
      </c>
      <c r="F3031" s="247" t="s">
        <v>2318</v>
      </c>
      <c r="G3031" s="247" t="s">
        <v>1499</v>
      </c>
      <c r="H3031" s="247"/>
      <c r="I3031" s="247" t="s">
        <v>2319</v>
      </c>
      <c r="J3031" s="247">
        <v>61</v>
      </c>
      <c r="K3031" s="247">
        <v>61</v>
      </c>
      <c r="L3031" s="249" t="s">
        <v>936</v>
      </c>
      <c r="M3031" s="249" t="s">
        <v>929</v>
      </c>
      <c r="N3031" s="248">
        <v>0</v>
      </c>
      <c r="O3031" s="248">
        <v>86.88</v>
      </c>
      <c r="P3031" s="247" t="s">
        <v>1500</v>
      </c>
      <c r="Q3031" s="247" t="s">
        <v>90</v>
      </c>
    </row>
    <row r="3032" spans="1:17" x14ac:dyDescent="0.25">
      <c r="A3032" s="247" t="s">
        <v>646</v>
      </c>
      <c r="B3032" s="247" t="s">
        <v>265</v>
      </c>
      <c r="C3032" s="247" t="s">
        <v>1492</v>
      </c>
      <c r="D3032" s="247" t="s">
        <v>509</v>
      </c>
      <c r="E3032" s="247" t="s">
        <v>926</v>
      </c>
      <c r="F3032" s="247" t="s">
        <v>2318</v>
      </c>
      <c r="G3032" s="247" t="s">
        <v>1499</v>
      </c>
      <c r="H3032" s="247"/>
      <c r="I3032" s="247" t="s">
        <v>2319</v>
      </c>
      <c r="J3032" s="247">
        <v>61</v>
      </c>
      <c r="K3032" s="247">
        <v>61</v>
      </c>
      <c r="L3032" s="249" t="s">
        <v>937</v>
      </c>
      <c r="M3032" s="249" t="s">
        <v>929</v>
      </c>
      <c r="N3032" s="248">
        <v>0</v>
      </c>
      <c r="O3032" s="248">
        <v>86.88</v>
      </c>
      <c r="P3032" s="247" t="s">
        <v>1500</v>
      </c>
      <c r="Q3032" s="247" t="s">
        <v>91</v>
      </c>
    </row>
    <row r="3033" spans="1:17" x14ac:dyDescent="0.25">
      <c r="A3033" s="247" t="s">
        <v>646</v>
      </c>
      <c r="B3033" s="247" t="s">
        <v>265</v>
      </c>
      <c r="C3033" s="247" t="s">
        <v>1492</v>
      </c>
      <c r="D3033" s="247" t="s">
        <v>509</v>
      </c>
      <c r="E3033" s="247" t="s">
        <v>926</v>
      </c>
      <c r="F3033" s="247" t="s">
        <v>2318</v>
      </c>
      <c r="G3033" s="247" t="s">
        <v>1499</v>
      </c>
      <c r="H3033" s="247"/>
      <c r="I3033" s="247" t="s">
        <v>2319</v>
      </c>
      <c r="J3033" s="247">
        <v>61</v>
      </c>
      <c r="K3033" s="247">
        <v>61</v>
      </c>
      <c r="L3033" s="249" t="s">
        <v>938</v>
      </c>
      <c r="M3033" s="249" t="s">
        <v>929</v>
      </c>
      <c r="N3033" s="248">
        <v>0</v>
      </c>
      <c r="O3033" s="248">
        <v>86.88</v>
      </c>
      <c r="P3033" s="247" t="s">
        <v>1500</v>
      </c>
      <c r="Q3033" s="247" t="s">
        <v>92</v>
      </c>
    </row>
    <row r="3034" spans="1:17" x14ac:dyDescent="0.25">
      <c r="A3034" s="247" t="s">
        <v>646</v>
      </c>
      <c r="B3034" s="247" t="s">
        <v>265</v>
      </c>
      <c r="C3034" s="247" t="s">
        <v>1492</v>
      </c>
      <c r="D3034" s="247" t="s">
        <v>509</v>
      </c>
      <c r="E3034" s="247" t="s">
        <v>926</v>
      </c>
      <c r="F3034" s="247" t="s">
        <v>2318</v>
      </c>
      <c r="G3034" s="247" t="s">
        <v>1499</v>
      </c>
      <c r="H3034" s="247"/>
      <c r="I3034" s="247" t="s">
        <v>2319</v>
      </c>
      <c r="J3034" s="247">
        <v>61</v>
      </c>
      <c r="K3034" s="247">
        <v>61</v>
      </c>
      <c r="L3034" s="249" t="s">
        <v>939</v>
      </c>
      <c r="M3034" s="249" t="s">
        <v>929</v>
      </c>
      <c r="N3034" s="248">
        <v>0</v>
      </c>
      <c r="O3034" s="248">
        <v>86.88</v>
      </c>
      <c r="P3034" s="247" t="s">
        <v>1500</v>
      </c>
      <c r="Q3034" s="247" t="s">
        <v>93</v>
      </c>
    </row>
    <row r="3035" spans="1:17" x14ac:dyDescent="0.25">
      <c r="A3035" s="247" t="s">
        <v>646</v>
      </c>
      <c r="B3035" s="247" t="s">
        <v>265</v>
      </c>
      <c r="C3035" s="247" t="s">
        <v>1492</v>
      </c>
      <c r="D3035" s="247" t="s">
        <v>509</v>
      </c>
      <c r="E3035" s="247" t="s">
        <v>926</v>
      </c>
      <c r="F3035" s="247" t="s">
        <v>2318</v>
      </c>
      <c r="G3035" s="247" t="s">
        <v>1499</v>
      </c>
      <c r="H3035" s="247"/>
      <c r="I3035" s="247" t="s">
        <v>2319</v>
      </c>
      <c r="J3035" s="247">
        <v>61</v>
      </c>
      <c r="K3035" s="247">
        <v>61</v>
      </c>
      <c r="L3035" s="249" t="s">
        <v>940</v>
      </c>
      <c r="M3035" s="249" t="s">
        <v>929</v>
      </c>
      <c r="N3035" s="248">
        <v>-27.15</v>
      </c>
      <c r="O3035" s="248">
        <v>59.73</v>
      </c>
      <c r="P3035" s="247" t="s">
        <v>1500</v>
      </c>
      <c r="Q3035" s="247" t="s">
        <v>94</v>
      </c>
    </row>
    <row r="3036" spans="1:17" x14ac:dyDescent="0.25">
      <c r="A3036" s="247" t="s">
        <v>646</v>
      </c>
      <c r="B3036" s="247" t="s">
        <v>265</v>
      </c>
      <c r="C3036" s="247" t="s">
        <v>1492</v>
      </c>
      <c r="D3036" s="247" t="s">
        <v>509</v>
      </c>
      <c r="E3036" s="247" t="s">
        <v>926</v>
      </c>
      <c r="F3036" s="247" t="s">
        <v>2318</v>
      </c>
      <c r="G3036" s="247" t="s">
        <v>1499</v>
      </c>
      <c r="H3036" s="247"/>
      <c r="I3036" s="247" t="s">
        <v>2319</v>
      </c>
      <c r="J3036" s="247">
        <v>61</v>
      </c>
      <c r="K3036" s="247">
        <v>61</v>
      </c>
      <c r="L3036" s="249" t="s">
        <v>642</v>
      </c>
      <c r="M3036" s="249" t="s">
        <v>929</v>
      </c>
      <c r="N3036" s="248">
        <v>0</v>
      </c>
      <c r="O3036" s="248">
        <v>59.73</v>
      </c>
      <c r="P3036" s="247" t="s">
        <v>1500</v>
      </c>
      <c r="Q3036" s="247" t="s">
        <v>95</v>
      </c>
    </row>
    <row r="3037" spans="1:17" x14ac:dyDescent="0.25">
      <c r="A3037" s="247" t="s">
        <v>646</v>
      </c>
      <c r="B3037" s="247" t="s">
        <v>265</v>
      </c>
      <c r="C3037" s="247" t="s">
        <v>1492</v>
      </c>
      <c r="D3037" s="247" t="s">
        <v>926</v>
      </c>
      <c r="E3037" s="247" t="s">
        <v>1324</v>
      </c>
      <c r="F3037" s="247" t="s">
        <v>2320</v>
      </c>
      <c r="G3037" s="247" t="s">
        <v>1501</v>
      </c>
      <c r="H3037" s="247" t="s">
        <v>396</v>
      </c>
      <c r="I3037" s="247" t="s">
        <v>2321</v>
      </c>
      <c r="J3037" s="247">
        <v>58</v>
      </c>
      <c r="K3037" s="247">
        <v>58</v>
      </c>
      <c r="L3037" s="249" t="s">
        <v>652</v>
      </c>
      <c r="M3037" s="249" t="s">
        <v>933</v>
      </c>
      <c r="N3037" s="248">
        <v>13.49</v>
      </c>
      <c r="O3037" s="248">
        <v>13.49</v>
      </c>
      <c r="P3037" s="247" t="s">
        <v>1502</v>
      </c>
      <c r="Q3037" s="247" t="s">
        <v>86</v>
      </c>
    </row>
    <row r="3038" spans="1:17" x14ac:dyDescent="0.25">
      <c r="A3038" s="247" t="s">
        <v>646</v>
      </c>
      <c r="B3038" s="247" t="s">
        <v>265</v>
      </c>
      <c r="C3038" s="247" t="s">
        <v>1492</v>
      </c>
      <c r="D3038" s="247" t="s">
        <v>926</v>
      </c>
      <c r="E3038" s="247" t="s">
        <v>1324</v>
      </c>
      <c r="F3038" s="247" t="s">
        <v>2320</v>
      </c>
      <c r="G3038" s="247" t="s">
        <v>1501</v>
      </c>
      <c r="H3038" s="247" t="s">
        <v>396</v>
      </c>
      <c r="I3038" s="247" t="s">
        <v>2321</v>
      </c>
      <c r="J3038" s="247">
        <v>58</v>
      </c>
      <c r="K3038" s="247">
        <v>58</v>
      </c>
      <c r="L3038" s="249" t="s">
        <v>789</v>
      </c>
      <c r="M3038" s="249" t="s">
        <v>929</v>
      </c>
      <c r="N3038" s="248">
        <v>595.14</v>
      </c>
      <c r="O3038" s="248">
        <v>595.14</v>
      </c>
      <c r="P3038" s="247" t="s">
        <v>1502</v>
      </c>
      <c r="Q3038" s="247" t="s">
        <v>87</v>
      </c>
    </row>
    <row r="3039" spans="1:17" x14ac:dyDescent="0.25">
      <c r="A3039" s="247" t="s">
        <v>646</v>
      </c>
      <c r="B3039" s="247" t="s">
        <v>265</v>
      </c>
      <c r="C3039" s="247" t="s">
        <v>1492</v>
      </c>
      <c r="D3039" s="247" t="s">
        <v>926</v>
      </c>
      <c r="E3039" s="247" t="s">
        <v>1324</v>
      </c>
      <c r="F3039" s="247" t="s">
        <v>2320</v>
      </c>
      <c r="G3039" s="247" t="s">
        <v>1501</v>
      </c>
      <c r="H3039" s="247" t="s">
        <v>396</v>
      </c>
      <c r="I3039" s="247" t="s">
        <v>2321</v>
      </c>
      <c r="J3039" s="247">
        <v>58</v>
      </c>
      <c r="K3039" s="247">
        <v>58</v>
      </c>
      <c r="L3039" s="249" t="s">
        <v>791</v>
      </c>
      <c r="M3039" s="249" t="s">
        <v>929</v>
      </c>
      <c r="N3039" s="248">
        <v>160.53</v>
      </c>
      <c r="O3039" s="248">
        <v>755.67</v>
      </c>
      <c r="P3039" s="247" t="s">
        <v>1502</v>
      </c>
      <c r="Q3039" s="247" t="s">
        <v>88</v>
      </c>
    </row>
    <row r="3040" spans="1:17" x14ac:dyDescent="0.25">
      <c r="A3040" s="247" t="s">
        <v>646</v>
      </c>
      <c r="B3040" s="247" t="s">
        <v>265</v>
      </c>
      <c r="C3040" s="247" t="s">
        <v>1492</v>
      </c>
      <c r="D3040" s="247" t="s">
        <v>926</v>
      </c>
      <c r="E3040" s="247" t="s">
        <v>1324</v>
      </c>
      <c r="F3040" s="247" t="s">
        <v>2320</v>
      </c>
      <c r="G3040" s="247" t="s">
        <v>1501</v>
      </c>
      <c r="H3040" s="247" t="s">
        <v>396</v>
      </c>
      <c r="I3040" s="247" t="s">
        <v>2321</v>
      </c>
      <c r="J3040" s="247">
        <v>58</v>
      </c>
      <c r="K3040" s="247">
        <v>58</v>
      </c>
      <c r="L3040" s="249" t="s">
        <v>935</v>
      </c>
      <c r="M3040" s="249" t="s">
        <v>929</v>
      </c>
      <c r="N3040" s="248">
        <v>48.53</v>
      </c>
      <c r="O3040" s="248">
        <v>804.2</v>
      </c>
      <c r="P3040" s="247" t="s">
        <v>1502</v>
      </c>
      <c r="Q3040" s="247" t="s">
        <v>89</v>
      </c>
    </row>
    <row r="3041" spans="1:17" x14ac:dyDescent="0.25">
      <c r="A3041" s="247" t="s">
        <v>646</v>
      </c>
      <c r="B3041" s="247" t="s">
        <v>265</v>
      </c>
      <c r="C3041" s="247" t="s">
        <v>1492</v>
      </c>
      <c r="D3041" s="247" t="s">
        <v>926</v>
      </c>
      <c r="E3041" s="247" t="s">
        <v>1324</v>
      </c>
      <c r="F3041" s="247" t="s">
        <v>2320</v>
      </c>
      <c r="G3041" s="247" t="s">
        <v>1501</v>
      </c>
      <c r="H3041" s="247" t="s">
        <v>396</v>
      </c>
      <c r="I3041" s="247" t="s">
        <v>2321</v>
      </c>
      <c r="J3041" s="247">
        <v>58</v>
      </c>
      <c r="K3041" s="247">
        <v>58</v>
      </c>
      <c r="L3041" s="249" t="s">
        <v>936</v>
      </c>
      <c r="M3041" s="249" t="s">
        <v>929</v>
      </c>
      <c r="N3041" s="248">
        <v>1011.05</v>
      </c>
      <c r="O3041" s="248">
        <v>1815.25</v>
      </c>
      <c r="P3041" s="247" t="s">
        <v>1502</v>
      </c>
      <c r="Q3041" s="247" t="s">
        <v>90</v>
      </c>
    </row>
    <row r="3042" spans="1:17" x14ac:dyDescent="0.25">
      <c r="A3042" s="247" t="s">
        <v>646</v>
      </c>
      <c r="B3042" s="247" t="s">
        <v>265</v>
      </c>
      <c r="C3042" s="247" t="s">
        <v>1492</v>
      </c>
      <c r="D3042" s="247" t="s">
        <v>926</v>
      </c>
      <c r="E3042" s="247" t="s">
        <v>1324</v>
      </c>
      <c r="F3042" s="247" t="s">
        <v>2320</v>
      </c>
      <c r="G3042" s="247" t="s">
        <v>1501</v>
      </c>
      <c r="H3042" s="247" t="s">
        <v>396</v>
      </c>
      <c r="I3042" s="247" t="s">
        <v>2321</v>
      </c>
      <c r="J3042" s="247">
        <v>58</v>
      </c>
      <c r="K3042" s="247">
        <v>58</v>
      </c>
      <c r="L3042" s="249" t="s">
        <v>937</v>
      </c>
      <c r="M3042" s="249" t="s">
        <v>929</v>
      </c>
      <c r="N3042" s="248">
        <v>628.22</v>
      </c>
      <c r="O3042" s="248">
        <v>2443.4699999999998</v>
      </c>
      <c r="P3042" s="247" t="s">
        <v>1502</v>
      </c>
      <c r="Q3042" s="247" t="s">
        <v>91</v>
      </c>
    </row>
    <row r="3043" spans="1:17" x14ac:dyDescent="0.25">
      <c r="A3043" s="247" t="s">
        <v>646</v>
      </c>
      <c r="B3043" s="247" t="s">
        <v>265</v>
      </c>
      <c r="C3043" s="247" t="s">
        <v>1492</v>
      </c>
      <c r="D3043" s="247" t="s">
        <v>926</v>
      </c>
      <c r="E3043" s="247" t="s">
        <v>1324</v>
      </c>
      <c r="F3043" s="247" t="s">
        <v>2320</v>
      </c>
      <c r="G3043" s="247" t="s">
        <v>1501</v>
      </c>
      <c r="H3043" s="247" t="s">
        <v>396</v>
      </c>
      <c r="I3043" s="247" t="s">
        <v>2321</v>
      </c>
      <c r="J3043" s="247">
        <v>58</v>
      </c>
      <c r="K3043" s="247">
        <v>58</v>
      </c>
      <c r="L3043" s="249" t="s">
        <v>938</v>
      </c>
      <c r="M3043" s="249" t="s">
        <v>929</v>
      </c>
      <c r="N3043" s="248">
        <v>427.88</v>
      </c>
      <c r="O3043" s="248">
        <v>2871.35</v>
      </c>
      <c r="P3043" s="247" t="s">
        <v>1502</v>
      </c>
      <c r="Q3043" s="247" t="s">
        <v>92</v>
      </c>
    </row>
    <row r="3044" spans="1:17" x14ac:dyDescent="0.25">
      <c r="A3044" s="247" t="s">
        <v>646</v>
      </c>
      <c r="B3044" s="247" t="s">
        <v>265</v>
      </c>
      <c r="C3044" s="247" t="s">
        <v>1492</v>
      </c>
      <c r="D3044" s="247" t="s">
        <v>926</v>
      </c>
      <c r="E3044" s="247" t="s">
        <v>1324</v>
      </c>
      <c r="F3044" s="247" t="s">
        <v>2320</v>
      </c>
      <c r="G3044" s="247" t="s">
        <v>1501</v>
      </c>
      <c r="H3044" s="247" t="s">
        <v>396</v>
      </c>
      <c r="I3044" s="247" t="s">
        <v>2321</v>
      </c>
      <c r="J3044" s="247">
        <v>58</v>
      </c>
      <c r="K3044" s="247">
        <v>58</v>
      </c>
      <c r="L3044" s="249" t="s">
        <v>939</v>
      </c>
      <c r="M3044" s="249" t="s">
        <v>929</v>
      </c>
      <c r="N3044" s="248">
        <v>1812.91</v>
      </c>
      <c r="O3044" s="248">
        <v>4684.26</v>
      </c>
      <c r="P3044" s="247" t="s">
        <v>1502</v>
      </c>
      <c r="Q3044" s="247" t="s">
        <v>93</v>
      </c>
    </row>
    <row r="3045" spans="1:17" x14ac:dyDescent="0.25">
      <c r="A3045" s="247" t="s">
        <v>646</v>
      </c>
      <c r="B3045" s="247" t="s">
        <v>265</v>
      </c>
      <c r="C3045" s="247" t="s">
        <v>1492</v>
      </c>
      <c r="D3045" s="247" t="s">
        <v>926</v>
      </c>
      <c r="E3045" s="247" t="s">
        <v>1324</v>
      </c>
      <c r="F3045" s="247" t="s">
        <v>2320</v>
      </c>
      <c r="G3045" s="247" t="s">
        <v>1501</v>
      </c>
      <c r="H3045" s="247" t="s">
        <v>396</v>
      </c>
      <c r="I3045" s="247" t="s">
        <v>2321</v>
      </c>
      <c r="J3045" s="247">
        <v>58</v>
      </c>
      <c r="K3045" s="247">
        <v>58</v>
      </c>
      <c r="L3045" s="249" t="s">
        <v>940</v>
      </c>
      <c r="M3045" s="249" t="s">
        <v>929</v>
      </c>
      <c r="N3045" s="248">
        <v>1043.48</v>
      </c>
      <c r="O3045" s="248">
        <v>5727.74</v>
      </c>
      <c r="P3045" s="247" t="s">
        <v>1502</v>
      </c>
      <c r="Q3045" s="247" t="s">
        <v>94</v>
      </c>
    </row>
    <row r="3046" spans="1:17" x14ac:dyDescent="0.25">
      <c r="A3046" s="247" t="s">
        <v>646</v>
      </c>
      <c r="B3046" s="247" t="s">
        <v>265</v>
      </c>
      <c r="C3046" s="247" t="s">
        <v>1492</v>
      </c>
      <c r="D3046" s="247" t="s">
        <v>926</v>
      </c>
      <c r="E3046" s="247" t="s">
        <v>1324</v>
      </c>
      <c r="F3046" s="247" t="s">
        <v>2320</v>
      </c>
      <c r="G3046" s="247" t="s">
        <v>1501</v>
      </c>
      <c r="H3046" s="247" t="s">
        <v>396</v>
      </c>
      <c r="I3046" s="247" t="s">
        <v>2321</v>
      </c>
      <c r="J3046" s="247">
        <v>58</v>
      </c>
      <c r="K3046" s="247">
        <v>58</v>
      </c>
      <c r="L3046" s="249" t="s">
        <v>642</v>
      </c>
      <c r="M3046" s="249" t="s">
        <v>929</v>
      </c>
      <c r="N3046" s="248">
        <v>234.11</v>
      </c>
      <c r="O3046" s="248">
        <v>5961.85</v>
      </c>
      <c r="P3046" s="247" t="s">
        <v>1502</v>
      </c>
      <c r="Q3046" s="247" t="s">
        <v>95</v>
      </c>
    </row>
    <row r="3047" spans="1:17" x14ac:dyDescent="0.25">
      <c r="A3047" s="247" t="s">
        <v>646</v>
      </c>
      <c r="B3047" s="247" t="s">
        <v>265</v>
      </c>
      <c r="C3047" s="247" t="s">
        <v>1492</v>
      </c>
      <c r="D3047" s="247" t="s">
        <v>823</v>
      </c>
      <c r="E3047" s="247" t="s">
        <v>1324</v>
      </c>
      <c r="F3047" s="247" t="s">
        <v>2322</v>
      </c>
      <c r="G3047" s="247" t="s">
        <v>1503</v>
      </c>
      <c r="H3047" s="247" t="s">
        <v>396</v>
      </c>
      <c r="I3047" s="247" t="s">
        <v>2323</v>
      </c>
      <c r="J3047" s="247">
        <v>60</v>
      </c>
      <c r="K3047" s="247">
        <v>60</v>
      </c>
      <c r="L3047" s="249" t="s">
        <v>652</v>
      </c>
      <c r="M3047" s="249" t="s">
        <v>933</v>
      </c>
      <c r="N3047" s="248">
        <v>191.95</v>
      </c>
      <c r="O3047" s="248">
        <v>191.95</v>
      </c>
      <c r="P3047" s="247" t="s">
        <v>1504</v>
      </c>
      <c r="Q3047" s="247" t="s">
        <v>86</v>
      </c>
    </row>
    <row r="3048" spans="1:17" x14ac:dyDescent="0.25">
      <c r="A3048" s="247" t="s">
        <v>646</v>
      </c>
      <c r="B3048" s="247" t="s">
        <v>265</v>
      </c>
      <c r="C3048" s="247" t="s">
        <v>1492</v>
      </c>
      <c r="D3048" s="247" t="s">
        <v>823</v>
      </c>
      <c r="E3048" s="247" t="s">
        <v>1324</v>
      </c>
      <c r="F3048" s="247" t="s">
        <v>2322</v>
      </c>
      <c r="G3048" s="247" t="s">
        <v>1503</v>
      </c>
      <c r="H3048" s="247" t="s">
        <v>396</v>
      </c>
      <c r="I3048" s="247" t="s">
        <v>2323</v>
      </c>
      <c r="J3048" s="247">
        <v>60</v>
      </c>
      <c r="K3048" s="247">
        <v>60</v>
      </c>
      <c r="L3048" s="249" t="s">
        <v>789</v>
      </c>
      <c r="M3048" s="249" t="s">
        <v>929</v>
      </c>
      <c r="N3048" s="248">
        <v>1618.6</v>
      </c>
      <c r="O3048" s="248">
        <v>1618.6</v>
      </c>
      <c r="P3048" s="247" t="s">
        <v>1504</v>
      </c>
      <c r="Q3048" s="247" t="s">
        <v>87</v>
      </c>
    </row>
    <row r="3049" spans="1:17" x14ac:dyDescent="0.25">
      <c r="A3049" s="247" t="s">
        <v>646</v>
      </c>
      <c r="B3049" s="247" t="s">
        <v>265</v>
      </c>
      <c r="C3049" s="247" t="s">
        <v>1492</v>
      </c>
      <c r="D3049" s="247" t="s">
        <v>823</v>
      </c>
      <c r="E3049" s="247" t="s">
        <v>1324</v>
      </c>
      <c r="F3049" s="247" t="s">
        <v>2322</v>
      </c>
      <c r="G3049" s="247" t="s">
        <v>1503</v>
      </c>
      <c r="H3049" s="247" t="s">
        <v>396</v>
      </c>
      <c r="I3049" s="247" t="s">
        <v>2323</v>
      </c>
      <c r="J3049" s="247">
        <v>60</v>
      </c>
      <c r="K3049" s="247">
        <v>60</v>
      </c>
      <c r="L3049" s="249" t="s">
        <v>791</v>
      </c>
      <c r="M3049" s="249" t="s">
        <v>929</v>
      </c>
      <c r="N3049" s="248">
        <v>582.19000000000005</v>
      </c>
      <c r="O3049" s="248">
        <v>2200.79</v>
      </c>
      <c r="P3049" s="247" t="s">
        <v>1504</v>
      </c>
      <c r="Q3049" s="247" t="s">
        <v>88</v>
      </c>
    </row>
    <row r="3050" spans="1:17" x14ac:dyDescent="0.25">
      <c r="A3050" s="247" t="s">
        <v>646</v>
      </c>
      <c r="B3050" s="247" t="s">
        <v>265</v>
      </c>
      <c r="C3050" s="247" t="s">
        <v>1492</v>
      </c>
      <c r="D3050" s="247" t="s">
        <v>823</v>
      </c>
      <c r="E3050" s="247" t="s">
        <v>1324</v>
      </c>
      <c r="F3050" s="247" t="s">
        <v>2322</v>
      </c>
      <c r="G3050" s="247" t="s">
        <v>1503</v>
      </c>
      <c r="H3050" s="247" t="s">
        <v>396</v>
      </c>
      <c r="I3050" s="247" t="s">
        <v>2323</v>
      </c>
      <c r="J3050" s="247">
        <v>60</v>
      </c>
      <c r="K3050" s="247">
        <v>60</v>
      </c>
      <c r="L3050" s="249" t="s">
        <v>935</v>
      </c>
      <c r="M3050" s="249" t="s">
        <v>929</v>
      </c>
      <c r="N3050" s="248">
        <v>0</v>
      </c>
      <c r="O3050" s="248">
        <v>2200.79</v>
      </c>
      <c r="P3050" s="247" t="s">
        <v>1504</v>
      </c>
      <c r="Q3050" s="247" t="s">
        <v>89</v>
      </c>
    </row>
    <row r="3051" spans="1:17" x14ac:dyDescent="0.25">
      <c r="A3051" s="247" t="s">
        <v>646</v>
      </c>
      <c r="B3051" s="247" t="s">
        <v>265</v>
      </c>
      <c r="C3051" s="247" t="s">
        <v>1492</v>
      </c>
      <c r="D3051" s="247" t="s">
        <v>823</v>
      </c>
      <c r="E3051" s="247" t="s">
        <v>1324</v>
      </c>
      <c r="F3051" s="247" t="s">
        <v>2322</v>
      </c>
      <c r="G3051" s="247" t="s">
        <v>1503</v>
      </c>
      <c r="H3051" s="247" t="s">
        <v>396</v>
      </c>
      <c r="I3051" s="247" t="s">
        <v>2323</v>
      </c>
      <c r="J3051" s="247">
        <v>60</v>
      </c>
      <c r="K3051" s="247">
        <v>60</v>
      </c>
      <c r="L3051" s="249" t="s">
        <v>936</v>
      </c>
      <c r="M3051" s="249" t="s">
        <v>929</v>
      </c>
      <c r="N3051" s="248">
        <v>251.25</v>
      </c>
      <c r="O3051" s="248">
        <v>2452.04</v>
      </c>
      <c r="P3051" s="247" t="s">
        <v>1504</v>
      </c>
      <c r="Q3051" s="247" t="s">
        <v>90</v>
      </c>
    </row>
    <row r="3052" spans="1:17" x14ac:dyDescent="0.25">
      <c r="A3052" s="247" t="s">
        <v>646</v>
      </c>
      <c r="B3052" s="247" t="s">
        <v>265</v>
      </c>
      <c r="C3052" s="247" t="s">
        <v>1492</v>
      </c>
      <c r="D3052" s="247" t="s">
        <v>823</v>
      </c>
      <c r="E3052" s="247" t="s">
        <v>1324</v>
      </c>
      <c r="F3052" s="247" t="s">
        <v>2322</v>
      </c>
      <c r="G3052" s="247" t="s">
        <v>1503</v>
      </c>
      <c r="H3052" s="247" t="s">
        <v>396</v>
      </c>
      <c r="I3052" s="247" t="s">
        <v>2323</v>
      </c>
      <c r="J3052" s="247">
        <v>60</v>
      </c>
      <c r="K3052" s="247">
        <v>60</v>
      </c>
      <c r="L3052" s="249" t="s">
        <v>937</v>
      </c>
      <c r="M3052" s="249" t="s">
        <v>929</v>
      </c>
      <c r="N3052" s="248">
        <v>200.39</v>
      </c>
      <c r="O3052" s="248">
        <v>2652.43</v>
      </c>
      <c r="P3052" s="247" t="s">
        <v>1504</v>
      </c>
      <c r="Q3052" s="247" t="s">
        <v>91</v>
      </c>
    </row>
    <row r="3053" spans="1:17" x14ac:dyDescent="0.25">
      <c r="A3053" s="247" t="s">
        <v>646</v>
      </c>
      <c r="B3053" s="247" t="s">
        <v>265</v>
      </c>
      <c r="C3053" s="247" t="s">
        <v>1492</v>
      </c>
      <c r="D3053" s="247" t="s">
        <v>823</v>
      </c>
      <c r="E3053" s="247" t="s">
        <v>1324</v>
      </c>
      <c r="F3053" s="247" t="s">
        <v>2322</v>
      </c>
      <c r="G3053" s="247" t="s">
        <v>1503</v>
      </c>
      <c r="H3053" s="247" t="s">
        <v>396</v>
      </c>
      <c r="I3053" s="247" t="s">
        <v>2323</v>
      </c>
      <c r="J3053" s="247">
        <v>60</v>
      </c>
      <c r="K3053" s="247">
        <v>60</v>
      </c>
      <c r="L3053" s="249" t="s">
        <v>938</v>
      </c>
      <c r="M3053" s="249" t="s">
        <v>929</v>
      </c>
      <c r="N3053" s="248">
        <v>52.1</v>
      </c>
      <c r="O3053" s="248">
        <v>2704.53</v>
      </c>
      <c r="P3053" s="247" t="s">
        <v>1504</v>
      </c>
      <c r="Q3053" s="247" t="s">
        <v>92</v>
      </c>
    </row>
    <row r="3054" spans="1:17" x14ac:dyDescent="0.25">
      <c r="A3054" s="247" t="s">
        <v>646</v>
      </c>
      <c r="B3054" s="247" t="s">
        <v>265</v>
      </c>
      <c r="C3054" s="247" t="s">
        <v>1492</v>
      </c>
      <c r="D3054" s="247" t="s">
        <v>823</v>
      </c>
      <c r="E3054" s="247" t="s">
        <v>1324</v>
      </c>
      <c r="F3054" s="247" t="s">
        <v>2322</v>
      </c>
      <c r="G3054" s="247" t="s">
        <v>1503</v>
      </c>
      <c r="H3054" s="247" t="s">
        <v>396</v>
      </c>
      <c r="I3054" s="247" t="s">
        <v>2323</v>
      </c>
      <c r="J3054" s="247">
        <v>60</v>
      </c>
      <c r="K3054" s="247">
        <v>60</v>
      </c>
      <c r="L3054" s="249" t="s">
        <v>939</v>
      </c>
      <c r="M3054" s="249" t="s">
        <v>929</v>
      </c>
      <c r="N3054" s="248">
        <v>0</v>
      </c>
      <c r="O3054" s="248">
        <v>2704.53</v>
      </c>
      <c r="P3054" s="247" t="s">
        <v>1504</v>
      </c>
      <c r="Q3054" s="247" t="s">
        <v>93</v>
      </c>
    </row>
    <row r="3055" spans="1:17" x14ac:dyDescent="0.25">
      <c r="A3055" s="247" t="s">
        <v>646</v>
      </c>
      <c r="B3055" s="247" t="s">
        <v>265</v>
      </c>
      <c r="C3055" s="247" t="s">
        <v>1492</v>
      </c>
      <c r="D3055" s="247" t="s">
        <v>823</v>
      </c>
      <c r="E3055" s="247" t="s">
        <v>1324</v>
      </c>
      <c r="F3055" s="247" t="s">
        <v>2322</v>
      </c>
      <c r="G3055" s="247" t="s">
        <v>1503</v>
      </c>
      <c r="H3055" s="247" t="s">
        <v>396</v>
      </c>
      <c r="I3055" s="247" t="s">
        <v>2323</v>
      </c>
      <c r="J3055" s="247">
        <v>60</v>
      </c>
      <c r="K3055" s="247">
        <v>60</v>
      </c>
      <c r="L3055" s="249" t="s">
        <v>940</v>
      </c>
      <c r="M3055" s="249" t="s">
        <v>929</v>
      </c>
      <c r="N3055" s="248">
        <v>191.53</v>
      </c>
      <c r="O3055" s="248">
        <v>2896.06</v>
      </c>
      <c r="P3055" s="247" t="s">
        <v>1504</v>
      </c>
      <c r="Q3055" s="247" t="s">
        <v>94</v>
      </c>
    </row>
    <row r="3056" spans="1:17" x14ac:dyDescent="0.25">
      <c r="A3056" s="247" t="s">
        <v>646</v>
      </c>
      <c r="B3056" s="247" t="s">
        <v>265</v>
      </c>
      <c r="C3056" s="247" t="s">
        <v>1492</v>
      </c>
      <c r="D3056" s="247" t="s">
        <v>823</v>
      </c>
      <c r="E3056" s="247" t="s">
        <v>1324</v>
      </c>
      <c r="F3056" s="247" t="s">
        <v>2322</v>
      </c>
      <c r="G3056" s="247" t="s">
        <v>1503</v>
      </c>
      <c r="H3056" s="247" t="s">
        <v>396</v>
      </c>
      <c r="I3056" s="247" t="s">
        <v>2323</v>
      </c>
      <c r="J3056" s="247">
        <v>60</v>
      </c>
      <c r="K3056" s="247">
        <v>60</v>
      </c>
      <c r="L3056" s="249" t="s">
        <v>642</v>
      </c>
      <c r="M3056" s="249" t="s">
        <v>929</v>
      </c>
      <c r="N3056" s="248">
        <v>67.98</v>
      </c>
      <c r="O3056" s="248">
        <v>2964.04</v>
      </c>
      <c r="P3056" s="247" t="s">
        <v>1504</v>
      </c>
      <c r="Q3056" s="247" t="s">
        <v>95</v>
      </c>
    </row>
    <row r="3057" spans="1:17" x14ac:dyDescent="0.25">
      <c r="A3057" s="247" t="s">
        <v>646</v>
      </c>
      <c r="B3057" s="247" t="s">
        <v>265</v>
      </c>
      <c r="C3057" s="247" t="s">
        <v>1492</v>
      </c>
      <c r="D3057" s="247" t="s">
        <v>509</v>
      </c>
      <c r="E3057" s="247" t="s">
        <v>1324</v>
      </c>
      <c r="F3057" s="247" t="s">
        <v>2324</v>
      </c>
      <c r="G3057" s="247" t="s">
        <v>1505</v>
      </c>
      <c r="H3057" s="247" t="s">
        <v>396</v>
      </c>
      <c r="I3057" s="247" t="s">
        <v>2325</v>
      </c>
      <c r="J3057" s="247">
        <v>61</v>
      </c>
      <c r="K3057" s="247">
        <v>61</v>
      </c>
      <c r="L3057" s="249" t="s">
        <v>789</v>
      </c>
      <c r="M3057" s="249" t="s">
        <v>929</v>
      </c>
      <c r="N3057" s="248">
        <v>1440</v>
      </c>
      <c r="O3057" s="248">
        <v>1440</v>
      </c>
      <c r="P3057" s="247" t="s">
        <v>1506</v>
      </c>
      <c r="Q3057" s="247" t="s">
        <v>87</v>
      </c>
    </row>
    <row r="3058" spans="1:17" x14ac:dyDescent="0.25">
      <c r="A3058" s="247" t="s">
        <v>646</v>
      </c>
      <c r="B3058" s="247" t="s">
        <v>265</v>
      </c>
      <c r="C3058" s="247" t="s">
        <v>1492</v>
      </c>
      <c r="D3058" s="247" t="s">
        <v>509</v>
      </c>
      <c r="E3058" s="247" t="s">
        <v>1324</v>
      </c>
      <c r="F3058" s="247" t="s">
        <v>2324</v>
      </c>
      <c r="G3058" s="247" t="s">
        <v>1505</v>
      </c>
      <c r="H3058" s="247" t="s">
        <v>396</v>
      </c>
      <c r="I3058" s="247" t="s">
        <v>2325</v>
      </c>
      <c r="J3058" s="247">
        <v>61</v>
      </c>
      <c r="K3058" s="247">
        <v>61</v>
      </c>
      <c r="L3058" s="249" t="s">
        <v>791</v>
      </c>
      <c r="M3058" s="249" t="s">
        <v>929</v>
      </c>
      <c r="N3058" s="248">
        <v>0</v>
      </c>
      <c r="O3058" s="248">
        <v>1440</v>
      </c>
      <c r="P3058" s="247" t="s">
        <v>1506</v>
      </c>
      <c r="Q3058" s="247" t="s">
        <v>88</v>
      </c>
    </row>
    <row r="3059" spans="1:17" x14ac:dyDescent="0.25">
      <c r="A3059" s="247" t="s">
        <v>646</v>
      </c>
      <c r="B3059" s="247" t="s">
        <v>265</v>
      </c>
      <c r="C3059" s="247" t="s">
        <v>1492</v>
      </c>
      <c r="D3059" s="247" t="s">
        <v>509</v>
      </c>
      <c r="E3059" s="247" t="s">
        <v>1324</v>
      </c>
      <c r="F3059" s="247" t="s">
        <v>2324</v>
      </c>
      <c r="G3059" s="247" t="s">
        <v>1505</v>
      </c>
      <c r="H3059" s="247" t="s">
        <v>396</v>
      </c>
      <c r="I3059" s="247" t="s">
        <v>2325</v>
      </c>
      <c r="J3059" s="247">
        <v>61</v>
      </c>
      <c r="K3059" s="247">
        <v>61</v>
      </c>
      <c r="L3059" s="249" t="s">
        <v>935</v>
      </c>
      <c r="M3059" s="249" t="s">
        <v>929</v>
      </c>
      <c r="N3059" s="248">
        <v>772.65</v>
      </c>
      <c r="O3059" s="248">
        <v>2212.65</v>
      </c>
      <c r="P3059" s="247" t="s">
        <v>1506</v>
      </c>
      <c r="Q3059" s="247" t="s">
        <v>89</v>
      </c>
    </row>
    <row r="3060" spans="1:17" x14ac:dyDescent="0.25">
      <c r="A3060" s="247" t="s">
        <v>646</v>
      </c>
      <c r="B3060" s="247" t="s">
        <v>265</v>
      </c>
      <c r="C3060" s="247" t="s">
        <v>1492</v>
      </c>
      <c r="D3060" s="247" t="s">
        <v>509</v>
      </c>
      <c r="E3060" s="247" t="s">
        <v>1324</v>
      </c>
      <c r="F3060" s="247" t="s">
        <v>2324</v>
      </c>
      <c r="G3060" s="247" t="s">
        <v>1505</v>
      </c>
      <c r="H3060" s="247" t="s">
        <v>396</v>
      </c>
      <c r="I3060" s="247" t="s">
        <v>2325</v>
      </c>
      <c r="J3060" s="247">
        <v>61</v>
      </c>
      <c r="K3060" s="247">
        <v>61</v>
      </c>
      <c r="L3060" s="249" t="s">
        <v>936</v>
      </c>
      <c r="M3060" s="249" t="s">
        <v>929</v>
      </c>
      <c r="N3060" s="248">
        <v>0</v>
      </c>
      <c r="O3060" s="248">
        <v>2212.65</v>
      </c>
      <c r="P3060" s="247" t="s">
        <v>1506</v>
      </c>
      <c r="Q3060" s="247" t="s">
        <v>90</v>
      </c>
    </row>
    <row r="3061" spans="1:17" x14ac:dyDescent="0.25">
      <c r="A3061" s="247" t="s">
        <v>646</v>
      </c>
      <c r="B3061" s="247" t="s">
        <v>265</v>
      </c>
      <c r="C3061" s="247" t="s">
        <v>1492</v>
      </c>
      <c r="D3061" s="247" t="s">
        <v>509</v>
      </c>
      <c r="E3061" s="247" t="s">
        <v>1324</v>
      </c>
      <c r="F3061" s="247" t="s">
        <v>2324</v>
      </c>
      <c r="G3061" s="247" t="s">
        <v>1505</v>
      </c>
      <c r="H3061" s="247" t="s">
        <v>396</v>
      </c>
      <c r="I3061" s="247" t="s">
        <v>2325</v>
      </c>
      <c r="J3061" s="247">
        <v>61</v>
      </c>
      <c r="K3061" s="247">
        <v>61</v>
      </c>
      <c r="L3061" s="249" t="s">
        <v>937</v>
      </c>
      <c r="M3061" s="249" t="s">
        <v>929</v>
      </c>
      <c r="N3061" s="248">
        <v>0</v>
      </c>
      <c r="O3061" s="248">
        <v>2212.65</v>
      </c>
      <c r="P3061" s="247" t="s">
        <v>1506</v>
      </c>
      <c r="Q3061" s="247" t="s">
        <v>91</v>
      </c>
    </row>
    <row r="3062" spans="1:17" x14ac:dyDescent="0.25">
      <c r="A3062" s="247" t="s">
        <v>646</v>
      </c>
      <c r="B3062" s="247" t="s">
        <v>265</v>
      </c>
      <c r="C3062" s="247" t="s">
        <v>1492</v>
      </c>
      <c r="D3062" s="247" t="s">
        <v>509</v>
      </c>
      <c r="E3062" s="247" t="s">
        <v>1324</v>
      </c>
      <c r="F3062" s="247" t="s">
        <v>2324</v>
      </c>
      <c r="G3062" s="247" t="s">
        <v>1505</v>
      </c>
      <c r="H3062" s="247" t="s">
        <v>396</v>
      </c>
      <c r="I3062" s="247" t="s">
        <v>2325</v>
      </c>
      <c r="J3062" s="247">
        <v>61</v>
      </c>
      <c r="K3062" s="247">
        <v>61</v>
      </c>
      <c r="L3062" s="249" t="s">
        <v>938</v>
      </c>
      <c r="M3062" s="249" t="s">
        <v>929</v>
      </c>
      <c r="N3062" s="248">
        <v>0</v>
      </c>
      <c r="O3062" s="248">
        <v>2212.65</v>
      </c>
      <c r="P3062" s="247" t="s">
        <v>1506</v>
      </c>
      <c r="Q3062" s="247" t="s">
        <v>92</v>
      </c>
    </row>
    <row r="3063" spans="1:17" x14ac:dyDescent="0.25">
      <c r="A3063" s="247" t="s">
        <v>646</v>
      </c>
      <c r="B3063" s="247" t="s">
        <v>265</v>
      </c>
      <c r="C3063" s="247" t="s">
        <v>1492</v>
      </c>
      <c r="D3063" s="247" t="s">
        <v>509</v>
      </c>
      <c r="E3063" s="247" t="s">
        <v>1324</v>
      </c>
      <c r="F3063" s="247" t="s">
        <v>2324</v>
      </c>
      <c r="G3063" s="247" t="s">
        <v>1505</v>
      </c>
      <c r="H3063" s="247" t="s">
        <v>396</v>
      </c>
      <c r="I3063" s="247" t="s">
        <v>2325</v>
      </c>
      <c r="J3063" s="247">
        <v>61</v>
      </c>
      <c r="K3063" s="247">
        <v>61</v>
      </c>
      <c r="L3063" s="249" t="s">
        <v>939</v>
      </c>
      <c r="M3063" s="249" t="s">
        <v>929</v>
      </c>
      <c r="N3063" s="248">
        <v>837.36</v>
      </c>
      <c r="O3063" s="248">
        <v>3050.01</v>
      </c>
      <c r="P3063" s="247" t="s">
        <v>1506</v>
      </c>
      <c r="Q3063" s="247" t="s">
        <v>93</v>
      </c>
    </row>
    <row r="3064" spans="1:17" x14ac:dyDescent="0.25">
      <c r="A3064" s="247" t="s">
        <v>646</v>
      </c>
      <c r="B3064" s="247" t="s">
        <v>265</v>
      </c>
      <c r="C3064" s="247" t="s">
        <v>1492</v>
      </c>
      <c r="D3064" s="247" t="s">
        <v>509</v>
      </c>
      <c r="E3064" s="247" t="s">
        <v>1324</v>
      </c>
      <c r="F3064" s="247" t="s">
        <v>2324</v>
      </c>
      <c r="G3064" s="247" t="s">
        <v>1505</v>
      </c>
      <c r="H3064" s="247" t="s">
        <v>396</v>
      </c>
      <c r="I3064" s="247" t="s">
        <v>2325</v>
      </c>
      <c r="J3064" s="247">
        <v>61</v>
      </c>
      <c r="K3064" s="247">
        <v>61</v>
      </c>
      <c r="L3064" s="249" t="s">
        <v>940</v>
      </c>
      <c r="M3064" s="249" t="s">
        <v>929</v>
      </c>
      <c r="N3064" s="248">
        <v>510.42</v>
      </c>
      <c r="O3064" s="248">
        <v>3560.43</v>
      </c>
      <c r="P3064" s="247" t="s">
        <v>1506</v>
      </c>
      <c r="Q3064" s="247" t="s">
        <v>94</v>
      </c>
    </row>
    <row r="3065" spans="1:17" x14ac:dyDescent="0.25">
      <c r="A3065" s="247" t="s">
        <v>646</v>
      </c>
      <c r="B3065" s="247" t="s">
        <v>265</v>
      </c>
      <c r="C3065" s="247" t="s">
        <v>1492</v>
      </c>
      <c r="D3065" s="247" t="s">
        <v>509</v>
      </c>
      <c r="E3065" s="247" t="s">
        <v>1324</v>
      </c>
      <c r="F3065" s="247" t="s">
        <v>2324</v>
      </c>
      <c r="G3065" s="247" t="s">
        <v>1505</v>
      </c>
      <c r="H3065" s="247" t="s">
        <v>396</v>
      </c>
      <c r="I3065" s="247" t="s">
        <v>2325</v>
      </c>
      <c r="J3065" s="247">
        <v>61</v>
      </c>
      <c r="K3065" s="247">
        <v>61</v>
      </c>
      <c r="L3065" s="249" t="s">
        <v>642</v>
      </c>
      <c r="M3065" s="249" t="s">
        <v>929</v>
      </c>
      <c r="N3065" s="248">
        <v>0</v>
      </c>
      <c r="O3065" s="248">
        <v>3560.43</v>
      </c>
      <c r="P3065" s="247" t="s">
        <v>1506</v>
      </c>
      <c r="Q3065" s="247" t="s">
        <v>95</v>
      </c>
    </row>
    <row r="3066" spans="1:17" x14ac:dyDescent="0.25">
      <c r="A3066" s="247" t="s">
        <v>646</v>
      </c>
      <c r="B3066" s="247" t="s">
        <v>265</v>
      </c>
      <c r="C3066" s="247" t="s">
        <v>1492</v>
      </c>
      <c r="D3066" s="247" t="s">
        <v>1507</v>
      </c>
      <c r="E3066" s="247" t="s">
        <v>1324</v>
      </c>
      <c r="F3066" s="247" t="s">
        <v>2326</v>
      </c>
      <c r="G3066" s="247" t="s">
        <v>1508</v>
      </c>
      <c r="H3066" s="247" t="s">
        <v>396</v>
      </c>
      <c r="I3066" s="247" t="s">
        <v>2327</v>
      </c>
      <c r="J3066" s="247">
        <v>58</v>
      </c>
      <c r="K3066" s="247">
        <v>58</v>
      </c>
      <c r="L3066" s="249" t="s">
        <v>646</v>
      </c>
      <c r="M3066" s="249" t="s">
        <v>933</v>
      </c>
      <c r="N3066" s="248">
        <v>190.05</v>
      </c>
      <c r="O3066" s="248">
        <v>190.05</v>
      </c>
      <c r="P3066" s="247" t="s">
        <v>1509</v>
      </c>
      <c r="Q3066" s="247" t="s">
        <v>84</v>
      </c>
    </row>
    <row r="3067" spans="1:17" x14ac:dyDescent="0.25">
      <c r="A3067" s="247" t="s">
        <v>646</v>
      </c>
      <c r="B3067" s="247" t="s">
        <v>265</v>
      </c>
      <c r="C3067" s="247" t="s">
        <v>1492</v>
      </c>
      <c r="D3067" s="247" t="s">
        <v>1507</v>
      </c>
      <c r="E3067" s="247" t="s">
        <v>1324</v>
      </c>
      <c r="F3067" s="247" t="s">
        <v>2326</v>
      </c>
      <c r="G3067" s="247" t="s">
        <v>1508</v>
      </c>
      <c r="H3067" s="247" t="s">
        <v>396</v>
      </c>
      <c r="I3067" s="247" t="s">
        <v>2327</v>
      </c>
      <c r="J3067" s="247">
        <v>58</v>
      </c>
      <c r="K3067" s="247">
        <v>58</v>
      </c>
      <c r="L3067" s="249" t="s">
        <v>650</v>
      </c>
      <c r="M3067" s="249" t="s">
        <v>933</v>
      </c>
      <c r="N3067" s="248">
        <v>38.01</v>
      </c>
      <c r="O3067" s="248">
        <v>228.06</v>
      </c>
      <c r="P3067" s="247" t="s">
        <v>1509</v>
      </c>
      <c r="Q3067" s="247" t="s">
        <v>85</v>
      </c>
    </row>
    <row r="3068" spans="1:17" x14ac:dyDescent="0.25">
      <c r="A3068" s="247" t="s">
        <v>646</v>
      </c>
      <c r="B3068" s="247" t="s">
        <v>265</v>
      </c>
      <c r="C3068" s="247" t="s">
        <v>1492</v>
      </c>
      <c r="D3068" s="247" t="s">
        <v>1507</v>
      </c>
      <c r="E3068" s="247" t="s">
        <v>1324</v>
      </c>
      <c r="F3068" s="247" t="s">
        <v>2326</v>
      </c>
      <c r="G3068" s="247" t="s">
        <v>1508</v>
      </c>
      <c r="H3068" s="247" t="s">
        <v>396</v>
      </c>
      <c r="I3068" s="247" t="s">
        <v>2327</v>
      </c>
      <c r="J3068" s="247">
        <v>58</v>
      </c>
      <c r="K3068" s="247">
        <v>58</v>
      </c>
      <c r="L3068" s="249" t="s">
        <v>652</v>
      </c>
      <c r="M3068" s="249" t="s">
        <v>933</v>
      </c>
      <c r="N3068" s="248">
        <v>38.01</v>
      </c>
      <c r="O3068" s="248">
        <v>266.07</v>
      </c>
      <c r="P3068" s="247" t="s">
        <v>1509</v>
      </c>
      <c r="Q3068" s="247" t="s">
        <v>86</v>
      </c>
    </row>
    <row r="3069" spans="1:17" x14ac:dyDescent="0.25">
      <c r="A3069" s="247" t="s">
        <v>646</v>
      </c>
      <c r="B3069" s="247" t="s">
        <v>265</v>
      </c>
      <c r="C3069" s="247" t="s">
        <v>1492</v>
      </c>
      <c r="D3069" s="247" t="s">
        <v>1507</v>
      </c>
      <c r="E3069" s="247" t="s">
        <v>1324</v>
      </c>
      <c r="F3069" s="247" t="s">
        <v>2326</v>
      </c>
      <c r="G3069" s="247" t="s">
        <v>1508</v>
      </c>
      <c r="H3069" s="247" t="s">
        <v>396</v>
      </c>
      <c r="I3069" s="247" t="s">
        <v>2327</v>
      </c>
      <c r="J3069" s="247">
        <v>58</v>
      </c>
      <c r="K3069" s="247">
        <v>58</v>
      </c>
      <c r="L3069" s="249" t="s">
        <v>789</v>
      </c>
      <c r="M3069" s="249" t="s">
        <v>929</v>
      </c>
      <c r="N3069" s="248">
        <v>152.04</v>
      </c>
      <c r="O3069" s="248">
        <v>152.04</v>
      </c>
      <c r="P3069" s="247" t="s">
        <v>1509</v>
      </c>
      <c r="Q3069" s="247" t="s">
        <v>87</v>
      </c>
    </row>
    <row r="3070" spans="1:17" x14ac:dyDescent="0.25">
      <c r="A3070" s="247" t="s">
        <v>646</v>
      </c>
      <c r="B3070" s="247" t="s">
        <v>265</v>
      </c>
      <c r="C3070" s="247" t="s">
        <v>1492</v>
      </c>
      <c r="D3070" s="247" t="s">
        <v>1507</v>
      </c>
      <c r="E3070" s="247" t="s">
        <v>1324</v>
      </c>
      <c r="F3070" s="247" t="s">
        <v>2326</v>
      </c>
      <c r="G3070" s="247" t="s">
        <v>1508</v>
      </c>
      <c r="H3070" s="247" t="s">
        <v>396</v>
      </c>
      <c r="I3070" s="247" t="s">
        <v>2327</v>
      </c>
      <c r="J3070" s="247">
        <v>58</v>
      </c>
      <c r="K3070" s="247">
        <v>58</v>
      </c>
      <c r="L3070" s="249" t="s">
        <v>791</v>
      </c>
      <c r="M3070" s="249" t="s">
        <v>929</v>
      </c>
      <c r="N3070" s="248">
        <v>152.04</v>
      </c>
      <c r="O3070" s="248">
        <v>304.08</v>
      </c>
      <c r="P3070" s="247" t="s">
        <v>1509</v>
      </c>
      <c r="Q3070" s="247" t="s">
        <v>88</v>
      </c>
    </row>
    <row r="3071" spans="1:17" x14ac:dyDescent="0.25">
      <c r="A3071" s="247" t="s">
        <v>646</v>
      </c>
      <c r="B3071" s="247" t="s">
        <v>265</v>
      </c>
      <c r="C3071" s="247" t="s">
        <v>1492</v>
      </c>
      <c r="D3071" s="247" t="s">
        <v>1507</v>
      </c>
      <c r="E3071" s="247" t="s">
        <v>1324</v>
      </c>
      <c r="F3071" s="247" t="s">
        <v>2326</v>
      </c>
      <c r="G3071" s="247" t="s">
        <v>1508</v>
      </c>
      <c r="H3071" s="247" t="s">
        <v>396</v>
      </c>
      <c r="I3071" s="247" t="s">
        <v>2327</v>
      </c>
      <c r="J3071" s="247">
        <v>58</v>
      </c>
      <c r="K3071" s="247">
        <v>58</v>
      </c>
      <c r="L3071" s="249" t="s">
        <v>935</v>
      </c>
      <c r="M3071" s="249" t="s">
        <v>929</v>
      </c>
      <c r="N3071" s="248">
        <v>0</v>
      </c>
      <c r="O3071" s="248">
        <v>304.08</v>
      </c>
      <c r="P3071" s="247" t="s">
        <v>1509</v>
      </c>
      <c r="Q3071" s="247" t="s">
        <v>89</v>
      </c>
    </row>
    <row r="3072" spans="1:17" x14ac:dyDescent="0.25">
      <c r="A3072" s="247" t="s">
        <v>646</v>
      </c>
      <c r="B3072" s="247" t="s">
        <v>265</v>
      </c>
      <c r="C3072" s="247" t="s">
        <v>1492</v>
      </c>
      <c r="D3072" s="247" t="s">
        <v>1507</v>
      </c>
      <c r="E3072" s="247" t="s">
        <v>1324</v>
      </c>
      <c r="F3072" s="247" t="s">
        <v>2326</v>
      </c>
      <c r="G3072" s="247" t="s">
        <v>1508</v>
      </c>
      <c r="H3072" s="247" t="s">
        <v>396</v>
      </c>
      <c r="I3072" s="247" t="s">
        <v>2327</v>
      </c>
      <c r="J3072" s="247">
        <v>58</v>
      </c>
      <c r="K3072" s="247">
        <v>58</v>
      </c>
      <c r="L3072" s="249" t="s">
        <v>936</v>
      </c>
      <c r="M3072" s="249" t="s">
        <v>929</v>
      </c>
      <c r="N3072" s="248">
        <v>152.04</v>
      </c>
      <c r="O3072" s="248">
        <v>456.12</v>
      </c>
      <c r="P3072" s="247" t="s">
        <v>1509</v>
      </c>
      <c r="Q3072" s="247" t="s">
        <v>90</v>
      </c>
    </row>
    <row r="3073" spans="1:17" x14ac:dyDescent="0.25">
      <c r="A3073" s="247" t="s">
        <v>646</v>
      </c>
      <c r="B3073" s="247" t="s">
        <v>265</v>
      </c>
      <c r="C3073" s="247" t="s">
        <v>1492</v>
      </c>
      <c r="D3073" s="247" t="s">
        <v>1507</v>
      </c>
      <c r="E3073" s="247" t="s">
        <v>1324</v>
      </c>
      <c r="F3073" s="247" t="s">
        <v>2326</v>
      </c>
      <c r="G3073" s="247" t="s">
        <v>1508</v>
      </c>
      <c r="H3073" s="247" t="s">
        <v>396</v>
      </c>
      <c r="I3073" s="247" t="s">
        <v>2327</v>
      </c>
      <c r="J3073" s="247">
        <v>58</v>
      </c>
      <c r="K3073" s="247">
        <v>58</v>
      </c>
      <c r="L3073" s="249" t="s">
        <v>937</v>
      </c>
      <c r="M3073" s="249" t="s">
        <v>929</v>
      </c>
      <c r="N3073" s="248">
        <v>152.04</v>
      </c>
      <c r="O3073" s="248">
        <v>608.16</v>
      </c>
      <c r="P3073" s="247" t="s">
        <v>1509</v>
      </c>
      <c r="Q3073" s="247" t="s">
        <v>91</v>
      </c>
    </row>
    <row r="3074" spans="1:17" x14ac:dyDescent="0.25">
      <c r="A3074" s="247" t="s">
        <v>646</v>
      </c>
      <c r="B3074" s="247" t="s">
        <v>265</v>
      </c>
      <c r="C3074" s="247" t="s">
        <v>1492</v>
      </c>
      <c r="D3074" s="247" t="s">
        <v>1507</v>
      </c>
      <c r="E3074" s="247" t="s">
        <v>1324</v>
      </c>
      <c r="F3074" s="247" t="s">
        <v>2326</v>
      </c>
      <c r="G3074" s="247" t="s">
        <v>1508</v>
      </c>
      <c r="H3074" s="247" t="s">
        <v>396</v>
      </c>
      <c r="I3074" s="247" t="s">
        <v>2327</v>
      </c>
      <c r="J3074" s="247">
        <v>58</v>
      </c>
      <c r="K3074" s="247">
        <v>58</v>
      </c>
      <c r="L3074" s="249" t="s">
        <v>938</v>
      </c>
      <c r="M3074" s="249" t="s">
        <v>929</v>
      </c>
      <c r="N3074" s="248">
        <v>152.04</v>
      </c>
      <c r="O3074" s="248">
        <v>760.2</v>
      </c>
      <c r="P3074" s="247" t="s">
        <v>1509</v>
      </c>
      <c r="Q3074" s="247" t="s">
        <v>92</v>
      </c>
    </row>
    <row r="3075" spans="1:17" x14ac:dyDescent="0.25">
      <c r="A3075" s="247" t="s">
        <v>646</v>
      </c>
      <c r="B3075" s="247" t="s">
        <v>265</v>
      </c>
      <c r="C3075" s="247" t="s">
        <v>1492</v>
      </c>
      <c r="D3075" s="247" t="s">
        <v>1507</v>
      </c>
      <c r="E3075" s="247" t="s">
        <v>1324</v>
      </c>
      <c r="F3075" s="247" t="s">
        <v>2326</v>
      </c>
      <c r="G3075" s="247" t="s">
        <v>1508</v>
      </c>
      <c r="H3075" s="247" t="s">
        <v>396</v>
      </c>
      <c r="I3075" s="247" t="s">
        <v>2327</v>
      </c>
      <c r="J3075" s="247">
        <v>58</v>
      </c>
      <c r="K3075" s="247">
        <v>58</v>
      </c>
      <c r="L3075" s="249" t="s">
        <v>939</v>
      </c>
      <c r="M3075" s="249" t="s">
        <v>929</v>
      </c>
      <c r="N3075" s="248">
        <v>38.01</v>
      </c>
      <c r="O3075" s="248">
        <v>798.21</v>
      </c>
      <c r="P3075" s="247" t="s">
        <v>1509</v>
      </c>
      <c r="Q3075" s="247" t="s">
        <v>93</v>
      </c>
    </row>
    <row r="3076" spans="1:17" x14ac:dyDescent="0.25">
      <c r="A3076" s="247" t="s">
        <v>646</v>
      </c>
      <c r="B3076" s="247" t="s">
        <v>265</v>
      </c>
      <c r="C3076" s="247" t="s">
        <v>1492</v>
      </c>
      <c r="D3076" s="247" t="s">
        <v>1507</v>
      </c>
      <c r="E3076" s="247" t="s">
        <v>1324</v>
      </c>
      <c r="F3076" s="247" t="s">
        <v>2326</v>
      </c>
      <c r="G3076" s="247" t="s">
        <v>1508</v>
      </c>
      <c r="H3076" s="247" t="s">
        <v>396</v>
      </c>
      <c r="I3076" s="247" t="s">
        <v>2327</v>
      </c>
      <c r="J3076" s="247">
        <v>58</v>
      </c>
      <c r="K3076" s="247">
        <v>58</v>
      </c>
      <c r="L3076" s="249" t="s">
        <v>940</v>
      </c>
      <c r="M3076" s="249" t="s">
        <v>929</v>
      </c>
      <c r="N3076" s="248">
        <v>152.04</v>
      </c>
      <c r="O3076" s="248">
        <v>950.25</v>
      </c>
      <c r="P3076" s="247" t="s">
        <v>1509</v>
      </c>
      <c r="Q3076" s="247" t="s">
        <v>94</v>
      </c>
    </row>
    <row r="3077" spans="1:17" x14ac:dyDescent="0.25">
      <c r="A3077" s="247" t="s">
        <v>646</v>
      </c>
      <c r="B3077" s="247" t="s">
        <v>265</v>
      </c>
      <c r="C3077" s="247" t="s">
        <v>1492</v>
      </c>
      <c r="D3077" s="247" t="s">
        <v>1507</v>
      </c>
      <c r="E3077" s="247" t="s">
        <v>1324</v>
      </c>
      <c r="F3077" s="247" t="s">
        <v>2326</v>
      </c>
      <c r="G3077" s="247" t="s">
        <v>1508</v>
      </c>
      <c r="H3077" s="247" t="s">
        <v>396</v>
      </c>
      <c r="I3077" s="247" t="s">
        <v>2327</v>
      </c>
      <c r="J3077" s="247">
        <v>58</v>
      </c>
      <c r="K3077" s="247">
        <v>58</v>
      </c>
      <c r="L3077" s="249" t="s">
        <v>642</v>
      </c>
      <c r="M3077" s="249" t="s">
        <v>929</v>
      </c>
      <c r="N3077" s="248">
        <v>152.04</v>
      </c>
      <c r="O3077" s="248">
        <v>1102.29</v>
      </c>
      <c r="P3077" s="247" t="s">
        <v>1509</v>
      </c>
      <c r="Q3077" s="247" t="s">
        <v>95</v>
      </c>
    </row>
    <row r="3078" spans="1:17" x14ac:dyDescent="0.25">
      <c r="A3078" s="247" t="s">
        <v>646</v>
      </c>
      <c r="B3078" s="247" t="s">
        <v>265</v>
      </c>
      <c r="C3078" s="247" t="s">
        <v>1492</v>
      </c>
      <c r="D3078" s="247" t="s">
        <v>569</v>
      </c>
      <c r="E3078" s="247" t="s">
        <v>926</v>
      </c>
      <c r="F3078" s="247" t="s">
        <v>2328</v>
      </c>
      <c r="G3078" s="247" t="s">
        <v>1510</v>
      </c>
      <c r="H3078" s="247"/>
      <c r="I3078" s="247" t="s">
        <v>2329</v>
      </c>
      <c r="J3078" s="247">
        <v>62</v>
      </c>
      <c r="K3078" s="247">
        <v>62</v>
      </c>
      <c r="L3078" s="249" t="s">
        <v>646</v>
      </c>
      <c r="M3078" s="249" t="s">
        <v>933</v>
      </c>
      <c r="N3078" s="248">
        <v>759.49</v>
      </c>
      <c r="O3078" s="248">
        <v>8624.52</v>
      </c>
      <c r="P3078" s="247" t="s">
        <v>1511</v>
      </c>
      <c r="Q3078" s="247" t="s">
        <v>84</v>
      </c>
    </row>
    <row r="3079" spans="1:17" x14ac:dyDescent="0.25">
      <c r="A3079" s="247" t="s">
        <v>646</v>
      </c>
      <c r="B3079" s="247" t="s">
        <v>265</v>
      </c>
      <c r="C3079" s="247" t="s">
        <v>1492</v>
      </c>
      <c r="D3079" s="247" t="s">
        <v>569</v>
      </c>
      <c r="E3079" s="247" t="s">
        <v>926</v>
      </c>
      <c r="F3079" s="247" t="s">
        <v>2328</v>
      </c>
      <c r="G3079" s="247" t="s">
        <v>1510</v>
      </c>
      <c r="H3079" s="247"/>
      <c r="I3079" s="247" t="s">
        <v>2329</v>
      </c>
      <c r="J3079" s="247">
        <v>62</v>
      </c>
      <c r="K3079" s="247">
        <v>62</v>
      </c>
      <c r="L3079" s="249" t="s">
        <v>650</v>
      </c>
      <c r="M3079" s="249" t="s">
        <v>933</v>
      </c>
      <c r="N3079" s="248">
        <v>178.1</v>
      </c>
      <c r="O3079" s="248">
        <v>8802.6200000000008</v>
      </c>
      <c r="P3079" s="247" t="s">
        <v>1511</v>
      </c>
      <c r="Q3079" s="247" t="s">
        <v>85</v>
      </c>
    </row>
    <row r="3080" spans="1:17" x14ac:dyDescent="0.25">
      <c r="A3080" s="247" t="s">
        <v>646</v>
      </c>
      <c r="B3080" s="247" t="s">
        <v>265</v>
      </c>
      <c r="C3080" s="247" t="s">
        <v>1492</v>
      </c>
      <c r="D3080" s="247" t="s">
        <v>569</v>
      </c>
      <c r="E3080" s="247" t="s">
        <v>926</v>
      </c>
      <c r="F3080" s="247" t="s">
        <v>2328</v>
      </c>
      <c r="G3080" s="247" t="s">
        <v>1510</v>
      </c>
      <c r="H3080" s="247"/>
      <c r="I3080" s="247" t="s">
        <v>2329</v>
      </c>
      <c r="J3080" s="247">
        <v>62</v>
      </c>
      <c r="K3080" s="247">
        <v>62</v>
      </c>
      <c r="L3080" s="249" t="s">
        <v>652</v>
      </c>
      <c r="M3080" s="249" t="s">
        <v>933</v>
      </c>
      <c r="N3080" s="248">
        <v>432</v>
      </c>
      <c r="O3080" s="248">
        <v>9234.6200000000008</v>
      </c>
      <c r="P3080" s="247" t="s">
        <v>1511</v>
      </c>
      <c r="Q3080" s="247" t="s">
        <v>86</v>
      </c>
    </row>
    <row r="3081" spans="1:17" x14ac:dyDescent="0.25">
      <c r="A3081" s="247" t="s">
        <v>646</v>
      </c>
      <c r="B3081" s="247" t="s">
        <v>265</v>
      </c>
      <c r="C3081" s="247" t="s">
        <v>1492</v>
      </c>
      <c r="D3081" s="247" t="s">
        <v>569</v>
      </c>
      <c r="E3081" s="247" t="s">
        <v>926</v>
      </c>
      <c r="F3081" s="247" t="s">
        <v>2328</v>
      </c>
      <c r="G3081" s="247" t="s">
        <v>1510</v>
      </c>
      <c r="H3081" s="247"/>
      <c r="I3081" s="247" t="s">
        <v>2329</v>
      </c>
      <c r="J3081" s="247">
        <v>62</v>
      </c>
      <c r="K3081" s="247">
        <v>62</v>
      </c>
      <c r="L3081" s="249" t="s">
        <v>789</v>
      </c>
      <c r="M3081" s="249" t="s">
        <v>929</v>
      </c>
      <c r="N3081" s="248">
        <v>2098.5700000000002</v>
      </c>
      <c r="O3081" s="248">
        <v>2098.5700000000002</v>
      </c>
      <c r="P3081" s="247" t="s">
        <v>1511</v>
      </c>
      <c r="Q3081" s="247" t="s">
        <v>87</v>
      </c>
    </row>
    <row r="3082" spans="1:17" x14ac:dyDescent="0.25">
      <c r="A3082" s="247" t="s">
        <v>646</v>
      </c>
      <c r="B3082" s="247" t="s">
        <v>265</v>
      </c>
      <c r="C3082" s="247" t="s">
        <v>1492</v>
      </c>
      <c r="D3082" s="247" t="s">
        <v>569</v>
      </c>
      <c r="E3082" s="247" t="s">
        <v>926</v>
      </c>
      <c r="F3082" s="247" t="s">
        <v>2328</v>
      </c>
      <c r="G3082" s="247" t="s">
        <v>1510</v>
      </c>
      <c r="H3082" s="247"/>
      <c r="I3082" s="247" t="s">
        <v>2329</v>
      </c>
      <c r="J3082" s="247">
        <v>62</v>
      </c>
      <c r="K3082" s="247">
        <v>62</v>
      </c>
      <c r="L3082" s="249" t="s">
        <v>791</v>
      </c>
      <c r="M3082" s="249" t="s">
        <v>929</v>
      </c>
      <c r="N3082" s="248">
        <v>2924.42</v>
      </c>
      <c r="O3082" s="248">
        <v>5022.99</v>
      </c>
      <c r="P3082" s="247" t="s">
        <v>1511</v>
      </c>
      <c r="Q3082" s="247" t="s">
        <v>88</v>
      </c>
    </row>
    <row r="3083" spans="1:17" x14ac:dyDescent="0.25">
      <c r="A3083" s="247" t="s">
        <v>646</v>
      </c>
      <c r="B3083" s="247" t="s">
        <v>265</v>
      </c>
      <c r="C3083" s="247" t="s">
        <v>1492</v>
      </c>
      <c r="D3083" s="247" t="s">
        <v>569</v>
      </c>
      <c r="E3083" s="247" t="s">
        <v>926</v>
      </c>
      <c r="F3083" s="247" t="s">
        <v>2328</v>
      </c>
      <c r="G3083" s="247" t="s">
        <v>1510</v>
      </c>
      <c r="H3083" s="247"/>
      <c r="I3083" s="247" t="s">
        <v>2329</v>
      </c>
      <c r="J3083" s="247">
        <v>62</v>
      </c>
      <c r="K3083" s="247">
        <v>62</v>
      </c>
      <c r="L3083" s="249" t="s">
        <v>935</v>
      </c>
      <c r="M3083" s="249" t="s">
        <v>929</v>
      </c>
      <c r="N3083" s="248">
        <v>475.83</v>
      </c>
      <c r="O3083" s="248">
        <v>5498.82</v>
      </c>
      <c r="P3083" s="247" t="s">
        <v>1511</v>
      </c>
      <c r="Q3083" s="247" t="s">
        <v>89</v>
      </c>
    </row>
    <row r="3084" spans="1:17" x14ac:dyDescent="0.25">
      <c r="A3084" s="247" t="s">
        <v>646</v>
      </c>
      <c r="B3084" s="247" t="s">
        <v>265</v>
      </c>
      <c r="C3084" s="247" t="s">
        <v>1492</v>
      </c>
      <c r="D3084" s="247" t="s">
        <v>569</v>
      </c>
      <c r="E3084" s="247" t="s">
        <v>926</v>
      </c>
      <c r="F3084" s="247" t="s">
        <v>2328</v>
      </c>
      <c r="G3084" s="247" t="s">
        <v>1510</v>
      </c>
      <c r="H3084" s="247"/>
      <c r="I3084" s="247" t="s">
        <v>2329</v>
      </c>
      <c r="J3084" s="247">
        <v>62</v>
      </c>
      <c r="K3084" s="247">
        <v>62</v>
      </c>
      <c r="L3084" s="249" t="s">
        <v>936</v>
      </c>
      <c r="M3084" s="249" t="s">
        <v>929</v>
      </c>
      <c r="N3084" s="248">
        <v>2148.36</v>
      </c>
      <c r="O3084" s="248">
        <v>7647.18</v>
      </c>
      <c r="P3084" s="247" t="s">
        <v>1511</v>
      </c>
      <c r="Q3084" s="247" t="s">
        <v>90</v>
      </c>
    </row>
    <row r="3085" spans="1:17" x14ac:dyDescent="0.25">
      <c r="A3085" s="247" t="s">
        <v>646</v>
      </c>
      <c r="B3085" s="247" t="s">
        <v>265</v>
      </c>
      <c r="C3085" s="247" t="s">
        <v>1492</v>
      </c>
      <c r="D3085" s="247" t="s">
        <v>569</v>
      </c>
      <c r="E3085" s="247" t="s">
        <v>926</v>
      </c>
      <c r="F3085" s="247" t="s">
        <v>2328</v>
      </c>
      <c r="G3085" s="247" t="s">
        <v>1510</v>
      </c>
      <c r="H3085" s="247"/>
      <c r="I3085" s="247" t="s">
        <v>2329</v>
      </c>
      <c r="J3085" s="247">
        <v>62</v>
      </c>
      <c r="K3085" s="247">
        <v>62</v>
      </c>
      <c r="L3085" s="249" t="s">
        <v>937</v>
      </c>
      <c r="M3085" s="249" t="s">
        <v>929</v>
      </c>
      <c r="N3085" s="248">
        <v>-93.19</v>
      </c>
      <c r="O3085" s="248">
        <v>7553.99</v>
      </c>
      <c r="P3085" s="247" t="s">
        <v>1511</v>
      </c>
      <c r="Q3085" s="247" t="s">
        <v>91</v>
      </c>
    </row>
    <row r="3086" spans="1:17" x14ac:dyDescent="0.25">
      <c r="A3086" s="247" t="s">
        <v>646</v>
      </c>
      <c r="B3086" s="247" t="s">
        <v>265</v>
      </c>
      <c r="C3086" s="247" t="s">
        <v>1492</v>
      </c>
      <c r="D3086" s="247" t="s">
        <v>569</v>
      </c>
      <c r="E3086" s="247" t="s">
        <v>926</v>
      </c>
      <c r="F3086" s="247" t="s">
        <v>2328</v>
      </c>
      <c r="G3086" s="247" t="s">
        <v>1510</v>
      </c>
      <c r="H3086" s="247"/>
      <c r="I3086" s="247" t="s">
        <v>2329</v>
      </c>
      <c r="J3086" s="247">
        <v>62</v>
      </c>
      <c r="K3086" s="247">
        <v>62</v>
      </c>
      <c r="L3086" s="249" t="s">
        <v>938</v>
      </c>
      <c r="M3086" s="249" t="s">
        <v>929</v>
      </c>
      <c r="N3086" s="248">
        <v>256.85000000000002</v>
      </c>
      <c r="O3086" s="248">
        <v>7810.84</v>
      </c>
      <c r="P3086" s="247" t="s">
        <v>1511</v>
      </c>
      <c r="Q3086" s="247" t="s">
        <v>92</v>
      </c>
    </row>
    <row r="3087" spans="1:17" x14ac:dyDescent="0.25">
      <c r="A3087" s="247" t="s">
        <v>646</v>
      </c>
      <c r="B3087" s="247" t="s">
        <v>265</v>
      </c>
      <c r="C3087" s="247" t="s">
        <v>1492</v>
      </c>
      <c r="D3087" s="247" t="s">
        <v>569</v>
      </c>
      <c r="E3087" s="247" t="s">
        <v>926</v>
      </c>
      <c r="F3087" s="247" t="s">
        <v>2328</v>
      </c>
      <c r="G3087" s="247" t="s">
        <v>1510</v>
      </c>
      <c r="H3087" s="247"/>
      <c r="I3087" s="247" t="s">
        <v>2329</v>
      </c>
      <c r="J3087" s="247">
        <v>62</v>
      </c>
      <c r="K3087" s="247">
        <v>62</v>
      </c>
      <c r="L3087" s="249" t="s">
        <v>939</v>
      </c>
      <c r="M3087" s="249" t="s">
        <v>929</v>
      </c>
      <c r="N3087" s="248">
        <v>1601.51</v>
      </c>
      <c r="O3087" s="248">
        <v>9412.35</v>
      </c>
      <c r="P3087" s="247" t="s">
        <v>1511</v>
      </c>
      <c r="Q3087" s="247" t="s">
        <v>93</v>
      </c>
    </row>
    <row r="3088" spans="1:17" x14ac:dyDescent="0.25">
      <c r="A3088" s="247" t="s">
        <v>646</v>
      </c>
      <c r="B3088" s="247" t="s">
        <v>265</v>
      </c>
      <c r="C3088" s="247" t="s">
        <v>1492</v>
      </c>
      <c r="D3088" s="247" t="s">
        <v>569</v>
      </c>
      <c r="E3088" s="247" t="s">
        <v>926</v>
      </c>
      <c r="F3088" s="247" t="s">
        <v>2328</v>
      </c>
      <c r="G3088" s="247" t="s">
        <v>1510</v>
      </c>
      <c r="H3088" s="247"/>
      <c r="I3088" s="247" t="s">
        <v>2329</v>
      </c>
      <c r="J3088" s="247">
        <v>62</v>
      </c>
      <c r="K3088" s="247">
        <v>62</v>
      </c>
      <c r="L3088" s="249" t="s">
        <v>940</v>
      </c>
      <c r="M3088" s="249" t="s">
        <v>929</v>
      </c>
      <c r="N3088" s="248">
        <v>438.83</v>
      </c>
      <c r="O3088" s="248">
        <v>9851.18</v>
      </c>
      <c r="P3088" s="247" t="s">
        <v>1511</v>
      </c>
      <c r="Q3088" s="247" t="s">
        <v>94</v>
      </c>
    </row>
    <row r="3089" spans="1:17" x14ac:dyDescent="0.25">
      <c r="A3089" s="247" t="s">
        <v>646</v>
      </c>
      <c r="B3089" s="247" t="s">
        <v>265</v>
      </c>
      <c r="C3089" s="247" t="s">
        <v>1492</v>
      </c>
      <c r="D3089" s="247" t="s">
        <v>569</v>
      </c>
      <c r="E3089" s="247" t="s">
        <v>926</v>
      </c>
      <c r="F3089" s="247" t="s">
        <v>2328</v>
      </c>
      <c r="G3089" s="247" t="s">
        <v>1510</v>
      </c>
      <c r="H3089" s="247"/>
      <c r="I3089" s="247" t="s">
        <v>2329</v>
      </c>
      <c r="J3089" s="247">
        <v>62</v>
      </c>
      <c r="K3089" s="247">
        <v>62</v>
      </c>
      <c r="L3089" s="249" t="s">
        <v>642</v>
      </c>
      <c r="M3089" s="249" t="s">
        <v>929</v>
      </c>
      <c r="N3089" s="248">
        <v>1116.24</v>
      </c>
      <c r="O3089" s="248">
        <v>10967.42</v>
      </c>
      <c r="P3089" s="247" t="s">
        <v>1511</v>
      </c>
      <c r="Q3089" s="247" t="s">
        <v>95</v>
      </c>
    </row>
    <row r="3090" spans="1:17" x14ac:dyDescent="0.25">
      <c r="A3090" s="247" t="s">
        <v>646</v>
      </c>
      <c r="B3090" s="247" t="s">
        <v>265</v>
      </c>
      <c r="C3090" s="247" t="s">
        <v>1492</v>
      </c>
      <c r="D3090" s="247" t="s">
        <v>926</v>
      </c>
      <c r="E3090" s="247" t="s">
        <v>711</v>
      </c>
      <c r="F3090" s="247" t="s">
        <v>2330</v>
      </c>
      <c r="G3090" s="247" t="s">
        <v>1512</v>
      </c>
      <c r="H3090" s="247" t="s">
        <v>392</v>
      </c>
      <c r="I3090" s="247" t="s">
        <v>2331</v>
      </c>
      <c r="J3090" s="247">
        <v>58</v>
      </c>
      <c r="K3090" s="247">
        <v>58</v>
      </c>
      <c r="L3090" s="249" t="s">
        <v>652</v>
      </c>
      <c r="M3090" s="249" t="s">
        <v>933</v>
      </c>
      <c r="N3090" s="248">
        <v>10647.29</v>
      </c>
      <c r="O3090" s="248">
        <v>10647.29</v>
      </c>
      <c r="P3090" s="247" t="s">
        <v>1513</v>
      </c>
      <c r="Q3090" s="247" t="s">
        <v>86</v>
      </c>
    </row>
    <row r="3091" spans="1:17" x14ac:dyDescent="0.25">
      <c r="A3091" s="247" t="s">
        <v>646</v>
      </c>
      <c r="B3091" s="247" t="s">
        <v>265</v>
      </c>
      <c r="C3091" s="247" t="s">
        <v>1492</v>
      </c>
      <c r="D3091" s="247" t="s">
        <v>926</v>
      </c>
      <c r="E3091" s="247" t="s">
        <v>711</v>
      </c>
      <c r="F3091" s="247" t="s">
        <v>2330</v>
      </c>
      <c r="G3091" s="247" t="s">
        <v>1512</v>
      </c>
      <c r="H3091" s="247" t="s">
        <v>392</v>
      </c>
      <c r="I3091" s="247" t="s">
        <v>2331</v>
      </c>
      <c r="J3091" s="247">
        <v>58</v>
      </c>
      <c r="K3091" s="247">
        <v>58</v>
      </c>
      <c r="L3091" s="249" t="s">
        <v>789</v>
      </c>
      <c r="M3091" s="249" t="s">
        <v>929</v>
      </c>
      <c r="N3091" s="248">
        <v>22380.73</v>
      </c>
      <c r="O3091" s="248">
        <v>22380.73</v>
      </c>
      <c r="P3091" s="247" t="s">
        <v>1513</v>
      </c>
      <c r="Q3091" s="247" t="s">
        <v>87</v>
      </c>
    </row>
    <row r="3092" spans="1:17" x14ac:dyDescent="0.25">
      <c r="A3092" s="247" t="s">
        <v>646</v>
      </c>
      <c r="B3092" s="247" t="s">
        <v>265</v>
      </c>
      <c r="C3092" s="247" t="s">
        <v>1492</v>
      </c>
      <c r="D3092" s="247" t="s">
        <v>926</v>
      </c>
      <c r="E3092" s="247" t="s">
        <v>711</v>
      </c>
      <c r="F3092" s="247" t="s">
        <v>2330</v>
      </c>
      <c r="G3092" s="247" t="s">
        <v>1512</v>
      </c>
      <c r="H3092" s="247" t="s">
        <v>392</v>
      </c>
      <c r="I3092" s="247" t="s">
        <v>2331</v>
      </c>
      <c r="J3092" s="247">
        <v>58</v>
      </c>
      <c r="K3092" s="247">
        <v>58</v>
      </c>
      <c r="L3092" s="249" t="s">
        <v>791</v>
      </c>
      <c r="M3092" s="249" t="s">
        <v>929</v>
      </c>
      <c r="N3092" s="248">
        <v>5054.63</v>
      </c>
      <c r="O3092" s="248">
        <v>27435.360000000001</v>
      </c>
      <c r="P3092" s="247" t="s">
        <v>1513</v>
      </c>
      <c r="Q3092" s="247" t="s">
        <v>88</v>
      </c>
    </row>
    <row r="3093" spans="1:17" x14ac:dyDescent="0.25">
      <c r="A3093" s="247" t="s">
        <v>646</v>
      </c>
      <c r="B3093" s="247" t="s">
        <v>265</v>
      </c>
      <c r="C3093" s="247" t="s">
        <v>1492</v>
      </c>
      <c r="D3093" s="247" t="s">
        <v>926</v>
      </c>
      <c r="E3093" s="247" t="s">
        <v>711</v>
      </c>
      <c r="F3093" s="247" t="s">
        <v>2330</v>
      </c>
      <c r="G3093" s="247" t="s">
        <v>1512</v>
      </c>
      <c r="H3093" s="247" t="s">
        <v>392</v>
      </c>
      <c r="I3093" s="247" t="s">
        <v>2331</v>
      </c>
      <c r="J3093" s="247">
        <v>58</v>
      </c>
      <c r="K3093" s="247">
        <v>58</v>
      </c>
      <c r="L3093" s="249" t="s">
        <v>935</v>
      </c>
      <c r="M3093" s="249" t="s">
        <v>929</v>
      </c>
      <c r="N3093" s="248">
        <v>3725.12</v>
      </c>
      <c r="O3093" s="248">
        <v>31160.48</v>
      </c>
      <c r="P3093" s="247" t="s">
        <v>1513</v>
      </c>
      <c r="Q3093" s="247" t="s">
        <v>89</v>
      </c>
    </row>
    <row r="3094" spans="1:17" x14ac:dyDescent="0.25">
      <c r="A3094" s="247" t="s">
        <v>646</v>
      </c>
      <c r="B3094" s="247" t="s">
        <v>265</v>
      </c>
      <c r="C3094" s="247" t="s">
        <v>1492</v>
      </c>
      <c r="D3094" s="247" t="s">
        <v>926</v>
      </c>
      <c r="E3094" s="247" t="s">
        <v>711</v>
      </c>
      <c r="F3094" s="247" t="s">
        <v>2330</v>
      </c>
      <c r="G3094" s="247" t="s">
        <v>1512</v>
      </c>
      <c r="H3094" s="247" t="s">
        <v>392</v>
      </c>
      <c r="I3094" s="247" t="s">
        <v>2331</v>
      </c>
      <c r="J3094" s="247">
        <v>58</v>
      </c>
      <c r="K3094" s="247">
        <v>58</v>
      </c>
      <c r="L3094" s="249" t="s">
        <v>936</v>
      </c>
      <c r="M3094" s="249" t="s">
        <v>929</v>
      </c>
      <c r="N3094" s="248">
        <v>1486.07</v>
      </c>
      <c r="O3094" s="248">
        <v>32646.55</v>
      </c>
      <c r="P3094" s="247" t="s">
        <v>1513</v>
      </c>
      <c r="Q3094" s="247" t="s">
        <v>90</v>
      </c>
    </row>
    <row r="3095" spans="1:17" x14ac:dyDescent="0.25">
      <c r="A3095" s="247" t="s">
        <v>646</v>
      </c>
      <c r="B3095" s="247" t="s">
        <v>265</v>
      </c>
      <c r="C3095" s="247" t="s">
        <v>1492</v>
      </c>
      <c r="D3095" s="247" t="s">
        <v>926</v>
      </c>
      <c r="E3095" s="247" t="s">
        <v>711</v>
      </c>
      <c r="F3095" s="247" t="s">
        <v>2330</v>
      </c>
      <c r="G3095" s="247" t="s">
        <v>1512</v>
      </c>
      <c r="H3095" s="247" t="s">
        <v>392</v>
      </c>
      <c r="I3095" s="247" t="s">
        <v>2331</v>
      </c>
      <c r="J3095" s="247">
        <v>58</v>
      </c>
      <c r="K3095" s="247">
        <v>58</v>
      </c>
      <c r="L3095" s="249" t="s">
        <v>937</v>
      </c>
      <c r="M3095" s="249" t="s">
        <v>929</v>
      </c>
      <c r="N3095" s="248">
        <v>8876.7199999999993</v>
      </c>
      <c r="O3095" s="248">
        <v>41523.269999999997</v>
      </c>
      <c r="P3095" s="247" t="s">
        <v>1513</v>
      </c>
      <c r="Q3095" s="247" t="s">
        <v>91</v>
      </c>
    </row>
    <row r="3096" spans="1:17" x14ac:dyDescent="0.25">
      <c r="A3096" s="247" t="s">
        <v>646</v>
      </c>
      <c r="B3096" s="247" t="s">
        <v>265</v>
      </c>
      <c r="C3096" s="247" t="s">
        <v>1492</v>
      </c>
      <c r="D3096" s="247" t="s">
        <v>926</v>
      </c>
      <c r="E3096" s="247" t="s">
        <v>711</v>
      </c>
      <c r="F3096" s="247" t="s">
        <v>2330</v>
      </c>
      <c r="G3096" s="247" t="s">
        <v>1512</v>
      </c>
      <c r="H3096" s="247" t="s">
        <v>392</v>
      </c>
      <c r="I3096" s="247" t="s">
        <v>2331</v>
      </c>
      <c r="J3096" s="247">
        <v>58</v>
      </c>
      <c r="K3096" s="247">
        <v>58</v>
      </c>
      <c r="L3096" s="249" t="s">
        <v>938</v>
      </c>
      <c r="M3096" s="249" t="s">
        <v>929</v>
      </c>
      <c r="N3096" s="248">
        <v>9377.11</v>
      </c>
      <c r="O3096" s="248">
        <v>50900.38</v>
      </c>
      <c r="P3096" s="247" t="s">
        <v>1513</v>
      </c>
      <c r="Q3096" s="247" t="s">
        <v>92</v>
      </c>
    </row>
    <row r="3097" spans="1:17" x14ac:dyDescent="0.25">
      <c r="A3097" s="247" t="s">
        <v>646</v>
      </c>
      <c r="B3097" s="247" t="s">
        <v>265</v>
      </c>
      <c r="C3097" s="247" t="s">
        <v>1492</v>
      </c>
      <c r="D3097" s="247" t="s">
        <v>926</v>
      </c>
      <c r="E3097" s="247" t="s">
        <v>711</v>
      </c>
      <c r="F3097" s="247" t="s">
        <v>2330</v>
      </c>
      <c r="G3097" s="247" t="s">
        <v>1512</v>
      </c>
      <c r="H3097" s="247" t="s">
        <v>392</v>
      </c>
      <c r="I3097" s="247" t="s">
        <v>2331</v>
      </c>
      <c r="J3097" s="247">
        <v>58</v>
      </c>
      <c r="K3097" s="247">
        <v>58</v>
      </c>
      <c r="L3097" s="249" t="s">
        <v>939</v>
      </c>
      <c r="M3097" s="249" t="s">
        <v>929</v>
      </c>
      <c r="N3097" s="248">
        <v>2642.1</v>
      </c>
      <c r="O3097" s="248">
        <v>53542.48</v>
      </c>
      <c r="P3097" s="247" t="s">
        <v>1513</v>
      </c>
      <c r="Q3097" s="247" t="s">
        <v>93</v>
      </c>
    </row>
    <row r="3098" spans="1:17" x14ac:dyDescent="0.25">
      <c r="A3098" s="247" t="s">
        <v>646</v>
      </c>
      <c r="B3098" s="247" t="s">
        <v>265</v>
      </c>
      <c r="C3098" s="247" t="s">
        <v>1492</v>
      </c>
      <c r="D3098" s="247" t="s">
        <v>926</v>
      </c>
      <c r="E3098" s="247" t="s">
        <v>711</v>
      </c>
      <c r="F3098" s="247" t="s">
        <v>2330</v>
      </c>
      <c r="G3098" s="247" t="s">
        <v>1512</v>
      </c>
      <c r="H3098" s="247" t="s">
        <v>392</v>
      </c>
      <c r="I3098" s="247" t="s">
        <v>2331</v>
      </c>
      <c r="J3098" s="247">
        <v>58</v>
      </c>
      <c r="K3098" s="247">
        <v>58</v>
      </c>
      <c r="L3098" s="249" t="s">
        <v>940</v>
      </c>
      <c r="M3098" s="249" t="s">
        <v>929</v>
      </c>
      <c r="N3098" s="248">
        <v>18825.36</v>
      </c>
      <c r="O3098" s="248">
        <v>72367.839999999997</v>
      </c>
      <c r="P3098" s="247" t="s">
        <v>1513</v>
      </c>
      <c r="Q3098" s="247" t="s">
        <v>94</v>
      </c>
    </row>
    <row r="3099" spans="1:17" x14ac:dyDescent="0.25">
      <c r="A3099" s="247" t="s">
        <v>646</v>
      </c>
      <c r="B3099" s="247" t="s">
        <v>265</v>
      </c>
      <c r="C3099" s="247" t="s">
        <v>1492</v>
      </c>
      <c r="D3099" s="247" t="s">
        <v>926</v>
      </c>
      <c r="E3099" s="247" t="s">
        <v>711</v>
      </c>
      <c r="F3099" s="247" t="s">
        <v>2330</v>
      </c>
      <c r="G3099" s="247" t="s">
        <v>1512</v>
      </c>
      <c r="H3099" s="247" t="s">
        <v>392</v>
      </c>
      <c r="I3099" s="247" t="s">
        <v>2331</v>
      </c>
      <c r="J3099" s="247">
        <v>58</v>
      </c>
      <c r="K3099" s="247">
        <v>58</v>
      </c>
      <c r="L3099" s="249" t="s">
        <v>642</v>
      </c>
      <c r="M3099" s="249" t="s">
        <v>929</v>
      </c>
      <c r="N3099" s="248">
        <v>20603.84</v>
      </c>
      <c r="O3099" s="248">
        <v>92971.68</v>
      </c>
      <c r="P3099" s="247" t="s">
        <v>1513</v>
      </c>
      <c r="Q3099" s="247" t="s">
        <v>95</v>
      </c>
    </row>
    <row r="3100" spans="1:17" x14ac:dyDescent="0.25">
      <c r="A3100" s="247" t="s">
        <v>646</v>
      </c>
      <c r="B3100" s="247" t="s">
        <v>265</v>
      </c>
      <c r="C3100" s="247" t="s">
        <v>1492</v>
      </c>
      <c r="D3100" s="247" t="s">
        <v>823</v>
      </c>
      <c r="E3100" s="247" t="s">
        <v>711</v>
      </c>
      <c r="F3100" s="247" t="s">
        <v>2332</v>
      </c>
      <c r="G3100" s="247" t="s">
        <v>1514</v>
      </c>
      <c r="H3100" s="247" t="s">
        <v>392</v>
      </c>
      <c r="I3100" s="247" t="s">
        <v>2333</v>
      </c>
      <c r="J3100" s="247">
        <v>60</v>
      </c>
      <c r="K3100" s="247">
        <v>60</v>
      </c>
      <c r="L3100" s="249" t="s">
        <v>652</v>
      </c>
      <c r="M3100" s="249" t="s">
        <v>933</v>
      </c>
      <c r="N3100" s="248">
        <v>819.51</v>
      </c>
      <c r="O3100" s="248">
        <v>819.51</v>
      </c>
      <c r="P3100" s="247" t="s">
        <v>1515</v>
      </c>
      <c r="Q3100" s="247" t="s">
        <v>86</v>
      </c>
    </row>
    <row r="3101" spans="1:17" x14ac:dyDescent="0.25">
      <c r="A3101" s="247" t="s">
        <v>646</v>
      </c>
      <c r="B3101" s="247" t="s">
        <v>265</v>
      </c>
      <c r="C3101" s="247" t="s">
        <v>1492</v>
      </c>
      <c r="D3101" s="247" t="s">
        <v>823</v>
      </c>
      <c r="E3101" s="247" t="s">
        <v>711</v>
      </c>
      <c r="F3101" s="247" t="s">
        <v>2332</v>
      </c>
      <c r="G3101" s="247" t="s">
        <v>1514</v>
      </c>
      <c r="H3101" s="247" t="s">
        <v>392</v>
      </c>
      <c r="I3101" s="247" t="s">
        <v>2333</v>
      </c>
      <c r="J3101" s="247">
        <v>60</v>
      </c>
      <c r="K3101" s="247">
        <v>60</v>
      </c>
      <c r="L3101" s="249" t="s">
        <v>789</v>
      </c>
      <c r="M3101" s="249" t="s">
        <v>929</v>
      </c>
      <c r="N3101" s="248">
        <v>2642.8</v>
      </c>
      <c r="O3101" s="248">
        <v>2642.8</v>
      </c>
      <c r="P3101" s="247" t="s">
        <v>1515</v>
      </c>
      <c r="Q3101" s="247" t="s">
        <v>87</v>
      </c>
    </row>
    <row r="3102" spans="1:17" x14ac:dyDescent="0.25">
      <c r="A3102" s="247" t="s">
        <v>646</v>
      </c>
      <c r="B3102" s="247" t="s">
        <v>265</v>
      </c>
      <c r="C3102" s="247" t="s">
        <v>1492</v>
      </c>
      <c r="D3102" s="247" t="s">
        <v>823</v>
      </c>
      <c r="E3102" s="247" t="s">
        <v>711</v>
      </c>
      <c r="F3102" s="247" t="s">
        <v>2332</v>
      </c>
      <c r="G3102" s="247" t="s">
        <v>1514</v>
      </c>
      <c r="H3102" s="247" t="s">
        <v>392</v>
      </c>
      <c r="I3102" s="247" t="s">
        <v>2333</v>
      </c>
      <c r="J3102" s="247">
        <v>60</v>
      </c>
      <c r="K3102" s="247">
        <v>60</v>
      </c>
      <c r="L3102" s="249" t="s">
        <v>791</v>
      </c>
      <c r="M3102" s="249" t="s">
        <v>929</v>
      </c>
      <c r="N3102" s="248">
        <v>4816.6400000000003</v>
      </c>
      <c r="O3102" s="248">
        <v>7459.44</v>
      </c>
      <c r="P3102" s="247" t="s">
        <v>1515</v>
      </c>
      <c r="Q3102" s="247" t="s">
        <v>88</v>
      </c>
    </row>
    <row r="3103" spans="1:17" x14ac:dyDescent="0.25">
      <c r="A3103" s="247" t="s">
        <v>646</v>
      </c>
      <c r="B3103" s="247" t="s">
        <v>265</v>
      </c>
      <c r="C3103" s="247" t="s">
        <v>1492</v>
      </c>
      <c r="D3103" s="247" t="s">
        <v>823</v>
      </c>
      <c r="E3103" s="247" t="s">
        <v>711</v>
      </c>
      <c r="F3103" s="247" t="s">
        <v>2332</v>
      </c>
      <c r="G3103" s="247" t="s">
        <v>1514</v>
      </c>
      <c r="H3103" s="247" t="s">
        <v>392</v>
      </c>
      <c r="I3103" s="247" t="s">
        <v>2333</v>
      </c>
      <c r="J3103" s="247">
        <v>60</v>
      </c>
      <c r="K3103" s="247">
        <v>60</v>
      </c>
      <c r="L3103" s="249" t="s">
        <v>935</v>
      </c>
      <c r="M3103" s="249" t="s">
        <v>929</v>
      </c>
      <c r="N3103" s="248">
        <v>1398.85</v>
      </c>
      <c r="O3103" s="248">
        <v>8858.2900000000009</v>
      </c>
      <c r="P3103" s="247" t="s">
        <v>1515</v>
      </c>
      <c r="Q3103" s="247" t="s">
        <v>89</v>
      </c>
    </row>
    <row r="3104" spans="1:17" x14ac:dyDescent="0.25">
      <c r="A3104" s="247" t="s">
        <v>646</v>
      </c>
      <c r="B3104" s="247" t="s">
        <v>265</v>
      </c>
      <c r="C3104" s="247" t="s">
        <v>1492</v>
      </c>
      <c r="D3104" s="247" t="s">
        <v>823</v>
      </c>
      <c r="E3104" s="247" t="s">
        <v>711</v>
      </c>
      <c r="F3104" s="247" t="s">
        <v>2332</v>
      </c>
      <c r="G3104" s="247" t="s">
        <v>1514</v>
      </c>
      <c r="H3104" s="247" t="s">
        <v>392</v>
      </c>
      <c r="I3104" s="247" t="s">
        <v>2333</v>
      </c>
      <c r="J3104" s="247">
        <v>60</v>
      </c>
      <c r="K3104" s="247">
        <v>60</v>
      </c>
      <c r="L3104" s="249" t="s">
        <v>936</v>
      </c>
      <c r="M3104" s="249" t="s">
        <v>929</v>
      </c>
      <c r="N3104" s="248">
        <v>2821.57</v>
      </c>
      <c r="O3104" s="248">
        <v>11679.86</v>
      </c>
      <c r="P3104" s="247" t="s">
        <v>1515</v>
      </c>
      <c r="Q3104" s="247" t="s">
        <v>90</v>
      </c>
    </row>
    <row r="3105" spans="1:17" x14ac:dyDescent="0.25">
      <c r="A3105" s="247" t="s">
        <v>646</v>
      </c>
      <c r="B3105" s="247" t="s">
        <v>265</v>
      </c>
      <c r="C3105" s="247" t="s">
        <v>1492</v>
      </c>
      <c r="D3105" s="247" t="s">
        <v>823</v>
      </c>
      <c r="E3105" s="247" t="s">
        <v>711</v>
      </c>
      <c r="F3105" s="247" t="s">
        <v>2332</v>
      </c>
      <c r="G3105" s="247" t="s">
        <v>1514</v>
      </c>
      <c r="H3105" s="247" t="s">
        <v>392</v>
      </c>
      <c r="I3105" s="247" t="s">
        <v>2333</v>
      </c>
      <c r="J3105" s="247">
        <v>60</v>
      </c>
      <c r="K3105" s="247">
        <v>60</v>
      </c>
      <c r="L3105" s="249" t="s">
        <v>937</v>
      </c>
      <c r="M3105" s="249" t="s">
        <v>929</v>
      </c>
      <c r="N3105" s="248">
        <v>2911.97</v>
      </c>
      <c r="O3105" s="248">
        <v>14591.83</v>
      </c>
      <c r="P3105" s="247" t="s">
        <v>1515</v>
      </c>
      <c r="Q3105" s="247" t="s">
        <v>91</v>
      </c>
    </row>
    <row r="3106" spans="1:17" x14ac:dyDescent="0.25">
      <c r="A3106" s="247" t="s">
        <v>646</v>
      </c>
      <c r="B3106" s="247" t="s">
        <v>265</v>
      </c>
      <c r="C3106" s="247" t="s">
        <v>1492</v>
      </c>
      <c r="D3106" s="247" t="s">
        <v>823</v>
      </c>
      <c r="E3106" s="247" t="s">
        <v>711</v>
      </c>
      <c r="F3106" s="247" t="s">
        <v>2332</v>
      </c>
      <c r="G3106" s="247" t="s">
        <v>1514</v>
      </c>
      <c r="H3106" s="247" t="s">
        <v>392</v>
      </c>
      <c r="I3106" s="247" t="s">
        <v>2333</v>
      </c>
      <c r="J3106" s="247">
        <v>60</v>
      </c>
      <c r="K3106" s="247">
        <v>60</v>
      </c>
      <c r="L3106" s="249" t="s">
        <v>938</v>
      </c>
      <c r="M3106" s="249" t="s">
        <v>929</v>
      </c>
      <c r="N3106" s="248">
        <v>913.52</v>
      </c>
      <c r="O3106" s="248">
        <v>15505.35</v>
      </c>
      <c r="P3106" s="247" t="s">
        <v>1515</v>
      </c>
      <c r="Q3106" s="247" t="s">
        <v>92</v>
      </c>
    </row>
    <row r="3107" spans="1:17" x14ac:dyDescent="0.25">
      <c r="A3107" s="247" t="s">
        <v>646</v>
      </c>
      <c r="B3107" s="247" t="s">
        <v>265</v>
      </c>
      <c r="C3107" s="247" t="s">
        <v>1492</v>
      </c>
      <c r="D3107" s="247" t="s">
        <v>823</v>
      </c>
      <c r="E3107" s="247" t="s">
        <v>711</v>
      </c>
      <c r="F3107" s="247" t="s">
        <v>2332</v>
      </c>
      <c r="G3107" s="247" t="s">
        <v>1514</v>
      </c>
      <c r="H3107" s="247" t="s">
        <v>392</v>
      </c>
      <c r="I3107" s="247" t="s">
        <v>2333</v>
      </c>
      <c r="J3107" s="247">
        <v>60</v>
      </c>
      <c r="K3107" s="247">
        <v>60</v>
      </c>
      <c r="L3107" s="249" t="s">
        <v>939</v>
      </c>
      <c r="M3107" s="249" t="s">
        <v>929</v>
      </c>
      <c r="N3107" s="248">
        <v>1584.92</v>
      </c>
      <c r="O3107" s="248">
        <v>17090.27</v>
      </c>
      <c r="P3107" s="247" t="s">
        <v>1515</v>
      </c>
      <c r="Q3107" s="247" t="s">
        <v>93</v>
      </c>
    </row>
    <row r="3108" spans="1:17" x14ac:dyDescent="0.25">
      <c r="A3108" s="247" t="s">
        <v>646</v>
      </c>
      <c r="B3108" s="247" t="s">
        <v>265</v>
      </c>
      <c r="C3108" s="247" t="s">
        <v>1492</v>
      </c>
      <c r="D3108" s="247" t="s">
        <v>823</v>
      </c>
      <c r="E3108" s="247" t="s">
        <v>711</v>
      </c>
      <c r="F3108" s="247" t="s">
        <v>2332</v>
      </c>
      <c r="G3108" s="247" t="s">
        <v>1514</v>
      </c>
      <c r="H3108" s="247" t="s">
        <v>392</v>
      </c>
      <c r="I3108" s="247" t="s">
        <v>2333</v>
      </c>
      <c r="J3108" s="247">
        <v>60</v>
      </c>
      <c r="K3108" s="247">
        <v>60</v>
      </c>
      <c r="L3108" s="249" t="s">
        <v>940</v>
      </c>
      <c r="M3108" s="249" t="s">
        <v>929</v>
      </c>
      <c r="N3108" s="248">
        <v>2639.44</v>
      </c>
      <c r="O3108" s="248">
        <v>19729.71</v>
      </c>
      <c r="P3108" s="247" t="s">
        <v>1515</v>
      </c>
      <c r="Q3108" s="247" t="s">
        <v>94</v>
      </c>
    </row>
    <row r="3109" spans="1:17" x14ac:dyDescent="0.25">
      <c r="A3109" s="247" t="s">
        <v>646</v>
      </c>
      <c r="B3109" s="247" t="s">
        <v>265</v>
      </c>
      <c r="C3109" s="247" t="s">
        <v>1492</v>
      </c>
      <c r="D3109" s="247" t="s">
        <v>823</v>
      </c>
      <c r="E3109" s="247" t="s">
        <v>711</v>
      </c>
      <c r="F3109" s="247" t="s">
        <v>2332</v>
      </c>
      <c r="G3109" s="247" t="s">
        <v>1514</v>
      </c>
      <c r="H3109" s="247" t="s">
        <v>392</v>
      </c>
      <c r="I3109" s="247" t="s">
        <v>2333</v>
      </c>
      <c r="J3109" s="247">
        <v>60</v>
      </c>
      <c r="K3109" s="247">
        <v>60</v>
      </c>
      <c r="L3109" s="249" t="s">
        <v>642</v>
      </c>
      <c r="M3109" s="249" t="s">
        <v>929</v>
      </c>
      <c r="N3109" s="248">
        <v>3022.72</v>
      </c>
      <c r="O3109" s="248">
        <v>22752.43</v>
      </c>
      <c r="P3109" s="247" t="s">
        <v>1515</v>
      </c>
      <c r="Q3109" s="247" t="s">
        <v>95</v>
      </c>
    </row>
    <row r="3110" spans="1:17" x14ac:dyDescent="0.25">
      <c r="A3110" s="247" t="s">
        <v>646</v>
      </c>
      <c r="B3110" s="247" t="s">
        <v>265</v>
      </c>
      <c r="C3110" s="247" t="s">
        <v>1492</v>
      </c>
      <c r="D3110" s="247" t="s">
        <v>509</v>
      </c>
      <c r="E3110" s="247" t="s">
        <v>711</v>
      </c>
      <c r="F3110" s="247" t="s">
        <v>2334</v>
      </c>
      <c r="G3110" s="247" t="s">
        <v>1516</v>
      </c>
      <c r="H3110" s="247" t="s">
        <v>392</v>
      </c>
      <c r="I3110" s="247" t="s">
        <v>2335</v>
      </c>
      <c r="J3110" s="247">
        <v>61</v>
      </c>
      <c r="K3110" s="247">
        <v>61</v>
      </c>
      <c r="L3110" s="249" t="s">
        <v>791</v>
      </c>
      <c r="M3110" s="249" t="s">
        <v>929</v>
      </c>
      <c r="N3110" s="248">
        <v>5262.72</v>
      </c>
      <c r="O3110" s="248">
        <v>5262.72</v>
      </c>
      <c r="P3110" s="247" t="s">
        <v>1517</v>
      </c>
      <c r="Q3110" s="247" t="s">
        <v>88</v>
      </c>
    </row>
    <row r="3111" spans="1:17" x14ac:dyDescent="0.25">
      <c r="A3111" s="247" t="s">
        <v>646</v>
      </c>
      <c r="B3111" s="247" t="s">
        <v>265</v>
      </c>
      <c r="C3111" s="247" t="s">
        <v>1492</v>
      </c>
      <c r="D3111" s="247" t="s">
        <v>509</v>
      </c>
      <c r="E3111" s="247" t="s">
        <v>711</v>
      </c>
      <c r="F3111" s="247" t="s">
        <v>2334</v>
      </c>
      <c r="G3111" s="247" t="s">
        <v>1516</v>
      </c>
      <c r="H3111" s="247" t="s">
        <v>392</v>
      </c>
      <c r="I3111" s="247" t="s">
        <v>2335</v>
      </c>
      <c r="J3111" s="247">
        <v>61</v>
      </c>
      <c r="K3111" s="247">
        <v>61</v>
      </c>
      <c r="L3111" s="249" t="s">
        <v>935</v>
      </c>
      <c r="M3111" s="249" t="s">
        <v>929</v>
      </c>
      <c r="N3111" s="248">
        <v>81.45</v>
      </c>
      <c r="O3111" s="248">
        <v>5344.17</v>
      </c>
      <c r="P3111" s="247" t="s">
        <v>1517</v>
      </c>
      <c r="Q3111" s="247" t="s">
        <v>89</v>
      </c>
    </row>
    <row r="3112" spans="1:17" x14ac:dyDescent="0.25">
      <c r="A3112" s="247" t="s">
        <v>646</v>
      </c>
      <c r="B3112" s="247" t="s">
        <v>265</v>
      </c>
      <c r="C3112" s="247" t="s">
        <v>1492</v>
      </c>
      <c r="D3112" s="247" t="s">
        <v>509</v>
      </c>
      <c r="E3112" s="247" t="s">
        <v>711</v>
      </c>
      <c r="F3112" s="247" t="s">
        <v>2334</v>
      </c>
      <c r="G3112" s="247" t="s">
        <v>1516</v>
      </c>
      <c r="H3112" s="247" t="s">
        <v>392</v>
      </c>
      <c r="I3112" s="247" t="s">
        <v>2335</v>
      </c>
      <c r="J3112" s="247">
        <v>61</v>
      </c>
      <c r="K3112" s="247">
        <v>61</v>
      </c>
      <c r="L3112" s="249" t="s">
        <v>936</v>
      </c>
      <c r="M3112" s="249" t="s">
        <v>929</v>
      </c>
      <c r="N3112" s="248">
        <v>215.27</v>
      </c>
      <c r="O3112" s="248">
        <v>5559.44</v>
      </c>
      <c r="P3112" s="247" t="s">
        <v>1517</v>
      </c>
      <c r="Q3112" s="247" t="s">
        <v>90</v>
      </c>
    </row>
    <row r="3113" spans="1:17" x14ac:dyDescent="0.25">
      <c r="A3113" s="247" t="s">
        <v>646</v>
      </c>
      <c r="B3113" s="247" t="s">
        <v>265</v>
      </c>
      <c r="C3113" s="247" t="s">
        <v>1492</v>
      </c>
      <c r="D3113" s="247" t="s">
        <v>509</v>
      </c>
      <c r="E3113" s="247" t="s">
        <v>711</v>
      </c>
      <c r="F3113" s="247" t="s">
        <v>2334</v>
      </c>
      <c r="G3113" s="247" t="s">
        <v>1516</v>
      </c>
      <c r="H3113" s="247" t="s">
        <v>392</v>
      </c>
      <c r="I3113" s="247" t="s">
        <v>2335</v>
      </c>
      <c r="J3113" s="247">
        <v>61</v>
      </c>
      <c r="K3113" s="247">
        <v>61</v>
      </c>
      <c r="L3113" s="249" t="s">
        <v>937</v>
      </c>
      <c r="M3113" s="249" t="s">
        <v>929</v>
      </c>
      <c r="N3113" s="248">
        <v>0</v>
      </c>
      <c r="O3113" s="248">
        <v>5559.44</v>
      </c>
      <c r="P3113" s="247" t="s">
        <v>1517</v>
      </c>
      <c r="Q3113" s="247" t="s">
        <v>91</v>
      </c>
    </row>
    <row r="3114" spans="1:17" x14ac:dyDescent="0.25">
      <c r="A3114" s="247" t="s">
        <v>646</v>
      </c>
      <c r="B3114" s="247" t="s">
        <v>265</v>
      </c>
      <c r="C3114" s="247" t="s">
        <v>1492</v>
      </c>
      <c r="D3114" s="247" t="s">
        <v>509</v>
      </c>
      <c r="E3114" s="247" t="s">
        <v>711</v>
      </c>
      <c r="F3114" s="247" t="s">
        <v>2334</v>
      </c>
      <c r="G3114" s="247" t="s">
        <v>1516</v>
      </c>
      <c r="H3114" s="247" t="s">
        <v>392</v>
      </c>
      <c r="I3114" s="247" t="s">
        <v>2335</v>
      </c>
      <c r="J3114" s="247">
        <v>61</v>
      </c>
      <c r="K3114" s="247">
        <v>61</v>
      </c>
      <c r="L3114" s="249" t="s">
        <v>938</v>
      </c>
      <c r="M3114" s="249" t="s">
        <v>929</v>
      </c>
      <c r="N3114" s="248">
        <v>7922.19</v>
      </c>
      <c r="O3114" s="248">
        <v>13481.63</v>
      </c>
      <c r="P3114" s="247" t="s">
        <v>1517</v>
      </c>
      <c r="Q3114" s="247" t="s">
        <v>92</v>
      </c>
    </row>
    <row r="3115" spans="1:17" x14ac:dyDescent="0.25">
      <c r="A3115" s="247" t="s">
        <v>646</v>
      </c>
      <c r="B3115" s="247" t="s">
        <v>265</v>
      </c>
      <c r="C3115" s="247" t="s">
        <v>1492</v>
      </c>
      <c r="D3115" s="247" t="s">
        <v>509</v>
      </c>
      <c r="E3115" s="247" t="s">
        <v>711</v>
      </c>
      <c r="F3115" s="247" t="s">
        <v>2334</v>
      </c>
      <c r="G3115" s="247" t="s">
        <v>1516</v>
      </c>
      <c r="H3115" s="247" t="s">
        <v>392</v>
      </c>
      <c r="I3115" s="247" t="s">
        <v>2335</v>
      </c>
      <c r="J3115" s="247">
        <v>61</v>
      </c>
      <c r="K3115" s="247">
        <v>61</v>
      </c>
      <c r="L3115" s="249" t="s">
        <v>939</v>
      </c>
      <c r="M3115" s="249" t="s">
        <v>929</v>
      </c>
      <c r="N3115" s="248">
        <v>2428.65</v>
      </c>
      <c r="O3115" s="248">
        <v>15910.28</v>
      </c>
      <c r="P3115" s="247" t="s">
        <v>1517</v>
      </c>
      <c r="Q3115" s="247" t="s">
        <v>93</v>
      </c>
    </row>
    <row r="3116" spans="1:17" x14ac:dyDescent="0.25">
      <c r="A3116" s="247" t="s">
        <v>646</v>
      </c>
      <c r="B3116" s="247" t="s">
        <v>265</v>
      </c>
      <c r="C3116" s="247" t="s">
        <v>1492</v>
      </c>
      <c r="D3116" s="247" t="s">
        <v>509</v>
      </c>
      <c r="E3116" s="247" t="s">
        <v>711</v>
      </c>
      <c r="F3116" s="247" t="s">
        <v>2334</v>
      </c>
      <c r="G3116" s="247" t="s">
        <v>1516</v>
      </c>
      <c r="H3116" s="247" t="s">
        <v>392</v>
      </c>
      <c r="I3116" s="247" t="s">
        <v>2335</v>
      </c>
      <c r="J3116" s="247">
        <v>61</v>
      </c>
      <c r="K3116" s="247">
        <v>61</v>
      </c>
      <c r="L3116" s="249" t="s">
        <v>940</v>
      </c>
      <c r="M3116" s="249" t="s">
        <v>929</v>
      </c>
      <c r="N3116" s="248">
        <v>909.47</v>
      </c>
      <c r="O3116" s="248">
        <v>16819.75</v>
      </c>
      <c r="P3116" s="247" t="s">
        <v>1517</v>
      </c>
      <c r="Q3116" s="247" t="s">
        <v>94</v>
      </c>
    </row>
    <row r="3117" spans="1:17" x14ac:dyDescent="0.25">
      <c r="A3117" s="247" t="s">
        <v>646</v>
      </c>
      <c r="B3117" s="247" t="s">
        <v>265</v>
      </c>
      <c r="C3117" s="247" t="s">
        <v>1492</v>
      </c>
      <c r="D3117" s="247" t="s">
        <v>509</v>
      </c>
      <c r="E3117" s="247" t="s">
        <v>711</v>
      </c>
      <c r="F3117" s="247" t="s">
        <v>2334</v>
      </c>
      <c r="G3117" s="247" t="s">
        <v>1516</v>
      </c>
      <c r="H3117" s="247" t="s">
        <v>392</v>
      </c>
      <c r="I3117" s="247" t="s">
        <v>2335</v>
      </c>
      <c r="J3117" s="247">
        <v>61</v>
      </c>
      <c r="K3117" s="247">
        <v>61</v>
      </c>
      <c r="L3117" s="249" t="s">
        <v>642</v>
      </c>
      <c r="M3117" s="249" t="s">
        <v>929</v>
      </c>
      <c r="N3117" s="248">
        <v>2163.56</v>
      </c>
      <c r="O3117" s="248">
        <v>18983.310000000001</v>
      </c>
      <c r="P3117" s="247" t="s">
        <v>1517</v>
      </c>
      <c r="Q3117" s="247" t="s">
        <v>95</v>
      </c>
    </row>
    <row r="3118" spans="1:17" x14ac:dyDescent="0.25">
      <c r="A3118" s="247" t="s">
        <v>646</v>
      </c>
      <c r="B3118" s="247" t="s">
        <v>265</v>
      </c>
      <c r="C3118" s="247" t="s">
        <v>1492</v>
      </c>
      <c r="D3118" s="247" t="s">
        <v>575</v>
      </c>
      <c r="E3118" s="247" t="s">
        <v>926</v>
      </c>
      <c r="F3118" s="247" t="s">
        <v>2336</v>
      </c>
      <c r="G3118" s="247" t="s">
        <v>1518</v>
      </c>
      <c r="H3118" s="247"/>
      <c r="I3118" s="247" t="s">
        <v>2337</v>
      </c>
      <c r="J3118" s="247">
        <v>63</v>
      </c>
      <c r="K3118" s="247">
        <v>63</v>
      </c>
      <c r="L3118" s="249" t="s">
        <v>646</v>
      </c>
      <c r="M3118" s="249" t="s">
        <v>933</v>
      </c>
      <c r="N3118" s="248">
        <v>3642.29</v>
      </c>
      <c r="O3118" s="248">
        <v>29067.03</v>
      </c>
      <c r="P3118" s="247" t="s">
        <v>1519</v>
      </c>
      <c r="Q3118" s="247" t="s">
        <v>84</v>
      </c>
    </row>
    <row r="3119" spans="1:17" x14ac:dyDescent="0.25">
      <c r="A3119" s="247" t="s">
        <v>646</v>
      </c>
      <c r="B3119" s="247" t="s">
        <v>265</v>
      </c>
      <c r="C3119" s="247" t="s">
        <v>1492</v>
      </c>
      <c r="D3119" s="247" t="s">
        <v>575</v>
      </c>
      <c r="E3119" s="247" t="s">
        <v>926</v>
      </c>
      <c r="F3119" s="247" t="s">
        <v>2336</v>
      </c>
      <c r="G3119" s="247" t="s">
        <v>1518</v>
      </c>
      <c r="H3119" s="247"/>
      <c r="I3119" s="247" t="s">
        <v>2337</v>
      </c>
      <c r="J3119" s="247">
        <v>63</v>
      </c>
      <c r="K3119" s="247">
        <v>63</v>
      </c>
      <c r="L3119" s="249" t="s">
        <v>650</v>
      </c>
      <c r="M3119" s="249" t="s">
        <v>933</v>
      </c>
      <c r="N3119" s="248">
        <v>2005.55</v>
      </c>
      <c r="O3119" s="248">
        <v>31072.58</v>
      </c>
      <c r="P3119" s="247" t="s">
        <v>1519</v>
      </c>
      <c r="Q3119" s="247" t="s">
        <v>85</v>
      </c>
    </row>
    <row r="3120" spans="1:17" x14ac:dyDescent="0.25">
      <c r="A3120" s="247" t="s">
        <v>646</v>
      </c>
      <c r="B3120" s="247" t="s">
        <v>265</v>
      </c>
      <c r="C3120" s="247" t="s">
        <v>1492</v>
      </c>
      <c r="D3120" s="247" t="s">
        <v>575</v>
      </c>
      <c r="E3120" s="247" t="s">
        <v>926</v>
      </c>
      <c r="F3120" s="247" t="s">
        <v>2336</v>
      </c>
      <c r="G3120" s="247" t="s">
        <v>1518</v>
      </c>
      <c r="H3120" s="247"/>
      <c r="I3120" s="247" t="s">
        <v>2337</v>
      </c>
      <c r="J3120" s="247">
        <v>63</v>
      </c>
      <c r="K3120" s="247">
        <v>63</v>
      </c>
      <c r="L3120" s="249" t="s">
        <v>652</v>
      </c>
      <c r="M3120" s="249" t="s">
        <v>933</v>
      </c>
      <c r="N3120" s="248">
        <v>2861.28</v>
      </c>
      <c r="O3120" s="248">
        <v>33933.86</v>
      </c>
      <c r="P3120" s="247" t="s">
        <v>1519</v>
      </c>
      <c r="Q3120" s="247" t="s">
        <v>86</v>
      </c>
    </row>
    <row r="3121" spans="1:17" x14ac:dyDescent="0.25">
      <c r="A3121" s="247" t="s">
        <v>646</v>
      </c>
      <c r="B3121" s="247" t="s">
        <v>265</v>
      </c>
      <c r="C3121" s="247" t="s">
        <v>1492</v>
      </c>
      <c r="D3121" s="247" t="s">
        <v>575</v>
      </c>
      <c r="E3121" s="247" t="s">
        <v>926</v>
      </c>
      <c r="F3121" s="247" t="s">
        <v>2336</v>
      </c>
      <c r="G3121" s="247" t="s">
        <v>1518</v>
      </c>
      <c r="H3121" s="247"/>
      <c r="I3121" s="247" t="s">
        <v>2337</v>
      </c>
      <c r="J3121" s="247">
        <v>63</v>
      </c>
      <c r="K3121" s="247">
        <v>63</v>
      </c>
      <c r="L3121" s="249" t="s">
        <v>789</v>
      </c>
      <c r="M3121" s="249" t="s">
        <v>929</v>
      </c>
      <c r="N3121" s="248">
        <v>1913.69</v>
      </c>
      <c r="O3121" s="248">
        <v>1913.69</v>
      </c>
      <c r="P3121" s="247" t="s">
        <v>1519</v>
      </c>
      <c r="Q3121" s="247" t="s">
        <v>87</v>
      </c>
    </row>
    <row r="3122" spans="1:17" x14ac:dyDescent="0.25">
      <c r="A3122" s="247" t="s">
        <v>646</v>
      </c>
      <c r="B3122" s="247" t="s">
        <v>265</v>
      </c>
      <c r="C3122" s="247" t="s">
        <v>1492</v>
      </c>
      <c r="D3122" s="247" t="s">
        <v>575</v>
      </c>
      <c r="E3122" s="247" t="s">
        <v>926</v>
      </c>
      <c r="F3122" s="247" t="s">
        <v>2336</v>
      </c>
      <c r="G3122" s="247" t="s">
        <v>1518</v>
      </c>
      <c r="H3122" s="247"/>
      <c r="I3122" s="247" t="s">
        <v>2337</v>
      </c>
      <c r="J3122" s="247">
        <v>63</v>
      </c>
      <c r="K3122" s="247">
        <v>63</v>
      </c>
      <c r="L3122" s="249" t="s">
        <v>791</v>
      </c>
      <c r="M3122" s="249" t="s">
        <v>929</v>
      </c>
      <c r="N3122" s="248">
        <v>2510.73</v>
      </c>
      <c r="O3122" s="248">
        <v>4424.42</v>
      </c>
      <c r="P3122" s="247" t="s">
        <v>1519</v>
      </c>
      <c r="Q3122" s="247" t="s">
        <v>88</v>
      </c>
    </row>
    <row r="3123" spans="1:17" x14ac:dyDescent="0.25">
      <c r="A3123" s="247" t="s">
        <v>646</v>
      </c>
      <c r="B3123" s="247" t="s">
        <v>265</v>
      </c>
      <c r="C3123" s="247" t="s">
        <v>1492</v>
      </c>
      <c r="D3123" s="247" t="s">
        <v>575</v>
      </c>
      <c r="E3123" s="247" t="s">
        <v>926</v>
      </c>
      <c r="F3123" s="247" t="s">
        <v>2336</v>
      </c>
      <c r="G3123" s="247" t="s">
        <v>1518</v>
      </c>
      <c r="H3123" s="247"/>
      <c r="I3123" s="247" t="s">
        <v>2337</v>
      </c>
      <c r="J3123" s="247">
        <v>63</v>
      </c>
      <c r="K3123" s="247">
        <v>63</v>
      </c>
      <c r="L3123" s="249" t="s">
        <v>935</v>
      </c>
      <c r="M3123" s="249" t="s">
        <v>929</v>
      </c>
      <c r="N3123" s="248">
        <v>5284.32</v>
      </c>
      <c r="O3123" s="248">
        <v>9708.74</v>
      </c>
      <c r="P3123" s="247" t="s">
        <v>1519</v>
      </c>
      <c r="Q3123" s="247" t="s">
        <v>89</v>
      </c>
    </row>
    <row r="3124" spans="1:17" x14ac:dyDescent="0.25">
      <c r="A3124" s="247" t="s">
        <v>646</v>
      </c>
      <c r="B3124" s="247" t="s">
        <v>265</v>
      </c>
      <c r="C3124" s="247" t="s">
        <v>1492</v>
      </c>
      <c r="D3124" s="247" t="s">
        <v>575</v>
      </c>
      <c r="E3124" s="247" t="s">
        <v>926</v>
      </c>
      <c r="F3124" s="247" t="s">
        <v>2336</v>
      </c>
      <c r="G3124" s="247" t="s">
        <v>1518</v>
      </c>
      <c r="H3124" s="247"/>
      <c r="I3124" s="247" t="s">
        <v>2337</v>
      </c>
      <c r="J3124" s="247">
        <v>63</v>
      </c>
      <c r="K3124" s="247">
        <v>63</v>
      </c>
      <c r="L3124" s="249" t="s">
        <v>936</v>
      </c>
      <c r="M3124" s="249" t="s">
        <v>929</v>
      </c>
      <c r="N3124" s="248">
        <v>7676.48</v>
      </c>
      <c r="O3124" s="248">
        <v>17385.22</v>
      </c>
      <c r="P3124" s="247" t="s">
        <v>1519</v>
      </c>
      <c r="Q3124" s="247" t="s">
        <v>90</v>
      </c>
    </row>
    <row r="3125" spans="1:17" x14ac:dyDescent="0.25">
      <c r="A3125" s="247" t="s">
        <v>646</v>
      </c>
      <c r="B3125" s="247" t="s">
        <v>265</v>
      </c>
      <c r="C3125" s="247" t="s">
        <v>1492</v>
      </c>
      <c r="D3125" s="247" t="s">
        <v>575</v>
      </c>
      <c r="E3125" s="247" t="s">
        <v>926</v>
      </c>
      <c r="F3125" s="247" t="s">
        <v>2336</v>
      </c>
      <c r="G3125" s="247" t="s">
        <v>1518</v>
      </c>
      <c r="H3125" s="247"/>
      <c r="I3125" s="247" t="s">
        <v>2337</v>
      </c>
      <c r="J3125" s="247">
        <v>63</v>
      </c>
      <c r="K3125" s="247">
        <v>63</v>
      </c>
      <c r="L3125" s="249" t="s">
        <v>937</v>
      </c>
      <c r="M3125" s="249" t="s">
        <v>929</v>
      </c>
      <c r="N3125" s="248">
        <v>3132.03</v>
      </c>
      <c r="O3125" s="248">
        <v>20517.25</v>
      </c>
      <c r="P3125" s="247" t="s">
        <v>1519</v>
      </c>
      <c r="Q3125" s="247" t="s">
        <v>91</v>
      </c>
    </row>
    <row r="3126" spans="1:17" x14ac:dyDescent="0.25">
      <c r="A3126" s="247" t="s">
        <v>646</v>
      </c>
      <c r="B3126" s="247" t="s">
        <v>265</v>
      </c>
      <c r="C3126" s="247" t="s">
        <v>1492</v>
      </c>
      <c r="D3126" s="247" t="s">
        <v>575</v>
      </c>
      <c r="E3126" s="247" t="s">
        <v>926</v>
      </c>
      <c r="F3126" s="247" t="s">
        <v>2336</v>
      </c>
      <c r="G3126" s="247" t="s">
        <v>1518</v>
      </c>
      <c r="H3126" s="247"/>
      <c r="I3126" s="247" t="s">
        <v>2337</v>
      </c>
      <c r="J3126" s="247">
        <v>63</v>
      </c>
      <c r="K3126" s="247">
        <v>63</v>
      </c>
      <c r="L3126" s="249" t="s">
        <v>938</v>
      </c>
      <c r="M3126" s="249" t="s">
        <v>929</v>
      </c>
      <c r="N3126" s="248">
        <v>3226.42</v>
      </c>
      <c r="O3126" s="248">
        <v>23743.67</v>
      </c>
      <c r="P3126" s="247" t="s">
        <v>1519</v>
      </c>
      <c r="Q3126" s="247" t="s">
        <v>92</v>
      </c>
    </row>
    <row r="3127" spans="1:17" x14ac:dyDescent="0.25">
      <c r="A3127" s="247" t="s">
        <v>646</v>
      </c>
      <c r="B3127" s="247" t="s">
        <v>265</v>
      </c>
      <c r="C3127" s="247" t="s">
        <v>1492</v>
      </c>
      <c r="D3127" s="247" t="s">
        <v>575</v>
      </c>
      <c r="E3127" s="247" t="s">
        <v>926</v>
      </c>
      <c r="F3127" s="247" t="s">
        <v>2336</v>
      </c>
      <c r="G3127" s="247" t="s">
        <v>1518</v>
      </c>
      <c r="H3127" s="247"/>
      <c r="I3127" s="247" t="s">
        <v>2337</v>
      </c>
      <c r="J3127" s="247">
        <v>63</v>
      </c>
      <c r="K3127" s="247">
        <v>63</v>
      </c>
      <c r="L3127" s="249" t="s">
        <v>939</v>
      </c>
      <c r="M3127" s="249" t="s">
        <v>929</v>
      </c>
      <c r="N3127" s="248">
        <v>2169.39</v>
      </c>
      <c r="O3127" s="248">
        <v>25913.06</v>
      </c>
      <c r="P3127" s="247" t="s">
        <v>1519</v>
      </c>
      <c r="Q3127" s="247" t="s">
        <v>93</v>
      </c>
    </row>
    <row r="3128" spans="1:17" x14ac:dyDescent="0.25">
      <c r="A3128" s="247" t="s">
        <v>646</v>
      </c>
      <c r="B3128" s="247" t="s">
        <v>265</v>
      </c>
      <c r="C3128" s="247" t="s">
        <v>1492</v>
      </c>
      <c r="D3128" s="247" t="s">
        <v>575</v>
      </c>
      <c r="E3128" s="247" t="s">
        <v>926</v>
      </c>
      <c r="F3128" s="247" t="s">
        <v>2336</v>
      </c>
      <c r="G3128" s="247" t="s">
        <v>1518</v>
      </c>
      <c r="H3128" s="247"/>
      <c r="I3128" s="247" t="s">
        <v>2337</v>
      </c>
      <c r="J3128" s="247">
        <v>63</v>
      </c>
      <c r="K3128" s="247">
        <v>63</v>
      </c>
      <c r="L3128" s="249" t="s">
        <v>940</v>
      </c>
      <c r="M3128" s="249" t="s">
        <v>929</v>
      </c>
      <c r="N3128" s="248">
        <v>15355.2</v>
      </c>
      <c r="O3128" s="248">
        <v>41268.26</v>
      </c>
      <c r="P3128" s="247" t="s">
        <v>1519</v>
      </c>
      <c r="Q3128" s="247" t="s">
        <v>94</v>
      </c>
    </row>
    <row r="3129" spans="1:17" x14ac:dyDescent="0.25">
      <c r="A3129" s="247" t="s">
        <v>646</v>
      </c>
      <c r="B3129" s="247" t="s">
        <v>265</v>
      </c>
      <c r="C3129" s="247" t="s">
        <v>1492</v>
      </c>
      <c r="D3129" s="247" t="s">
        <v>575</v>
      </c>
      <c r="E3129" s="247" t="s">
        <v>926</v>
      </c>
      <c r="F3129" s="247" t="s">
        <v>2336</v>
      </c>
      <c r="G3129" s="247" t="s">
        <v>1518</v>
      </c>
      <c r="H3129" s="247"/>
      <c r="I3129" s="247" t="s">
        <v>2337</v>
      </c>
      <c r="J3129" s="247">
        <v>63</v>
      </c>
      <c r="K3129" s="247">
        <v>63</v>
      </c>
      <c r="L3129" s="249" t="s">
        <v>642</v>
      </c>
      <c r="M3129" s="249" t="s">
        <v>929</v>
      </c>
      <c r="N3129" s="248">
        <v>7984.71</v>
      </c>
      <c r="O3129" s="248">
        <v>49252.97</v>
      </c>
      <c r="P3129" s="247" t="s">
        <v>1519</v>
      </c>
      <c r="Q3129" s="247" t="s">
        <v>95</v>
      </c>
    </row>
    <row r="3130" spans="1:17" x14ac:dyDescent="0.25">
      <c r="A3130" s="247" t="s">
        <v>646</v>
      </c>
      <c r="B3130" s="247" t="s">
        <v>265</v>
      </c>
      <c r="C3130" s="247" t="s">
        <v>1492</v>
      </c>
      <c r="D3130" s="247" t="s">
        <v>1507</v>
      </c>
      <c r="E3130" s="247" t="s">
        <v>711</v>
      </c>
      <c r="F3130" s="247" t="s">
        <v>2338</v>
      </c>
      <c r="G3130" s="247" t="s">
        <v>1508</v>
      </c>
      <c r="H3130" s="247" t="s">
        <v>392</v>
      </c>
      <c r="I3130" s="247" t="s">
        <v>2339</v>
      </c>
      <c r="J3130" s="247">
        <v>58</v>
      </c>
      <c r="K3130" s="247">
        <v>58</v>
      </c>
      <c r="L3130" s="249" t="s">
        <v>646</v>
      </c>
      <c r="M3130" s="249" t="s">
        <v>933</v>
      </c>
      <c r="N3130" s="248">
        <v>1482.39</v>
      </c>
      <c r="O3130" s="248">
        <v>1482.39</v>
      </c>
      <c r="P3130" s="247" t="s">
        <v>1520</v>
      </c>
      <c r="Q3130" s="247" t="s">
        <v>84</v>
      </c>
    </row>
    <row r="3131" spans="1:17" x14ac:dyDescent="0.25">
      <c r="A3131" s="247" t="s">
        <v>646</v>
      </c>
      <c r="B3131" s="247" t="s">
        <v>265</v>
      </c>
      <c r="C3131" s="247" t="s">
        <v>1492</v>
      </c>
      <c r="D3131" s="247" t="s">
        <v>1507</v>
      </c>
      <c r="E3131" s="247" t="s">
        <v>711</v>
      </c>
      <c r="F3131" s="247" t="s">
        <v>2338</v>
      </c>
      <c r="G3131" s="247" t="s">
        <v>1508</v>
      </c>
      <c r="H3131" s="247" t="s">
        <v>392</v>
      </c>
      <c r="I3131" s="247" t="s">
        <v>2339</v>
      </c>
      <c r="J3131" s="247">
        <v>58</v>
      </c>
      <c r="K3131" s="247">
        <v>58</v>
      </c>
      <c r="L3131" s="249" t="s">
        <v>650</v>
      </c>
      <c r="M3131" s="249" t="s">
        <v>933</v>
      </c>
      <c r="N3131" s="248">
        <v>456.12</v>
      </c>
      <c r="O3131" s="248">
        <v>1938.51</v>
      </c>
      <c r="P3131" s="247" t="s">
        <v>1520</v>
      </c>
      <c r="Q3131" s="247" t="s">
        <v>85</v>
      </c>
    </row>
    <row r="3132" spans="1:17" x14ac:dyDescent="0.25">
      <c r="A3132" s="247" t="s">
        <v>646</v>
      </c>
      <c r="B3132" s="247" t="s">
        <v>265</v>
      </c>
      <c r="C3132" s="247" t="s">
        <v>1492</v>
      </c>
      <c r="D3132" s="247" t="s">
        <v>1507</v>
      </c>
      <c r="E3132" s="247" t="s">
        <v>711</v>
      </c>
      <c r="F3132" s="247" t="s">
        <v>2338</v>
      </c>
      <c r="G3132" s="247" t="s">
        <v>1508</v>
      </c>
      <c r="H3132" s="247" t="s">
        <v>392</v>
      </c>
      <c r="I3132" s="247" t="s">
        <v>2339</v>
      </c>
      <c r="J3132" s="247">
        <v>58</v>
      </c>
      <c r="K3132" s="247">
        <v>58</v>
      </c>
      <c r="L3132" s="249" t="s">
        <v>652</v>
      </c>
      <c r="M3132" s="249" t="s">
        <v>933</v>
      </c>
      <c r="N3132" s="248">
        <v>950.25</v>
      </c>
      <c r="O3132" s="248">
        <v>2888.76</v>
      </c>
      <c r="P3132" s="247" t="s">
        <v>1520</v>
      </c>
      <c r="Q3132" s="247" t="s">
        <v>86</v>
      </c>
    </row>
    <row r="3133" spans="1:17" x14ac:dyDescent="0.25">
      <c r="A3133" s="247" t="s">
        <v>646</v>
      </c>
      <c r="B3133" s="247" t="s">
        <v>265</v>
      </c>
      <c r="C3133" s="247" t="s">
        <v>1492</v>
      </c>
      <c r="D3133" s="247" t="s">
        <v>1507</v>
      </c>
      <c r="E3133" s="247" t="s">
        <v>711</v>
      </c>
      <c r="F3133" s="247" t="s">
        <v>2338</v>
      </c>
      <c r="G3133" s="247" t="s">
        <v>1508</v>
      </c>
      <c r="H3133" s="247" t="s">
        <v>392</v>
      </c>
      <c r="I3133" s="247" t="s">
        <v>2339</v>
      </c>
      <c r="J3133" s="247">
        <v>58</v>
      </c>
      <c r="K3133" s="247">
        <v>58</v>
      </c>
      <c r="L3133" s="249" t="s">
        <v>789</v>
      </c>
      <c r="M3133" s="249" t="s">
        <v>929</v>
      </c>
      <c r="N3133" s="248">
        <v>1102.29</v>
      </c>
      <c r="O3133" s="248">
        <v>1102.29</v>
      </c>
      <c r="P3133" s="247" t="s">
        <v>1520</v>
      </c>
      <c r="Q3133" s="247" t="s">
        <v>87</v>
      </c>
    </row>
    <row r="3134" spans="1:17" x14ac:dyDescent="0.25">
      <c r="A3134" s="247" t="s">
        <v>646</v>
      </c>
      <c r="B3134" s="247" t="s">
        <v>265</v>
      </c>
      <c r="C3134" s="247" t="s">
        <v>1492</v>
      </c>
      <c r="D3134" s="247" t="s">
        <v>1507</v>
      </c>
      <c r="E3134" s="247" t="s">
        <v>711</v>
      </c>
      <c r="F3134" s="247" t="s">
        <v>2338</v>
      </c>
      <c r="G3134" s="247" t="s">
        <v>1508</v>
      </c>
      <c r="H3134" s="247" t="s">
        <v>392</v>
      </c>
      <c r="I3134" s="247" t="s">
        <v>2339</v>
      </c>
      <c r="J3134" s="247">
        <v>58</v>
      </c>
      <c r="K3134" s="247">
        <v>58</v>
      </c>
      <c r="L3134" s="249" t="s">
        <v>791</v>
      </c>
      <c r="M3134" s="249" t="s">
        <v>929</v>
      </c>
      <c r="N3134" s="248">
        <v>1064.28</v>
      </c>
      <c r="O3134" s="248">
        <v>2166.5700000000002</v>
      </c>
      <c r="P3134" s="247" t="s">
        <v>1520</v>
      </c>
      <c r="Q3134" s="247" t="s">
        <v>88</v>
      </c>
    </row>
    <row r="3135" spans="1:17" x14ac:dyDescent="0.25">
      <c r="A3135" s="247" t="s">
        <v>646</v>
      </c>
      <c r="B3135" s="247" t="s">
        <v>265</v>
      </c>
      <c r="C3135" s="247" t="s">
        <v>1492</v>
      </c>
      <c r="D3135" s="247" t="s">
        <v>1507</v>
      </c>
      <c r="E3135" s="247" t="s">
        <v>711</v>
      </c>
      <c r="F3135" s="247" t="s">
        <v>2338</v>
      </c>
      <c r="G3135" s="247" t="s">
        <v>1508</v>
      </c>
      <c r="H3135" s="247" t="s">
        <v>392</v>
      </c>
      <c r="I3135" s="247" t="s">
        <v>2339</v>
      </c>
      <c r="J3135" s="247">
        <v>58</v>
      </c>
      <c r="K3135" s="247">
        <v>58</v>
      </c>
      <c r="L3135" s="249" t="s">
        <v>935</v>
      </c>
      <c r="M3135" s="249" t="s">
        <v>929</v>
      </c>
      <c r="N3135" s="248">
        <v>342.09</v>
      </c>
      <c r="O3135" s="248">
        <v>2508.66</v>
      </c>
      <c r="P3135" s="247" t="s">
        <v>1520</v>
      </c>
      <c r="Q3135" s="247" t="s">
        <v>89</v>
      </c>
    </row>
    <row r="3136" spans="1:17" x14ac:dyDescent="0.25">
      <c r="A3136" s="247" t="s">
        <v>646</v>
      </c>
      <c r="B3136" s="247" t="s">
        <v>265</v>
      </c>
      <c r="C3136" s="247" t="s">
        <v>1492</v>
      </c>
      <c r="D3136" s="247" t="s">
        <v>1507</v>
      </c>
      <c r="E3136" s="247" t="s">
        <v>711</v>
      </c>
      <c r="F3136" s="247" t="s">
        <v>2338</v>
      </c>
      <c r="G3136" s="247" t="s">
        <v>1508</v>
      </c>
      <c r="H3136" s="247" t="s">
        <v>392</v>
      </c>
      <c r="I3136" s="247" t="s">
        <v>2339</v>
      </c>
      <c r="J3136" s="247">
        <v>58</v>
      </c>
      <c r="K3136" s="247">
        <v>58</v>
      </c>
      <c r="L3136" s="249" t="s">
        <v>936</v>
      </c>
      <c r="M3136" s="249" t="s">
        <v>929</v>
      </c>
      <c r="N3136" s="248">
        <v>988.26</v>
      </c>
      <c r="O3136" s="248">
        <v>3496.92</v>
      </c>
      <c r="P3136" s="247" t="s">
        <v>1520</v>
      </c>
      <c r="Q3136" s="247" t="s">
        <v>90</v>
      </c>
    </row>
    <row r="3137" spans="1:17" x14ac:dyDescent="0.25">
      <c r="A3137" s="247" t="s">
        <v>646</v>
      </c>
      <c r="B3137" s="247" t="s">
        <v>265</v>
      </c>
      <c r="C3137" s="247" t="s">
        <v>1492</v>
      </c>
      <c r="D3137" s="247" t="s">
        <v>1507</v>
      </c>
      <c r="E3137" s="247" t="s">
        <v>711</v>
      </c>
      <c r="F3137" s="247" t="s">
        <v>2338</v>
      </c>
      <c r="G3137" s="247" t="s">
        <v>1508</v>
      </c>
      <c r="H3137" s="247" t="s">
        <v>392</v>
      </c>
      <c r="I3137" s="247" t="s">
        <v>2339</v>
      </c>
      <c r="J3137" s="247">
        <v>58</v>
      </c>
      <c r="K3137" s="247">
        <v>58</v>
      </c>
      <c r="L3137" s="249" t="s">
        <v>937</v>
      </c>
      <c r="M3137" s="249" t="s">
        <v>929</v>
      </c>
      <c r="N3137" s="248">
        <v>874.23</v>
      </c>
      <c r="O3137" s="248">
        <v>4371.1499999999996</v>
      </c>
      <c r="P3137" s="247" t="s">
        <v>1520</v>
      </c>
      <c r="Q3137" s="247" t="s">
        <v>91</v>
      </c>
    </row>
    <row r="3138" spans="1:17" x14ac:dyDescent="0.25">
      <c r="A3138" s="247" t="s">
        <v>646</v>
      </c>
      <c r="B3138" s="247" t="s">
        <v>265</v>
      </c>
      <c r="C3138" s="247" t="s">
        <v>1492</v>
      </c>
      <c r="D3138" s="247" t="s">
        <v>1507</v>
      </c>
      <c r="E3138" s="247" t="s">
        <v>711</v>
      </c>
      <c r="F3138" s="247" t="s">
        <v>2338</v>
      </c>
      <c r="G3138" s="247" t="s">
        <v>1508</v>
      </c>
      <c r="H3138" s="247" t="s">
        <v>392</v>
      </c>
      <c r="I3138" s="247" t="s">
        <v>2339</v>
      </c>
      <c r="J3138" s="247">
        <v>58</v>
      </c>
      <c r="K3138" s="247">
        <v>58</v>
      </c>
      <c r="L3138" s="249" t="s">
        <v>938</v>
      </c>
      <c r="M3138" s="249" t="s">
        <v>929</v>
      </c>
      <c r="N3138" s="248">
        <v>760.2</v>
      </c>
      <c r="O3138" s="248">
        <v>5131.3500000000004</v>
      </c>
      <c r="P3138" s="247" t="s">
        <v>1520</v>
      </c>
      <c r="Q3138" s="247" t="s">
        <v>92</v>
      </c>
    </row>
    <row r="3139" spans="1:17" x14ac:dyDescent="0.25">
      <c r="A3139" s="247" t="s">
        <v>646</v>
      </c>
      <c r="B3139" s="247" t="s">
        <v>265</v>
      </c>
      <c r="C3139" s="247" t="s">
        <v>1492</v>
      </c>
      <c r="D3139" s="247" t="s">
        <v>1507</v>
      </c>
      <c r="E3139" s="247" t="s">
        <v>711</v>
      </c>
      <c r="F3139" s="247" t="s">
        <v>2338</v>
      </c>
      <c r="G3139" s="247" t="s">
        <v>1508</v>
      </c>
      <c r="H3139" s="247" t="s">
        <v>392</v>
      </c>
      <c r="I3139" s="247" t="s">
        <v>2339</v>
      </c>
      <c r="J3139" s="247">
        <v>58</v>
      </c>
      <c r="K3139" s="247">
        <v>58</v>
      </c>
      <c r="L3139" s="249" t="s">
        <v>939</v>
      </c>
      <c r="M3139" s="249" t="s">
        <v>929</v>
      </c>
      <c r="N3139" s="248">
        <v>380.1</v>
      </c>
      <c r="O3139" s="248">
        <v>5511.45</v>
      </c>
      <c r="P3139" s="247" t="s">
        <v>1520</v>
      </c>
      <c r="Q3139" s="247" t="s">
        <v>93</v>
      </c>
    </row>
    <row r="3140" spans="1:17" x14ac:dyDescent="0.25">
      <c r="A3140" s="247" t="s">
        <v>646</v>
      </c>
      <c r="B3140" s="247" t="s">
        <v>265</v>
      </c>
      <c r="C3140" s="247" t="s">
        <v>1492</v>
      </c>
      <c r="D3140" s="247" t="s">
        <v>1507</v>
      </c>
      <c r="E3140" s="247" t="s">
        <v>711</v>
      </c>
      <c r="F3140" s="247" t="s">
        <v>2338</v>
      </c>
      <c r="G3140" s="247" t="s">
        <v>1508</v>
      </c>
      <c r="H3140" s="247" t="s">
        <v>392</v>
      </c>
      <c r="I3140" s="247" t="s">
        <v>2339</v>
      </c>
      <c r="J3140" s="247">
        <v>58</v>
      </c>
      <c r="K3140" s="247">
        <v>58</v>
      </c>
      <c r="L3140" s="249" t="s">
        <v>940</v>
      </c>
      <c r="M3140" s="249" t="s">
        <v>929</v>
      </c>
      <c r="N3140" s="248">
        <v>874.23</v>
      </c>
      <c r="O3140" s="248">
        <v>6385.68</v>
      </c>
      <c r="P3140" s="247" t="s">
        <v>1520</v>
      </c>
      <c r="Q3140" s="247" t="s">
        <v>94</v>
      </c>
    </row>
    <row r="3141" spans="1:17" x14ac:dyDescent="0.25">
      <c r="A3141" s="247" t="s">
        <v>646</v>
      </c>
      <c r="B3141" s="247" t="s">
        <v>265</v>
      </c>
      <c r="C3141" s="247" t="s">
        <v>1492</v>
      </c>
      <c r="D3141" s="247" t="s">
        <v>1507</v>
      </c>
      <c r="E3141" s="247" t="s">
        <v>711</v>
      </c>
      <c r="F3141" s="247" t="s">
        <v>2338</v>
      </c>
      <c r="G3141" s="247" t="s">
        <v>1508</v>
      </c>
      <c r="H3141" s="247" t="s">
        <v>392</v>
      </c>
      <c r="I3141" s="247" t="s">
        <v>2339</v>
      </c>
      <c r="J3141" s="247">
        <v>58</v>
      </c>
      <c r="K3141" s="247">
        <v>58</v>
      </c>
      <c r="L3141" s="249" t="s">
        <v>642</v>
      </c>
      <c r="M3141" s="249" t="s">
        <v>929</v>
      </c>
      <c r="N3141" s="248">
        <v>950.25</v>
      </c>
      <c r="O3141" s="248">
        <v>7335.93</v>
      </c>
      <c r="P3141" s="247" t="s">
        <v>1520</v>
      </c>
      <c r="Q3141" s="247" t="s">
        <v>95</v>
      </c>
    </row>
    <row r="3142" spans="1:17" x14ac:dyDescent="0.25">
      <c r="A3142" s="247" t="s">
        <v>646</v>
      </c>
      <c r="B3142" s="247" t="s">
        <v>265</v>
      </c>
      <c r="C3142" s="247" t="s">
        <v>1492</v>
      </c>
      <c r="D3142" s="247" t="s">
        <v>926</v>
      </c>
      <c r="E3142" s="247" t="s">
        <v>755</v>
      </c>
      <c r="F3142" s="247" t="s">
        <v>2340</v>
      </c>
      <c r="G3142" s="247" t="s">
        <v>1521</v>
      </c>
      <c r="H3142" s="247" t="s">
        <v>402</v>
      </c>
      <c r="I3142" s="247" t="s">
        <v>2341</v>
      </c>
      <c r="J3142" s="247">
        <v>58</v>
      </c>
      <c r="K3142" s="247">
        <v>58</v>
      </c>
      <c r="L3142" s="249" t="s">
        <v>652</v>
      </c>
      <c r="M3142" s="249" t="s">
        <v>933</v>
      </c>
      <c r="N3142" s="248">
        <v>274.05</v>
      </c>
      <c r="O3142" s="248">
        <v>274.05</v>
      </c>
      <c r="P3142" s="247" t="s">
        <v>1522</v>
      </c>
      <c r="Q3142" s="247" t="s">
        <v>86</v>
      </c>
    </row>
    <row r="3143" spans="1:17" x14ac:dyDescent="0.25">
      <c r="A3143" s="247" t="s">
        <v>646</v>
      </c>
      <c r="B3143" s="247" t="s">
        <v>265</v>
      </c>
      <c r="C3143" s="247" t="s">
        <v>1492</v>
      </c>
      <c r="D3143" s="247" t="s">
        <v>926</v>
      </c>
      <c r="E3143" s="247" t="s">
        <v>755</v>
      </c>
      <c r="F3143" s="247" t="s">
        <v>2340</v>
      </c>
      <c r="G3143" s="247" t="s">
        <v>1521</v>
      </c>
      <c r="H3143" s="247" t="s">
        <v>402</v>
      </c>
      <c r="I3143" s="247" t="s">
        <v>2341</v>
      </c>
      <c r="J3143" s="247">
        <v>58</v>
      </c>
      <c r="K3143" s="247">
        <v>58</v>
      </c>
      <c r="L3143" s="249" t="s">
        <v>789</v>
      </c>
      <c r="M3143" s="249" t="s">
        <v>929</v>
      </c>
      <c r="N3143" s="248">
        <v>612.96</v>
      </c>
      <c r="O3143" s="248">
        <v>612.96</v>
      </c>
      <c r="P3143" s="247" t="s">
        <v>1522</v>
      </c>
      <c r="Q3143" s="247" t="s">
        <v>87</v>
      </c>
    </row>
    <row r="3144" spans="1:17" x14ac:dyDescent="0.25">
      <c r="A3144" s="247" t="s">
        <v>646</v>
      </c>
      <c r="B3144" s="247" t="s">
        <v>265</v>
      </c>
      <c r="C3144" s="247" t="s">
        <v>1492</v>
      </c>
      <c r="D3144" s="247" t="s">
        <v>926</v>
      </c>
      <c r="E3144" s="247" t="s">
        <v>755</v>
      </c>
      <c r="F3144" s="247" t="s">
        <v>2340</v>
      </c>
      <c r="G3144" s="247" t="s">
        <v>1521</v>
      </c>
      <c r="H3144" s="247" t="s">
        <v>402</v>
      </c>
      <c r="I3144" s="247" t="s">
        <v>2341</v>
      </c>
      <c r="J3144" s="247">
        <v>58</v>
      </c>
      <c r="K3144" s="247">
        <v>58</v>
      </c>
      <c r="L3144" s="249" t="s">
        <v>791</v>
      </c>
      <c r="M3144" s="249" t="s">
        <v>929</v>
      </c>
      <c r="N3144" s="248">
        <v>1871.8</v>
      </c>
      <c r="O3144" s="248">
        <v>2484.7600000000002</v>
      </c>
      <c r="P3144" s="247" t="s">
        <v>1522</v>
      </c>
      <c r="Q3144" s="247" t="s">
        <v>88</v>
      </c>
    </row>
    <row r="3145" spans="1:17" x14ac:dyDescent="0.25">
      <c r="A3145" s="247" t="s">
        <v>646</v>
      </c>
      <c r="B3145" s="247" t="s">
        <v>265</v>
      </c>
      <c r="C3145" s="247" t="s">
        <v>1492</v>
      </c>
      <c r="D3145" s="247" t="s">
        <v>926</v>
      </c>
      <c r="E3145" s="247" t="s">
        <v>755</v>
      </c>
      <c r="F3145" s="247" t="s">
        <v>2340</v>
      </c>
      <c r="G3145" s="247" t="s">
        <v>1521</v>
      </c>
      <c r="H3145" s="247" t="s">
        <v>402</v>
      </c>
      <c r="I3145" s="247" t="s">
        <v>2341</v>
      </c>
      <c r="J3145" s="247">
        <v>58</v>
      </c>
      <c r="K3145" s="247">
        <v>58</v>
      </c>
      <c r="L3145" s="249" t="s">
        <v>935</v>
      </c>
      <c r="M3145" s="249" t="s">
        <v>929</v>
      </c>
      <c r="N3145" s="248">
        <v>3141.32</v>
      </c>
      <c r="O3145" s="248">
        <v>5626.08</v>
      </c>
      <c r="P3145" s="247" t="s">
        <v>1522</v>
      </c>
      <c r="Q3145" s="247" t="s">
        <v>89</v>
      </c>
    </row>
    <row r="3146" spans="1:17" x14ac:dyDescent="0.25">
      <c r="A3146" s="247" t="s">
        <v>646</v>
      </c>
      <c r="B3146" s="247" t="s">
        <v>265</v>
      </c>
      <c r="C3146" s="247" t="s">
        <v>1492</v>
      </c>
      <c r="D3146" s="247" t="s">
        <v>926</v>
      </c>
      <c r="E3146" s="247" t="s">
        <v>755</v>
      </c>
      <c r="F3146" s="247" t="s">
        <v>2340</v>
      </c>
      <c r="G3146" s="247" t="s">
        <v>1521</v>
      </c>
      <c r="H3146" s="247" t="s">
        <v>402</v>
      </c>
      <c r="I3146" s="247" t="s">
        <v>2341</v>
      </c>
      <c r="J3146" s="247">
        <v>58</v>
      </c>
      <c r="K3146" s="247">
        <v>58</v>
      </c>
      <c r="L3146" s="249" t="s">
        <v>936</v>
      </c>
      <c r="M3146" s="249" t="s">
        <v>929</v>
      </c>
      <c r="N3146" s="248">
        <v>7491.06</v>
      </c>
      <c r="O3146" s="248">
        <v>13117.14</v>
      </c>
      <c r="P3146" s="247" t="s">
        <v>1522</v>
      </c>
      <c r="Q3146" s="247" t="s">
        <v>90</v>
      </c>
    </row>
    <row r="3147" spans="1:17" x14ac:dyDescent="0.25">
      <c r="A3147" s="247" t="s">
        <v>646</v>
      </c>
      <c r="B3147" s="247" t="s">
        <v>265</v>
      </c>
      <c r="C3147" s="247" t="s">
        <v>1492</v>
      </c>
      <c r="D3147" s="247" t="s">
        <v>926</v>
      </c>
      <c r="E3147" s="247" t="s">
        <v>755</v>
      </c>
      <c r="F3147" s="247" t="s">
        <v>2340</v>
      </c>
      <c r="G3147" s="247" t="s">
        <v>1521</v>
      </c>
      <c r="H3147" s="247" t="s">
        <v>402</v>
      </c>
      <c r="I3147" s="247" t="s">
        <v>2341</v>
      </c>
      <c r="J3147" s="247">
        <v>58</v>
      </c>
      <c r="K3147" s="247">
        <v>58</v>
      </c>
      <c r="L3147" s="249" t="s">
        <v>937</v>
      </c>
      <c r="M3147" s="249" t="s">
        <v>929</v>
      </c>
      <c r="N3147" s="248">
        <v>1194.08</v>
      </c>
      <c r="O3147" s="248">
        <v>14311.22</v>
      </c>
      <c r="P3147" s="247" t="s">
        <v>1522</v>
      </c>
      <c r="Q3147" s="247" t="s">
        <v>91</v>
      </c>
    </row>
    <row r="3148" spans="1:17" x14ac:dyDescent="0.25">
      <c r="A3148" s="247" t="s">
        <v>646</v>
      </c>
      <c r="B3148" s="247" t="s">
        <v>265</v>
      </c>
      <c r="C3148" s="247" t="s">
        <v>1492</v>
      </c>
      <c r="D3148" s="247" t="s">
        <v>926</v>
      </c>
      <c r="E3148" s="247" t="s">
        <v>755</v>
      </c>
      <c r="F3148" s="247" t="s">
        <v>2340</v>
      </c>
      <c r="G3148" s="247" t="s">
        <v>1521</v>
      </c>
      <c r="H3148" s="247" t="s">
        <v>402</v>
      </c>
      <c r="I3148" s="247" t="s">
        <v>2341</v>
      </c>
      <c r="J3148" s="247">
        <v>58</v>
      </c>
      <c r="K3148" s="247">
        <v>58</v>
      </c>
      <c r="L3148" s="249" t="s">
        <v>938</v>
      </c>
      <c r="M3148" s="249" t="s">
        <v>929</v>
      </c>
      <c r="N3148" s="248">
        <v>5891.49</v>
      </c>
      <c r="O3148" s="248">
        <v>20202.71</v>
      </c>
      <c r="P3148" s="247" t="s">
        <v>1522</v>
      </c>
      <c r="Q3148" s="247" t="s">
        <v>92</v>
      </c>
    </row>
    <row r="3149" spans="1:17" x14ac:dyDescent="0.25">
      <c r="A3149" s="247" t="s">
        <v>646</v>
      </c>
      <c r="B3149" s="247" t="s">
        <v>265</v>
      </c>
      <c r="C3149" s="247" t="s">
        <v>1492</v>
      </c>
      <c r="D3149" s="247" t="s">
        <v>926</v>
      </c>
      <c r="E3149" s="247" t="s">
        <v>755</v>
      </c>
      <c r="F3149" s="247" t="s">
        <v>2340</v>
      </c>
      <c r="G3149" s="247" t="s">
        <v>1521</v>
      </c>
      <c r="H3149" s="247" t="s">
        <v>402</v>
      </c>
      <c r="I3149" s="247" t="s">
        <v>2341</v>
      </c>
      <c r="J3149" s="247">
        <v>58</v>
      </c>
      <c r="K3149" s="247">
        <v>58</v>
      </c>
      <c r="L3149" s="249" t="s">
        <v>939</v>
      </c>
      <c r="M3149" s="249" t="s">
        <v>929</v>
      </c>
      <c r="N3149" s="248">
        <v>646.11</v>
      </c>
      <c r="O3149" s="248">
        <v>20848.82</v>
      </c>
      <c r="P3149" s="247" t="s">
        <v>1522</v>
      </c>
      <c r="Q3149" s="247" t="s">
        <v>93</v>
      </c>
    </row>
    <row r="3150" spans="1:17" x14ac:dyDescent="0.25">
      <c r="A3150" s="247" t="s">
        <v>646</v>
      </c>
      <c r="B3150" s="247" t="s">
        <v>265</v>
      </c>
      <c r="C3150" s="247" t="s">
        <v>1492</v>
      </c>
      <c r="D3150" s="247" t="s">
        <v>926</v>
      </c>
      <c r="E3150" s="247" t="s">
        <v>755</v>
      </c>
      <c r="F3150" s="247" t="s">
        <v>2340</v>
      </c>
      <c r="G3150" s="247" t="s">
        <v>1521</v>
      </c>
      <c r="H3150" s="247" t="s">
        <v>402</v>
      </c>
      <c r="I3150" s="247" t="s">
        <v>2341</v>
      </c>
      <c r="J3150" s="247">
        <v>58</v>
      </c>
      <c r="K3150" s="247">
        <v>58</v>
      </c>
      <c r="L3150" s="249" t="s">
        <v>940</v>
      </c>
      <c r="M3150" s="249" t="s">
        <v>929</v>
      </c>
      <c r="N3150" s="248">
        <v>2327.41</v>
      </c>
      <c r="O3150" s="248">
        <v>23176.23</v>
      </c>
      <c r="P3150" s="247" t="s">
        <v>1522</v>
      </c>
      <c r="Q3150" s="247" t="s">
        <v>94</v>
      </c>
    </row>
    <row r="3151" spans="1:17" x14ac:dyDescent="0.25">
      <c r="A3151" s="247" t="s">
        <v>646</v>
      </c>
      <c r="B3151" s="247" t="s">
        <v>265</v>
      </c>
      <c r="C3151" s="247" t="s">
        <v>1492</v>
      </c>
      <c r="D3151" s="247" t="s">
        <v>926</v>
      </c>
      <c r="E3151" s="247" t="s">
        <v>755</v>
      </c>
      <c r="F3151" s="247" t="s">
        <v>2340</v>
      </c>
      <c r="G3151" s="247" t="s">
        <v>1521</v>
      </c>
      <c r="H3151" s="247" t="s">
        <v>402</v>
      </c>
      <c r="I3151" s="247" t="s">
        <v>2341</v>
      </c>
      <c r="J3151" s="247">
        <v>58</v>
      </c>
      <c r="K3151" s="247">
        <v>58</v>
      </c>
      <c r="L3151" s="249" t="s">
        <v>642</v>
      </c>
      <c r="M3151" s="249" t="s">
        <v>929</v>
      </c>
      <c r="N3151" s="248">
        <v>678.51</v>
      </c>
      <c r="O3151" s="248">
        <v>23854.74</v>
      </c>
      <c r="P3151" s="247" t="s">
        <v>1522</v>
      </c>
      <c r="Q3151" s="247" t="s">
        <v>95</v>
      </c>
    </row>
    <row r="3152" spans="1:17" x14ac:dyDescent="0.25">
      <c r="A3152" s="247" t="s">
        <v>646</v>
      </c>
      <c r="B3152" s="247" t="s">
        <v>265</v>
      </c>
      <c r="C3152" s="247" t="s">
        <v>1492</v>
      </c>
      <c r="D3152" s="247" t="s">
        <v>1356</v>
      </c>
      <c r="E3152" s="247" t="s">
        <v>926</v>
      </c>
      <c r="F3152" s="247" t="s">
        <v>2342</v>
      </c>
      <c r="G3152" s="247" t="s">
        <v>320</v>
      </c>
      <c r="H3152" s="247"/>
      <c r="I3152" s="247" t="s">
        <v>2343</v>
      </c>
      <c r="J3152" s="247">
        <v>64</v>
      </c>
      <c r="K3152" s="247">
        <v>64</v>
      </c>
      <c r="L3152" s="249" t="s">
        <v>646</v>
      </c>
      <c r="M3152" s="249" t="s">
        <v>933</v>
      </c>
      <c r="N3152" s="248">
        <v>1527.18</v>
      </c>
      <c r="O3152" s="248">
        <v>24551.55</v>
      </c>
      <c r="P3152" s="247" t="s">
        <v>1523</v>
      </c>
      <c r="Q3152" s="247" t="s">
        <v>84</v>
      </c>
    </row>
    <row r="3153" spans="1:17" x14ac:dyDescent="0.25">
      <c r="A3153" s="247" t="s">
        <v>646</v>
      </c>
      <c r="B3153" s="247" t="s">
        <v>265</v>
      </c>
      <c r="C3153" s="247" t="s">
        <v>1492</v>
      </c>
      <c r="D3153" s="247" t="s">
        <v>1356</v>
      </c>
      <c r="E3153" s="247" t="s">
        <v>926</v>
      </c>
      <c r="F3153" s="247" t="s">
        <v>2342</v>
      </c>
      <c r="G3153" s="247" t="s">
        <v>320</v>
      </c>
      <c r="H3153" s="247"/>
      <c r="I3153" s="247" t="s">
        <v>2343</v>
      </c>
      <c r="J3153" s="247">
        <v>64</v>
      </c>
      <c r="K3153" s="247">
        <v>64</v>
      </c>
      <c r="L3153" s="249" t="s">
        <v>650</v>
      </c>
      <c r="M3153" s="249" t="s">
        <v>933</v>
      </c>
      <c r="N3153" s="248">
        <v>2408.89</v>
      </c>
      <c r="O3153" s="248">
        <v>26960.44</v>
      </c>
      <c r="P3153" s="247" t="s">
        <v>1523</v>
      </c>
      <c r="Q3153" s="247" t="s">
        <v>85</v>
      </c>
    </row>
    <row r="3154" spans="1:17" x14ac:dyDescent="0.25">
      <c r="A3154" s="247" t="s">
        <v>646</v>
      </c>
      <c r="B3154" s="247" t="s">
        <v>265</v>
      </c>
      <c r="C3154" s="247" t="s">
        <v>1492</v>
      </c>
      <c r="D3154" s="247" t="s">
        <v>1356</v>
      </c>
      <c r="E3154" s="247" t="s">
        <v>926</v>
      </c>
      <c r="F3154" s="247" t="s">
        <v>2342</v>
      </c>
      <c r="G3154" s="247" t="s">
        <v>320</v>
      </c>
      <c r="H3154" s="247"/>
      <c r="I3154" s="247" t="s">
        <v>2343</v>
      </c>
      <c r="J3154" s="247">
        <v>64</v>
      </c>
      <c r="K3154" s="247">
        <v>64</v>
      </c>
      <c r="L3154" s="249" t="s">
        <v>652</v>
      </c>
      <c r="M3154" s="249" t="s">
        <v>933</v>
      </c>
      <c r="N3154" s="248">
        <v>2204.13</v>
      </c>
      <c r="O3154" s="248">
        <v>29164.57</v>
      </c>
      <c r="P3154" s="247" t="s">
        <v>1523</v>
      </c>
      <c r="Q3154" s="247" t="s">
        <v>86</v>
      </c>
    </row>
    <row r="3155" spans="1:17" x14ac:dyDescent="0.25">
      <c r="A3155" s="247" t="s">
        <v>646</v>
      </c>
      <c r="B3155" s="247" t="s">
        <v>265</v>
      </c>
      <c r="C3155" s="247" t="s">
        <v>1492</v>
      </c>
      <c r="D3155" s="247" t="s">
        <v>1356</v>
      </c>
      <c r="E3155" s="247" t="s">
        <v>926</v>
      </c>
      <c r="F3155" s="247" t="s">
        <v>2342</v>
      </c>
      <c r="G3155" s="247" t="s">
        <v>320</v>
      </c>
      <c r="H3155" s="247"/>
      <c r="I3155" s="247" t="s">
        <v>2343</v>
      </c>
      <c r="J3155" s="247">
        <v>64</v>
      </c>
      <c r="K3155" s="247">
        <v>64</v>
      </c>
      <c r="L3155" s="249" t="s">
        <v>789</v>
      </c>
      <c r="M3155" s="249" t="s">
        <v>929</v>
      </c>
      <c r="N3155" s="248">
        <v>7257.27</v>
      </c>
      <c r="O3155" s="248">
        <v>7257.27</v>
      </c>
      <c r="P3155" s="247" t="s">
        <v>1523</v>
      </c>
      <c r="Q3155" s="247" t="s">
        <v>87</v>
      </c>
    </row>
    <row r="3156" spans="1:17" x14ac:dyDescent="0.25">
      <c r="A3156" s="247" t="s">
        <v>646</v>
      </c>
      <c r="B3156" s="247" t="s">
        <v>265</v>
      </c>
      <c r="C3156" s="247" t="s">
        <v>1492</v>
      </c>
      <c r="D3156" s="247" t="s">
        <v>1356</v>
      </c>
      <c r="E3156" s="247" t="s">
        <v>926</v>
      </c>
      <c r="F3156" s="247" t="s">
        <v>2342</v>
      </c>
      <c r="G3156" s="247" t="s">
        <v>320</v>
      </c>
      <c r="H3156" s="247"/>
      <c r="I3156" s="247" t="s">
        <v>2343</v>
      </c>
      <c r="J3156" s="247">
        <v>64</v>
      </c>
      <c r="K3156" s="247">
        <v>64</v>
      </c>
      <c r="L3156" s="249" t="s">
        <v>791</v>
      </c>
      <c r="M3156" s="249" t="s">
        <v>929</v>
      </c>
      <c r="N3156" s="248">
        <v>1379.05</v>
      </c>
      <c r="O3156" s="248">
        <v>8636.32</v>
      </c>
      <c r="P3156" s="247" t="s">
        <v>1523</v>
      </c>
      <c r="Q3156" s="247" t="s">
        <v>88</v>
      </c>
    </row>
    <row r="3157" spans="1:17" x14ac:dyDescent="0.25">
      <c r="A3157" s="247" t="s">
        <v>646</v>
      </c>
      <c r="B3157" s="247" t="s">
        <v>265</v>
      </c>
      <c r="C3157" s="247" t="s">
        <v>1492</v>
      </c>
      <c r="D3157" s="247" t="s">
        <v>1356</v>
      </c>
      <c r="E3157" s="247" t="s">
        <v>926</v>
      </c>
      <c r="F3157" s="247" t="s">
        <v>2342</v>
      </c>
      <c r="G3157" s="247" t="s">
        <v>320</v>
      </c>
      <c r="H3157" s="247"/>
      <c r="I3157" s="247" t="s">
        <v>2343</v>
      </c>
      <c r="J3157" s="247">
        <v>64</v>
      </c>
      <c r="K3157" s="247">
        <v>64</v>
      </c>
      <c r="L3157" s="249" t="s">
        <v>935</v>
      </c>
      <c r="M3157" s="249" t="s">
        <v>929</v>
      </c>
      <c r="N3157" s="248">
        <v>6019.05</v>
      </c>
      <c r="O3157" s="248">
        <v>14655.37</v>
      </c>
      <c r="P3157" s="247" t="s">
        <v>1523</v>
      </c>
      <c r="Q3157" s="247" t="s">
        <v>89</v>
      </c>
    </row>
    <row r="3158" spans="1:17" x14ac:dyDescent="0.25">
      <c r="A3158" s="247" t="s">
        <v>646</v>
      </c>
      <c r="B3158" s="247" t="s">
        <v>265</v>
      </c>
      <c r="C3158" s="247" t="s">
        <v>1492</v>
      </c>
      <c r="D3158" s="247" t="s">
        <v>1356</v>
      </c>
      <c r="E3158" s="247" t="s">
        <v>926</v>
      </c>
      <c r="F3158" s="247" t="s">
        <v>2342</v>
      </c>
      <c r="G3158" s="247" t="s">
        <v>320</v>
      </c>
      <c r="H3158" s="247"/>
      <c r="I3158" s="247" t="s">
        <v>2343</v>
      </c>
      <c r="J3158" s="247">
        <v>64</v>
      </c>
      <c r="K3158" s="247">
        <v>64</v>
      </c>
      <c r="L3158" s="249" t="s">
        <v>936</v>
      </c>
      <c r="M3158" s="249" t="s">
        <v>929</v>
      </c>
      <c r="N3158" s="248">
        <v>2103.1799999999998</v>
      </c>
      <c r="O3158" s="248">
        <v>16758.55</v>
      </c>
      <c r="P3158" s="247" t="s">
        <v>1523</v>
      </c>
      <c r="Q3158" s="247" t="s">
        <v>90</v>
      </c>
    </row>
    <row r="3159" spans="1:17" x14ac:dyDescent="0.25">
      <c r="A3159" s="247" t="s">
        <v>646</v>
      </c>
      <c r="B3159" s="247" t="s">
        <v>265</v>
      </c>
      <c r="C3159" s="247" t="s">
        <v>1492</v>
      </c>
      <c r="D3159" s="247" t="s">
        <v>1356</v>
      </c>
      <c r="E3159" s="247" t="s">
        <v>926</v>
      </c>
      <c r="F3159" s="247" t="s">
        <v>2342</v>
      </c>
      <c r="G3159" s="247" t="s">
        <v>320</v>
      </c>
      <c r="H3159" s="247"/>
      <c r="I3159" s="247" t="s">
        <v>2343</v>
      </c>
      <c r="J3159" s="247">
        <v>64</v>
      </c>
      <c r="K3159" s="247">
        <v>64</v>
      </c>
      <c r="L3159" s="249" t="s">
        <v>937</v>
      </c>
      <c r="M3159" s="249" t="s">
        <v>929</v>
      </c>
      <c r="N3159" s="248">
        <v>2331.7800000000002</v>
      </c>
      <c r="O3159" s="248">
        <v>19090.330000000002</v>
      </c>
      <c r="P3159" s="247" t="s">
        <v>1523</v>
      </c>
      <c r="Q3159" s="247" t="s">
        <v>91</v>
      </c>
    </row>
    <row r="3160" spans="1:17" x14ac:dyDescent="0.25">
      <c r="A3160" s="247" t="s">
        <v>646</v>
      </c>
      <c r="B3160" s="247" t="s">
        <v>265</v>
      </c>
      <c r="C3160" s="247" t="s">
        <v>1492</v>
      </c>
      <c r="D3160" s="247" t="s">
        <v>1356</v>
      </c>
      <c r="E3160" s="247" t="s">
        <v>926</v>
      </c>
      <c r="F3160" s="247" t="s">
        <v>2342</v>
      </c>
      <c r="G3160" s="247" t="s">
        <v>320</v>
      </c>
      <c r="H3160" s="247"/>
      <c r="I3160" s="247" t="s">
        <v>2343</v>
      </c>
      <c r="J3160" s="247">
        <v>64</v>
      </c>
      <c r="K3160" s="247">
        <v>64</v>
      </c>
      <c r="L3160" s="249" t="s">
        <v>938</v>
      </c>
      <c r="M3160" s="249" t="s">
        <v>929</v>
      </c>
      <c r="N3160" s="248">
        <v>529.92999999999995</v>
      </c>
      <c r="O3160" s="248">
        <v>19620.259999999998</v>
      </c>
      <c r="P3160" s="247" t="s">
        <v>1523</v>
      </c>
      <c r="Q3160" s="247" t="s">
        <v>92</v>
      </c>
    </row>
    <row r="3161" spans="1:17" x14ac:dyDescent="0.25">
      <c r="A3161" s="247" t="s">
        <v>646</v>
      </c>
      <c r="B3161" s="247" t="s">
        <v>265</v>
      </c>
      <c r="C3161" s="247" t="s">
        <v>1492</v>
      </c>
      <c r="D3161" s="247" t="s">
        <v>1356</v>
      </c>
      <c r="E3161" s="247" t="s">
        <v>926</v>
      </c>
      <c r="F3161" s="247" t="s">
        <v>2342</v>
      </c>
      <c r="G3161" s="247" t="s">
        <v>320</v>
      </c>
      <c r="H3161" s="247"/>
      <c r="I3161" s="247" t="s">
        <v>2343</v>
      </c>
      <c r="J3161" s="247">
        <v>64</v>
      </c>
      <c r="K3161" s="247">
        <v>64</v>
      </c>
      <c r="L3161" s="249" t="s">
        <v>939</v>
      </c>
      <c r="M3161" s="249" t="s">
        <v>929</v>
      </c>
      <c r="N3161" s="248">
        <v>1270.8</v>
      </c>
      <c r="O3161" s="248">
        <v>20891.060000000001</v>
      </c>
      <c r="P3161" s="247" t="s">
        <v>1523</v>
      </c>
      <c r="Q3161" s="247" t="s">
        <v>93</v>
      </c>
    </row>
    <row r="3162" spans="1:17" x14ac:dyDescent="0.25">
      <c r="A3162" s="247" t="s">
        <v>646</v>
      </c>
      <c r="B3162" s="247" t="s">
        <v>265</v>
      </c>
      <c r="C3162" s="247" t="s">
        <v>1492</v>
      </c>
      <c r="D3162" s="247" t="s">
        <v>1356</v>
      </c>
      <c r="E3162" s="247" t="s">
        <v>926</v>
      </c>
      <c r="F3162" s="247" t="s">
        <v>2342</v>
      </c>
      <c r="G3162" s="247" t="s">
        <v>320</v>
      </c>
      <c r="H3162" s="247"/>
      <c r="I3162" s="247" t="s">
        <v>2343</v>
      </c>
      <c r="J3162" s="247">
        <v>64</v>
      </c>
      <c r="K3162" s="247">
        <v>64</v>
      </c>
      <c r="L3162" s="249" t="s">
        <v>940</v>
      </c>
      <c r="M3162" s="249" t="s">
        <v>929</v>
      </c>
      <c r="N3162" s="248">
        <v>1460.15</v>
      </c>
      <c r="O3162" s="248">
        <v>22351.21</v>
      </c>
      <c r="P3162" s="247" t="s">
        <v>1523</v>
      </c>
      <c r="Q3162" s="247" t="s">
        <v>94</v>
      </c>
    </row>
    <row r="3163" spans="1:17" x14ac:dyDescent="0.25">
      <c r="A3163" s="247" t="s">
        <v>646</v>
      </c>
      <c r="B3163" s="247" t="s">
        <v>265</v>
      </c>
      <c r="C3163" s="247" t="s">
        <v>1492</v>
      </c>
      <c r="D3163" s="247" t="s">
        <v>1356</v>
      </c>
      <c r="E3163" s="247" t="s">
        <v>926</v>
      </c>
      <c r="F3163" s="247" t="s">
        <v>2342</v>
      </c>
      <c r="G3163" s="247" t="s">
        <v>320</v>
      </c>
      <c r="H3163" s="247"/>
      <c r="I3163" s="247" t="s">
        <v>2343</v>
      </c>
      <c r="J3163" s="247">
        <v>64</v>
      </c>
      <c r="K3163" s="247">
        <v>64</v>
      </c>
      <c r="L3163" s="249" t="s">
        <v>642</v>
      </c>
      <c r="M3163" s="249" t="s">
        <v>929</v>
      </c>
      <c r="N3163" s="248">
        <v>1655.05</v>
      </c>
      <c r="O3163" s="248">
        <v>24006.26</v>
      </c>
      <c r="P3163" s="247" t="s">
        <v>1523</v>
      </c>
      <c r="Q3163" s="247" t="s">
        <v>95</v>
      </c>
    </row>
    <row r="3164" spans="1:17" x14ac:dyDescent="0.25">
      <c r="A3164" s="247" t="s">
        <v>646</v>
      </c>
      <c r="B3164" s="247" t="s">
        <v>265</v>
      </c>
      <c r="C3164" s="247" t="s">
        <v>1492</v>
      </c>
      <c r="D3164" s="247" t="s">
        <v>1507</v>
      </c>
      <c r="E3164" s="247" t="s">
        <v>926</v>
      </c>
      <c r="F3164" s="247" t="s">
        <v>2344</v>
      </c>
      <c r="G3164" s="247" t="s">
        <v>1508</v>
      </c>
      <c r="H3164" s="247"/>
      <c r="I3164" s="247" t="s">
        <v>2345</v>
      </c>
      <c r="J3164" s="247">
        <v>58</v>
      </c>
      <c r="K3164" s="247">
        <v>58</v>
      </c>
      <c r="L3164" s="249" t="s">
        <v>646</v>
      </c>
      <c r="M3164" s="249" t="s">
        <v>933</v>
      </c>
      <c r="N3164" s="248">
        <v>-764.28</v>
      </c>
      <c r="O3164" s="248">
        <v>14864.83</v>
      </c>
      <c r="P3164" s="247" t="s">
        <v>1524</v>
      </c>
      <c r="Q3164" s="247" t="s">
        <v>84</v>
      </c>
    </row>
    <row r="3165" spans="1:17" x14ac:dyDescent="0.25">
      <c r="A3165" s="247" t="s">
        <v>646</v>
      </c>
      <c r="B3165" s="247" t="s">
        <v>265</v>
      </c>
      <c r="C3165" s="247" t="s">
        <v>1492</v>
      </c>
      <c r="D3165" s="247" t="s">
        <v>1507</v>
      </c>
      <c r="E3165" s="247" t="s">
        <v>926</v>
      </c>
      <c r="F3165" s="247" t="s">
        <v>2344</v>
      </c>
      <c r="G3165" s="247" t="s">
        <v>1508</v>
      </c>
      <c r="H3165" s="247"/>
      <c r="I3165" s="247" t="s">
        <v>2345</v>
      </c>
      <c r="J3165" s="247">
        <v>58</v>
      </c>
      <c r="K3165" s="247">
        <v>58</v>
      </c>
      <c r="L3165" s="249" t="s">
        <v>650</v>
      </c>
      <c r="M3165" s="249" t="s">
        <v>933</v>
      </c>
      <c r="N3165" s="248">
        <v>721.27</v>
      </c>
      <c r="O3165" s="248">
        <v>15586.1</v>
      </c>
      <c r="P3165" s="247" t="s">
        <v>1524</v>
      </c>
      <c r="Q3165" s="247" t="s">
        <v>85</v>
      </c>
    </row>
    <row r="3166" spans="1:17" x14ac:dyDescent="0.25">
      <c r="A3166" s="247" t="s">
        <v>646</v>
      </c>
      <c r="B3166" s="247" t="s">
        <v>265</v>
      </c>
      <c r="C3166" s="247" t="s">
        <v>1492</v>
      </c>
      <c r="D3166" s="247" t="s">
        <v>1507</v>
      </c>
      <c r="E3166" s="247" t="s">
        <v>926</v>
      </c>
      <c r="F3166" s="247" t="s">
        <v>2344</v>
      </c>
      <c r="G3166" s="247" t="s">
        <v>1508</v>
      </c>
      <c r="H3166" s="247"/>
      <c r="I3166" s="247" t="s">
        <v>2345</v>
      </c>
      <c r="J3166" s="247">
        <v>58</v>
      </c>
      <c r="K3166" s="247">
        <v>58</v>
      </c>
      <c r="L3166" s="249" t="s">
        <v>652</v>
      </c>
      <c r="M3166" s="249" t="s">
        <v>933</v>
      </c>
      <c r="N3166" s="248">
        <v>-1976.52</v>
      </c>
      <c r="O3166" s="248">
        <v>13609.58</v>
      </c>
      <c r="P3166" s="247" t="s">
        <v>1524</v>
      </c>
      <c r="Q3166" s="247" t="s">
        <v>86</v>
      </c>
    </row>
    <row r="3167" spans="1:17" x14ac:dyDescent="0.25">
      <c r="A3167" s="247" t="s">
        <v>646</v>
      </c>
      <c r="B3167" s="247" t="s">
        <v>265</v>
      </c>
      <c r="C3167" s="247" t="s">
        <v>1492</v>
      </c>
      <c r="D3167" s="247" t="s">
        <v>1507</v>
      </c>
      <c r="E3167" s="247" t="s">
        <v>926</v>
      </c>
      <c r="F3167" s="247" t="s">
        <v>2344</v>
      </c>
      <c r="G3167" s="247" t="s">
        <v>1508</v>
      </c>
      <c r="H3167" s="247"/>
      <c r="I3167" s="247" t="s">
        <v>2345</v>
      </c>
      <c r="J3167" s="247">
        <v>58</v>
      </c>
      <c r="K3167" s="247">
        <v>58</v>
      </c>
      <c r="L3167" s="249" t="s">
        <v>789</v>
      </c>
      <c r="M3167" s="249" t="s">
        <v>929</v>
      </c>
      <c r="N3167" s="248">
        <v>-2660.7</v>
      </c>
      <c r="O3167" s="248">
        <v>-2660.7</v>
      </c>
      <c r="P3167" s="247" t="s">
        <v>1524</v>
      </c>
      <c r="Q3167" s="247" t="s">
        <v>87</v>
      </c>
    </row>
    <row r="3168" spans="1:17" x14ac:dyDescent="0.25">
      <c r="A3168" s="247" t="s">
        <v>646</v>
      </c>
      <c r="B3168" s="247" t="s">
        <v>265</v>
      </c>
      <c r="C3168" s="247" t="s">
        <v>1492</v>
      </c>
      <c r="D3168" s="247" t="s">
        <v>1507</v>
      </c>
      <c r="E3168" s="247" t="s">
        <v>926</v>
      </c>
      <c r="F3168" s="247" t="s">
        <v>2344</v>
      </c>
      <c r="G3168" s="247" t="s">
        <v>1508</v>
      </c>
      <c r="H3168" s="247"/>
      <c r="I3168" s="247" t="s">
        <v>2345</v>
      </c>
      <c r="J3168" s="247">
        <v>58</v>
      </c>
      <c r="K3168" s="247">
        <v>58</v>
      </c>
      <c r="L3168" s="249" t="s">
        <v>791</v>
      </c>
      <c r="M3168" s="249" t="s">
        <v>929</v>
      </c>
      <c r="N3168" s="248">
        <v>1739.09</v>
      </c>
      <c r="O3168" s="248">
        <v>-921.61</v>
      </c>
      <c r="P3168" s="247" t="s">
        <v>1524</v>
      </c>
      <c r="Q3168" s="247" t="s">
        <v>88</v>
      </c>
    </row>
    <row r="3169" spans="1:17" x14ac:dyDescent="0.25">
      <c r="A3169" s="247" t="s">
        <v>646</v>
      </c>
      <c r="B3169" s="247" t="s">
        <v>265</v>
      </c>
      <c r="C3169" s="247" t="s">
        <v>1492</v>
      </c>
      <c r="D3169" s="247" t="s">
        <v>1507</v>
      </c>
      <c r="E3169" s="247" t="s">
        <v>926</v>
      </c>
      <c r="F3169" s="247" t="s">
        <v>2344</v>
      </c>
      <c r="G3169" s="247" t="s">
        <v>1508</v>
      </c>
      <c r="H3169" s="247"/>
      <c r="I3169" s="247" t="s">
        <v>2345</v>
      </c>
      <c r="J3169" s="247">
        <v>58</v>
      </c>
      <c r="K3169" s="247">
        <v>58</v>
      </c>
      <c r="L3169" s="249" t="s">
        <v>935</v>
      </c>
      <c r="M3169" s="249" t="s">
        <v>929</v>
      </c>
      <c r="N3169" s="248">
        <v>2079.13</v>
      </c>
      <c r="O3169" s="248">
        <v>1157.52</v>
      </c>
      <c r="P3169" s="247" t="s">
        <v>1524</v>
      </c>
      <c r="Q3169" s="247" t="s">
        <v>89</v>
      </c>
    </row>
    <row r="3170" spans="1:17" x14ac:dyDescent="0.25">
      <c r="A3170" s="247" t="s">
        <v>646</v>
      </c>
      <c r="B3170" s="247" t="s">
        <v>265</v>
      </c>
      <c r="C3170" s="247" t="s">
        <v>1492</v>
      </c>
      <c r="D3170" s="247" t="s">
        <v>1507</v>
      </c>
      <c r="E3170" s="247" t="s">
        <v>926</v>
      </c>
      <c r="F3170" s="247" t="s">
        <v>2344</v>
      </c>
      <c r="G3170" s="247" t="s">
        <v>1508</v>
      </c>
      <c r="H3170" s="247"/>
      <c r="I3170" s="247" t="s">
        <v>2345</v>
      </c>
      <c r="J3170" s="247">
        <v>58</v>
      </c>
      <c r="K3170" s="247">
        <v>58</v>
      </c>
      <c r="L3170" s="249" t="s">
        <v>936</v>
      </c>
      <c r="M3170" s="249" t="s">
        <v>929</v>
      </c>
      <c r="N3170" s="248">
        <v>-2508.66</v>
      </c>
      <c r="O3170" s="248">
        <v>-1351.14</v>
      </c>
      <c r="P3170" s="247" t="s">
        <v>1524</v>
      </c>
      <c r="Q3170" s="247" t="s">
        <v>90</v>
      </c>
    </row>
    <row r="3171" spans="1:17" x14ac:dyDescent="0.25">
      <c r="A3171" s="247" t="s">
        <v>646</v>
      </c>
      <c r="B3171" s="247" t="s">
        <v>265</v>
      </c>
      <c r="C3171" s="247" t="s">
        <v>1492</v>
      </c>
      <c r="D3171" s="247" t="s">
        <v>1507</v>
      </c>
      <c r="E3171" s="247" t="s">
        <v>926</v>
      </c>
      <c r="F3171" s="247" t="s">
        <v>2344</v>
      </c>
      <c r="G3171" s="247" t="s">
        <v>1508</v>
      </c>
      <c r="H3171" s="247"/>
      <c r="I3171" s="247" t="s">
        <v>2345</v>
      </c>
      <c r="J3171" s="247">
        <v>58</v>
      </c>
      <c r="K3171" s="247">
        <v>58</v>
      </c>
      <c r="L3171" s="249" t="s">
        <v>937</v>
      </c>
      <c r="M3171" s="249" t="s">
        <v>929</v>
      </c>
      <c r="N3171" s="248">
        <v>910.92</v>
      </c>
      <c r="O3171" s="248">
        <v>-440.22</v>
      </c>
      <c r="P3171" s="247" t="s">
        <v>1524</v>
      </c>
      <c r="Q3171" s="247" t="s">
        <v>91</v>
      </c>
    </row>
    <row r="3172" spans="1:17" x14ac:dyDescent="0.25">
      <c r="A3172" s="247" t="s">
        <v>646</v>
      </c>
      <c r="B3172" s="247" t="s">
        <v>265</v>
      </c>
      <c r="C3172" s="247" t="s">
        <v>1492</v>
      </c>
      <c r="D3172" s="247" t="s">
        <v>1507</v>
      </c>
      <c r="E3172" s="247" t="s">
        <v>926</v>
      </c>
      <c r="F3172" s="247" t="s">
        <v>2344</v>
      </c>
      <c r="G3172" s="247" t="s">
        <v>1508</v>
      </c>
      <c r="H3172" s="247"/>
      <c r="I3172" s="247" t="s">
        <v>2345</v>
      </c>
      <c r="J3172" s="247">
        <v>58</v>
      </c>
      <c r="K3172" s="247">
        <v>58</v>
      </c>
      <c r="L3172" s="249" t="s">
        <v>938</v>
      </c>
      <c r="M3172" s="249" t="s">
        <v>929</v>
      </c>
      <c r="N3172" s="248">
        <v>-418.78</v>
      </c>
      <c r="O3172" s="248">
        <v>-859</v>
      </c>
      <c r="P3172" s="247" t="s">
        <v>1524</v>
      </c>
      <c r="Q3172" s="247" t="s">
        <v>92</v>
      </c>
    </row>
    <row r="3173" spans="1:17" x14ac:dyDescent="0.25">
      <c r="A3173" s="247" t="s">
        <v>646</v>
      </c>
      <c r="B3173" s="247" t="s">
        <v>265</v>
      </c>
      <c r="C3173" s="247" t="s">
        <v>1492</v>
      </c>
      <c r="D3173" s="247" t="s">
        <v>1507</v>
      </c>
      <c r="E3173" s="247" t="s">
        <v>926</v>
      </c>
      <c r="F3173" s="247" t="s">
        <v>2344</v>
      </c>
      <c r="G3173" s="247" t="s">
        <v>1508</v>
      </c>
      <c r="H3173" s="247"/>
      <c r="I3173" s="247" t="s">
        <v>2345</v>
      </c>
      <c r="J3173" s="247">
        <v>58</v>
      </c>
      <c r="K3173" s="247">
        <v>58</v>
      </c>
      <c r="L3173" s="249" t="s">
        <v>939</v>
      </c>
      <c r="M3173" s="249" t="s">
        <v>929</v>
      </c>
      <c r="N3173" s="248">
        <v>6331.79</v>
      </c>
      <c r="O3173" s="248">
        <v>5472.79</v>
      </c>
      <c r="P3173" s="247" t="s">
        <v>1524</v>
      </c>
      <c r="Q3173" s="247" t="s">
        <v>93</v>
      </c>
    </row>
    <row r="3174" spans="1:17" x14ac:dyDescent="0.25">
      <c r="A3174" s="247" t="s">
        <v>646</v>
      </c>
      <c r="B3174" s="247" t="s">
        <v>265</v>
      </c>
      <c r="C3174" s="247" t="s">
        <v>1492</v>
      </c>
      <c r="D3174" s="247" t="s">
        <v>1507</v>
      </c>
      <c r="E3174" s="247" t="s">
        <v>926</v>
      </c>
      <c r="F3174" s="247" t="s">
        <v>2344</v>
      </c>
      <c r="G3174" s="247" t="s">
        <v>1508</v>
      </c>
      <c r="H3174" s="247"/>
      <c r="I3174" s="247" t="s">
        <v>2345</v>
      </c>
      <c r="J3174" s="247">
        <v>58</v>
      </c>
      <c r="K3174" s="247">
        <v>58</v>
      </c>
      <c r="L3174" s="249" t="s">
        <v>940</v>
      </c>
      <c r="M3174" s="249" t="s">
        <v>929</v>
      </c>
      <c r="N3174" s="248">
        <v>1053.92</v>
      </c>
      <c r="O3174" s="248">
        <v>6526.71</v>
      </c>
      <c r="P3174" s="247" t="s">
        <v>1524</v>
      </c>
      <c r="Q3174" s="247" t="s">
        <v>94</v>
      </c>
    </row>
    <row r="3175" spans="1:17" x14ac:dyDescent="0.25">
      <c r="A3175" s="247" t="s">
        <v>646</v>
      </c>
      <c r="B3175" s="247" t="s">
        <v>265</v>
      </c>
      <c r="C3175" s="247" t="s">
        <v>1492</v>
      </c>
      <c r="D3175" s="247" t="s">
        <v>1507</v>
      </c>
      <c r="E3175" s="247" t="s">
        <v>926</v>
      </c>
      <c r="F3175" s="247" t="s">
        <v>2344</v>
      </c>
      <c r="G3175" s="247" t="s">
        <v>1508</v>
      </c>
      <c r="H3175" s="247"/>
      <c r="I3175" s="247" t="s">
        <v>2345</v>
      </c>
      <c r="J3175" s="247">
        <v>58</v>
      </c>
      <c r="K3175" s="247">
        <v>58</v>
      </c>
      <c r="L3175" s="249" t="s">
        <v>642</v>
      </c>
      <c r="M3175" s="249" t="s">
        <v>929</v>
      </c>
      <c r="N3175" s="248">
        <v>-1092.53</v>
      </c>
      <c r="O3175" s="248">
        <v>5434.18</v>
      </c>
      <c r="P3175" s="247" t="s">
        <v>1524</v>
      </c>
      <c r="Q3175" s="247" t="s">
        <v>95</v>
      </c>
    </row>
    <row r="3176" spans="1:17" x14ac:dyDescent="0.25">
      <c r="A3176" s="247" t="s">
        <v>646</v>
      </c>
      <c r="B3176" s="247" t="s">
        <v>265</v>
      </c>
      <c r="C3176" s="247" t="s">
        <v>1492</v>
      </c>
      <c r="D3176" s="247" t="s">
        <v>823</v>
      </c>
      <c r="E3176" s="247" t="s">
        <v>755</v>
      </c>
      <c r="F3176" s="247" t="s">
        <v>2346</v>
      </c>
      <c r="G3176" s="247" t="s">
        <v>1525</v>
      </c>
      <c r="H3176" s="247" t="s">
        <v>402</v>
      </c>
      <c r="I3176" s="247" t="s">
        <v>2347</v>
      </c>
      <c r="J3176" s="247">
        <v>60</v>
      </c>
      <c r="K3176" s="247">
        <v>60</v>
      </c>
      <c r="L3176" s="249" t="s">
        <v>652</v>
      </c>
      <c r="M3176" s="249" t="s">
        <v>933</v>
      </c>
      <c r="N3176" s="248">
        <v>307.52999999999997</v>
      </c>
      <c r="O3176" s="248">
        <v>307.52999999999997</v>
      </c>
      <c r="P3176" s="247" t="s">
        <v>1526</v>
      </c>
      <c r="Q3176" s="247" t="s">
        <v>86</v>
      </c>
    </row>
    <row r="3177" spans="1:17" x14ac:dyDescent="0.25">
      <c r="A3177" s="247" t="s">
        <v>646</v>
      </c>
      <c r="B3177" s="247" t="s">
        <v>265</v>
      </c>
      <c r="C3177" s="247" t="s">
        <v>1492</v>
      </c>
      <c r="D3177" s="247" t="s">
        <v>823</v>
      </c>
      <c r="E3177" s="247" t="s">
        <v>755</v>
      </c>
      <c r="F3177" s="247" t="s">
        <v>2346</v>
      </c>
      <c r="G3177" s="247" t="s">
        <v>1525</v>
      </c>
      <c r="H3177" s="247" t="s">
        <v>402</v>
      </c>
      <c r="I3177" s="247" t="s">
        <v>2347</v>
      </c>
      <c r="J3177" s="247">
        <v>60</v>
      </c>
      <c r="K3177" s="247">
        <v>60</v>
      </c>
      <c r="L3177" s="249" t="s">
        <v>789</v>
      </c>
      <c r="M3177" s="249" t="s">
        <v>929</v>
      </c>
      <c r="N3177" s="248">
        <v>255.43</v>
      </c>
      <c r="O3177" s="248">
        <v>255.43</v>
      </c>
      <c r="P3177" s="247" t="s">
        <v>1526</v>
      </c>
      <c r="Q3177" s="247" t="s">
        <v>87</v>
      </c>
    </row>
    <row r="3178" spans="1:17" x14ac:dyDescent="0.25">
      <c r="A3178" s="247" t="s">
        <v>646</v>
      </c>
      <c r="B3178" s="247" t="s">
        <v>265</v>
      </c>
      <c r="C3178" s="247" t="s">
        <v>1492</v>
      </c>
      <c r="D3178" s="247" t="s">
        <v>823</v>
      </c>
      <c r="E3178" s="247" t="s">
        <v>755</v>
      </c>
      <c r="F3178" s="247" t="s">
        <v>2346</v>
      </c>
      <c r="G3178" s="247" t="s">
        <v>1525</v>
      </c>
      <c r="H3178" s="247" t="s">
        <v>402</v>
      </c>
      <c r="I3178" s="247" t="s">
        <v>2347</v>
      </c>
      <c r="J3178" s="247">
        <v>60</v>
      </c>
      <c r="K3178" s="247">
        <v>60</v>
      </c>
      <c r="L3178" s="249" t="s">
        <v>791</v>
      </c>
      <c r="M3178" s="249" t="s">
        <v>929</v>
      </c>
      <c r="N3178" s="248">
        <v>3474.57</v>
      </c>
      <c r="O3178" s="248">
        <v>3730</v>
      </c>
      <c r="P3178" s="247" t="s">
        <v>1526</v>
      </c>
      <c r="Q3178" s="247" t="s">
        <v>88</v>
      </c>
    </row>
    <row r="3179" spans="1:17" x14ac:dyDescent="0.25">
      <c r="A3179" s="247" t="s">
        <v>646</v>
      </c>
      <c r="B3179" s="247" t="s">
        <v>265</v>
      </c>
      <c r="C3179" s="247" t="s">
        <v>1492</v>
      </c>
      <c r="D3179" s="247" t="s">
        <v>823</v>
      </c>
      <c r="E3179" s="247" t="s">
        <v>755</v>
      </c>
      <c r="F3179" s="247" t="s">
        <v>2346</v>
      </c>
      <c r="G3179" s="247" t="s">
        <v>1525</v>
      </c>
      <c r="H3179" s="247" t="s">
        <v>402</v>
      </c>
      <c r="I3179" s="247" t="s">
        <v>2347</v>
      </c>
      <c r="J3179" s="247">
        <v>60</v>
      </c>
      <c r="K3179" s="247">
        <v>60</v>
      </c>
      <c r="L3179" s="249" t="s">
        <v>935</v>
      </c>
      <c r="M3179" s="249" t="s">
        <v>929</v>
      </c>
      <c r="N3179" s="248">
        <v>208.49</v>
      </c>
      <c r="O3179" s="248">
        <v>3938.49</v>
      </c>
      <c r="P3179" s="247" t="s">
        <v>1526</v>
      </c>
      <c r="Q3179" s="247" t="s">
        <v>89</v>
      </c>
    </row>
    <row r="3180" spans="1:17" x14ac:dyDescent="0.25">
      <c r="A3180" s="247" t="s">
        <v>646</v>
      </c>
      <c r="B3180" s="247" t="s">
        <v>265</v>
      </c>
      <c r="C3180" s="247" t="s">
        <v>1492</v>
      </c>
      <c r="D3180" s="247" t="s">
        <v>823</v>
      </c>
      <c r="E3180" s="247" t="s">
        <v>755</v>
      </c>
      <c r="F3180" s="247" t="s">
        <v>2346</v>
      </c>
      <c r="G3180" s="247" t="s">
        <v>1525</v>
      </c>
      <c r="H3180" s="247" t="s">
        <v>402</v>
      </c>
      <c r="I3180" s="247" t="s">
        <v>2347</v>
      </c>
      <c r="J3180" s="247">
        <v>60</v>
      </c>
      <c r="K3180" s="247">
        <v>60</v>
      </c>
      <c r="L3180" s="249" t="s">
        <v>936</v>
      </c>
      <c r="M3180" s="249" t="s">
        <v>929</v>
      </c>
      <c r="N3180" s="248">
        <v>306.58</v>
      </c>
      <c r="O3180" s="248">
        <v>4245.07</v>
      </c>
      <c r="P3180" s="247" t="s">
        <v>1526</v>
      </c>
      <c r="Q3180" s="247" t="s">
        <v>90</v>
      </c>
    </row>
    <row r="3181" spans="1:17" x14ac:dyDescent="0.25">
      <c r="A3181" s="247" t="s">
        <v>646</v>
      </c>
      <c r="B3181" s="247" t="s">
        <v>265</v>
      </c>
      <c r="C3181" s="247" t="s">
        <v>1492</v>
      </c>
      <c r="D3181" s="247" t="s">
        <v>823</v>
      </c>
      <c r="E3181" s="247" t="s">
        <v>755</v>
      </c>
      <c r="F3181" s="247" t="s">
        <v>2346</v>
      </c>
      <c r="G3181" s="247" t="s">
        <v>1525</v>
      </c>
      <c r="H3181" s="247" t="s">
        <v>402</v>
      </c>
      <c r="I3181" s="247" t="s">
        <v>2347</v>
      </c>
      <c r="J3181" s="247">
        <v>60</v>
      </c>
      <c r="K3181" s="247">
        <v>60</v>
      </c>
      <c r="L3181" s="249" t="s">
        <v>937</v>
      </c>
      <c r="M3181" s="249" t="s">
        <v>929</v>
      </c>
      <c r="N3181" s="248">
        <v>1309.1500000000001</v>
      </c>
      <c r="O3181" s="248">
        <v>5554.22</v>
      </c>
      <c r="P3181" s="247" t="s">
        <v>1526</v>
      </c>
      <c r="Q3181" s="247" t="s">
        <v>91</v>
      </c>
    </row>
    <row r="3182" spans="1:17" x14ac:dyDescent="0.25">
      <c r="A3182" s="247" t="s">
        <v>646</v>
      </c>
      <c r="B3182" s="247" t="s">
        <v>265</v>
      </c>
      <c r="C3182" s="247" t="s">
        <v>1492</v>
      </c>
      <c r="D3182" s="247" t="s">
        <v>823</v>
      </c>
      <c r="E3182" s="247" t="s">
        <v>755</v>
      </c>
      <c r="F3182" s="247" t="s">
        <v>2346</v>
      </c>
      <c r="G3182" s="247" t="s">
        <v>1525</v>
      </c>
      <c r="H3182" s="247" t="s">
        <v>402</v>
      </c>
      <c r="I3182" s="247" t="s">
        <v>2347</v>
      </c>
      <c r="J3182" s="247">
        <v>60</v>
      </c>
      <c r="K3182" s="247">
        <v>60</v>
      </c>
      <c r="L3182" s="249" t="s">
        <v>938</v>
      </c>
      <c r="M3182" s="249" t="s">
        <v>929</v>
      </c>
      <c r="N3182" s="248">
        <v>510.86</v>
      </c>
      <c r="O3182" s="248">
        <v>6065.08</v>
      </c>
      <c r="P3182" s="247" t="s">
        <v>1526</v>
      </c>
      <c r="Q3182" s="247" t="s">
        <v>92</v>
      </c>
    </row>
    <row r="3183" spans="1:17" x14ac:dyDescent="0.25">
      <c r="A3183" s="247" t="s">
        <v>646</v>
      </c>
      <c r="B3183" s="247" t="s">
        <v>265</v>
      </c>
      <c r="C3183" s="247" t="s">
        <v>1492</v>
      </c>
      <c r="D3183" s="247" t="s">
        <v>823</v>
      </c>
      <c r="E3183" s="247" t="s">
        <v>755</v>
      </c>
      <c r="F3183" s="247" t="s">
        <v>2346</v>
      </c>
      <c r="G3183" s="247" t="s">
        <v>1525</v>
      </c>
      <c r="H3183" s="247" t="s">
        <v>402</v>
      </c>
      <c r="I3183" s="247" t="s">
        <v>2347</v>
      </c>
      <c r="J3183" s="247">
        <v>60</v>
      </c>
      <c r="K3183" s="247">
        <v>60</v>
      </c>
      <c r="L3183" s="249" t="s">
        <v>939</v>
      </c>
      <c r="M3183" s="249" t="s">
        <v>929</v>
      </c>
      <c r="N3183" s="248">
        <v>0</v>
      </c>
      <c r="O3183" s="248">
        <v>6065.08</v>
      </c>
      <c r="P3183" s="247" t="s">
        <v>1526</v>
      </c>
      <c r="Q3183" s="247" t="s">
        <v>93</v>
      </c>
    </row>
    <row r="3184" spans="1:17" x14ac:dyDescent="0.25">
      <c r="A3184" s="247" t="s">
        <v>646</v>
      </c>
      <c r="B3184" s="247" t="s">
        <v>265</v>
      </c>
      <c r="C3184" s="247" t="s">
        <v>1492</v>
      </c>
      <c r="D3184" s="247" t="s">
        <v>823</v>
      </c>
      <c r="E3184" s="247" t="s">
        <v>755</v>
      </c>
      <c r="F3184" s="247" t="s">
        <v>2346</v>
      </c>
      <c r="G3184" s="247" t="s">
        <v>1525</v>
      </c>
      <c r="H3184" s="247" t="s">
        <v>402</v>
      </c>
      <c r="I3184" s="247" t="s">
        <v>2347</v>
      </c>
      <c r="J3184" s="247">
        <v>60</v>
      </c>
      <c r="K3184" s="247">
        <v>60</v>
      </c>
      <c r="L3184" s="249" t="s">
        <v>940</v>
      </c>
      <c r="M3184" s="249" t="s">
        <v>929</v>
      </c>
      <c r="N3184" s="248">
        <v>286.48</v>
      </c>
      <c r="O3184" s="248">
        <v>6351.56</v>
      </c>
      <c r="P3184" s="247" t="s">
        <v>1526</v>
      </c>
      <c r="Q3184" s="247" t="s">
        <v>94</v>
      </c>
    </row>
    <row r="3185" spans="1:17" x14ac:dyDescent="0.25">
      <c r="A3185" s="247" t="s">
        <v>646</v>
      </c>
      <c r="B3185" s="247" t="s">
        <v>265</v>
      </c>
      <c r="C3185" s="247" t="s">
        <v>1492</v>
      </c>
      <c r="D3185" s="247" t="s">
        <v>823</v>
      </c>
      <c r="E3185" s="247" t="s">
        <v>755</v>
      </c>
      <c r="F3185" s="247" t="s">
        <v>2346</v>
      </c>
      <c r="G3185" s="247" t="s">
        <v>1525</v>
      </c>
      <c r="H3185" s="247" t="s">
        <v>402</v>
      </c>
      <c r="I3185" s="247" t="s">
        <v>2347</v>
      </c>
      <c r="J3185" s="247">
        <v>60</v>
      </c>
      <c r="K3185" s="247">
        <v>60</v>
      </c>
      <c r="L3185" s="249" t="s">
        <v>642</v>
      </c>
      <c r="M3185" s="249" t="s">
        <v>929</v>
      </c>
      <c r="N3185" s="248">
        <v>1623.7</v>
      </c>
      <c r="O3185" s="248">
        <v>7975.26</v>
      </c>
      <c r="P3185" s="247" t="s">
        <v>1526</v>
      </c>
      <c r="Q3185" s="247" t="s">
        <v>95</v>
      </c>
    </row>
    <row r="3186" spans="1:17" x14ac:dyDescent="0.25">
      <c r="A3186" s="247" t="s">
        <v>646</v>
      </c>
      <c r="B3186" s="247" t="s">
        <v>265</v>
      </c>
      <c r="C3186" s="247" t="s">
        <v>1492</v>
      </c>
      <c r="D3186" s="247" t="s">
        <v>509</v>
      </c>
      <c r="E3186" s="247" t="s">
        <v>755</v>
      </c>
      <c r="F3186" s="247" t="s">
        <v>2348</v>
      </c>
      <c r="G3186" s="247" t="s">
        <v>1527</v>
      </c>
      <c r="H3186" s="247" t="s">
        <v>402</v>
      </c>
      <c r="I3186" s="247" t="s">
        <v>2349</v>
      </c>
      <c r="J3186" s="247">
        <v>61</v>
      </c>
      <c r="K3186" s="247">
        <v>61</v>
      </c>
      <c r="L3186" s="249" t="s">
        <v>938</v>
      </c>
      <c r="M3186" s="249" t="s">
        <v>929</v>
      </c>
      <c r="N3186" s="248">
        <v>242.34</v>
      </c>
      <c r="O3186" s="248">
        <v>242.34</v>
      </c>
      <c r="P3186" s="247" t="s">
        <v>1528</v>
      </c>
      <c r="Q3186" s="247" t="s">
        <v>92</v>
      </c>
    </row>
    <row r="3187" spans="1:17" x14ac:dyDescent="0.25">
      <c r="A3187" s="247" t="s">
        <v>646</v>
      </c>
      <c r="B3187" s="247" t="s">
        <v>265</v>
      </c>
      <c r="C3187" s="247" t="s">
        <v>1492</v>
      </c>
      <c r="D3187" s="247" t="s">
        <v>509</v>
      </c>
      <c r="E3187" s="247" t="s">
        <v>755</v>
      </c>
      <c r="F3187" s="247" t="s">
        <v>2348</v>
      </c>
      <c r="G3187" s="247" t="s">
        <v>1527</v>
      </c>
      <c r="H3187" s="247" t="s">
        <v>402</v>
      </c>
      <c r="I3187" s="247" t="s">
        <v>2349</v>
      </c>
      <c r="J3187" s="247">
        <v>61</v>
      </c>
      <c r="K3187" s="247">
        <v>61</v>
      </c>
      <c r="L3187" s="249" t="s">
        <v>939</v>
      </c>
      <c r="M3187" s="249" t="s">
        <v>929</v>
      </c>
      <c r="N3187" s="248">
        <v>0</v>
      </c>
      <c r="O3187" s="248">
        <v>242.34</v>
      </c>
      <c r="P3187" s="247" t="s">
        <v>1528</v>
      </c>
      <c r="Q3187" s="247" t="s">
        <v>93</v>
      </c>
    </row>
    <row r="3188" spans="1:17" x14ac:dyDescent="0.25">
      <c r="A3188" s="247" t="s">
        <v>646</v>
      </c>
      <c r="B3188" s="247" t="s">
        <v>265</v>
      </c>
      <c r="C3188" s="247" t="s">
        <v>1492</v>
      </c>
      <c r="D3188" s="247" t="s">
        <v>509</v>
      </c>
      <c r="E3188" s="247" t="s">
        <v>755</v>
      </c>
      <c r="F3188" s="247" t="s">
        <v>2348</v>
      </c>
      <c r="G3188" s="247" t="s">
        <v>1527</v>
      </c>
      <c r="H3188" s="247" t="s">
        <v>402</v>
      </c>
      <c r="I3188" s="247" t="s">
        <v>2349</v>
      </c>
      <c r="J3188" s="247">
        <v>61</v>
      </c>
      <c r="K3188" s="247">
        <v>61</v>
      </c>
      <c r="L3188" s="249" t="s">
        <v>940</v>
      </c>
      <c r="M3188" s="249" t="s">
        <v>929</v>
      </c>
      <c r="N3188" s="248">
        <v>0</v>
      </c>
      <c r="O3188" s="248">
        <v>242.34</v>
      </c>
      <c r="P3188" s="247" t="s">
        <v>1528</v>
      </c>
      <c r="Q3188" s="247" t="s">
        <v>94</v>
      </c>
    </row>
    <row r="3189" spans="1:17" x14ac:dyDescent="0.25">
      <c r="A3189" s="247" t="s">
        <v>646</v>
      </c>
      <c r="B3189" s="247" t="s">
        <v>265</v>
      </c>
      <c r="C3189" s="247" t="s">
        <v>1492</v>
      </c>
      <c r="D3189" s="247" t="s">
        <v>509</v>
      </c>
      <c r="E3189" s="247" t="s">
        <v>755</v>
      </c>
      <c r="F3189" s="247" t="s">
        <v>2348</v>
      </c>
      <c r="G3189" s="247" t="s">
        <v>1527</v>
      </c>
      <c r="H3189" s="247" t="s">
        <v>402</v>
      </c>
      <c r="I3189" s="247" t="s">
        <v>2349</v>
      </c>
      <c r="J3189" s="247">
        <v>61</v>
      </c>
      <c r="K3189" s="247">
        <v>61</v>
      </c>
      <c r="L3189" s="249" t="s">
        <v>642</v>
      </c>
      <c r="M3189" s="249" t="s">
        <v>929</v>
      </c>
      <c r="N3189" s="248">
        <v>0</v>
      </c>
      <c r="O3189" s="248">
        <v>242.34</v>
      </c>
      <c r="P3189" s="247" t="s">
        <v>1528</v>
      </c>
      <c r="Q3189" s="247" t="s">
        <v>95</v>
      </c>
    </row>
    <row r="3190" spans="1:17" x14ac:dyDescent="0.25">
      <c r="A3190" s="247" t="s">
        <v>646</v>
      </c>
      <c r="B3190" s="247" t="s">
        <v>265</v>
      </c>
      <c r="C3190" s="247" t="s">
        <v>1492</v>
      </c>
      <c r="D3190" s="247" t="s">
        <v>1529</v>
      </c>
      <c r="E3190" s="247" t="s">
        <v>926</v>
      </c>
      <c r="F3190" s="247" t="s">
        <v>2350</v>
      </c>
      <c r="G3190" s="247" t="s">
        <v>1530</v>
      </c>
      <c r="H3190" s="247"/>
      <c r="I3190" s="247" t="s">
        <v>2351</v>
      </c>
      <c r="J3190" s="247">
        <v>65</v>
      </c>
      <c r="K3190" s="247">
        <v>65</v>
      </c>
      <c r="L3190" s="249" t="s">
        <v>646</v>
      </c>
      <c r="M3190" s="249" t="s">
        <v>933</v>
      </c>
      <c r="N3190" s="248">
        <v>1844.41</v>
      </c>
      <c r="O3190" s="248">
        <v>7483.11</v>
      </c>
      <c r="P3190" s="247" t="s">
        <v>1531</v>
      </c>
      <c r="Q3190" s="247" t="s">
        <v>84</v>
      </c>
    </row>
    <row r="3191" spans="1:17" x14ac:dyDescent="0.25">
      <c r="A3191" s="247" t="s">
        <v>646</v>
      </c>
      <c r="B3191" s="247" t="s">
        <v>265</v>
      </c>
      <c r="C3191" s="247" t="s">
        <v>1492</v>
      </c>
      <c r="D3191" s="247" t="s">
        <v>1529</v>
      </c>
      <c r="E3191" s="247" t="s">
        <v>926</v>
      </c>
      <c r="F3191" s="247" t="s">
        <v>2350</v>
      </c>
      <c r="G3191" s="247" t="s">
        <v>1530</v>
      </c>
      <c r="H3191" s="247"/>
      <c r="I3191" s="247" t="s">
        <v>2351</v>
      </c>
      <c r="J3191" s="247">
        <v>65</v>
      </c>
      <c r="K3191" s="247">
        <v>65</v>
      </c>
      <c r="L3191" s="249" t="s">
        <v>650</v>
      </c>
      <c r="M3191" s="249" t="s">
        <v>933</v>
      </c>
      <c r="N3191" s="248">
        <v>0</v>
      </c>
      <c r="O3191" s="248">
        <v>7483.11</v>
      </c>
      <c r="P3191" s="247" t="s">
        <v>1531</v>
      </c>
      <c r="Q3191" s="247" t="s">
        <v>85</v>
      </c>
    </row>
    <row r="3192" spans="1:17" x14ac:dyDescent="0.25">
      <c r="A3192" s="247" t="s">
        <v>646</v>
      </c>
      <c r="B3192" s="247" t="s">
        <v>265</v>
      </c>
      <c r="C3192" s="247" t="s">
        <v>1492</v>
      </c>
      <c r="D3192" s="247" t="s">
        <v>1529</v>
      </c>
      <c r="E3192" s="247" t="s">
        <v>926</v>
      </c>
      <c r="F3192" s="247" t="s">
        <v>2350</v>
      </c>
      <c r="G3192" s="247" t="s">
        <v>1530</v>
      </c>
      <c r="H3192" s="247"/>
      <c r="I3192" s="247" t="s">
        <v>2351</v>
      </c>
      <c r="J3192" s="247">
        <v>65</v>
      </c>
      <c r="K3192" s="247">
        <v>65</v>
      </c>
      <c r="L3192" s="249" t="s">
        <v>652</v>
      </c>
      <c r="M3192" s="249" t="s">
        <v>933</v>
      </c>
      <c r="N3192" s="248">
        <v>1844.41</v>
      </c>
      <c r="O3192" s="248">
        <v>9327.52</v>
      </c>
      <c r="P3192" s="247" t="s">
        <v>1531</v>
      </c>
      <c r="Q3192" s="247" t="s">
        <v>86</v>
      </c>
    </row>
    <row r="3193" spans="1:17" x14ac:dyDescent="0.25">
      <c r="A3193" s="247" t="s">
        <v>646</v>
      </c>
      <c r="B3193" s="247" t="s">
        <v>265</v>
      </c>
      <c r="C3193" s="247" t="s">
        <v>1492</v>
      </c>
      <c r="D3193" s="247" t="s">
        <v>1529</v>
      </c>
      <c r="E3193" s="247" t="s">
        <v>926</v>
      </c>
      <c r="F3193" s="247" t="s">
        <v>2350</v>
      </c>
      <c r="G3193" s="247" t="s">
        <v>1530</v>
      </c>
      <c r="H3193" s="247"/>
      <c r="I3193" s="247" t="s">
        <v>2351</v>
      </c>
      <c r="J3193" s="247">
        <v>65</v>
      </c>
      <c r="K3193" s="247">
        <v>65</v>
      </c>
      <c r="L3193" s="249" t="s">
        <v>935</v>
      </c>
      <c r="M3193" s="249" t="s">
        <v>929</v>
      </c>
      <c r="N3193" s="248">
        <v>1844.41</v>
      </c>
      <c r="O3193" s="248">
        <v>1844.41</v>
      </c>
      <c r="P3193" s="247" t="s">
        <v>1531</v>
      </c>
      <c r="Q3193" s="247" t="s">
        <v>89</v>
      </c>
    </row>
    <row r="3194" spans="1:17" x14ac:dyDescent="0.25">
      <c r="A3194" s="247" t="s">
        <v>646</v>
      </c>
      <c r="B3194" s="247" t="s">
        <v>265</v>
      </c>
      <c r="C3194" s="247" t="s">
        <v>1492</v>
      </c>
      <c r="D3194" s="247" t="s">
        <v>1529</v>
      </c>
      <c r="E3194" s="247" t="s">
        <v>926</v>
      </c>
      <c r="F3194" s="247" t="s">
        <v>2350</v>
      </c>
      <c r="G3194" s="247" t="s">
        <v>1530</v>
      </c>
      <c r="H3194" s="247"/>
      <c r="I3194" s="247" t="s">
        <v>2351</v>
      </c>
      <c r="J3194" s="247">
        <v>65</v>
      </c>
      <c r="K3194" s="247">
        <v>65</v>
      </c>
      <c r="L3194" s="249" t="s">
        <v>936</v>
      </c>
      <c r="M3194" s="249" t="s">
        <v>929</v>
      </c>
      <c r="N3194" s="248">
        <v>0</v>
      </c>
      <c r="O3194" s="248">
        <v>1844.41</v>
      </c>
      <c r="P3194" s="247" t="s">
        <v>1531</v>
      </c>
      <c r="Q3194" s="247" t="s">
        <v>90</v>
      </c>
    </row>
    <row r="3195" spans="1:17" x14ac:dyDescent="0.25">
      <c r="A3195" s="247" t="s">
        <v>646</v>
      </c>
      <c r="B3195" s="247" t="s">
        <v>265</v>
      </c>
      <c r="C3195" s="247" t="s">
        <v>1492</v>
      </c>
      <c r="D3195" s="247" t="s">
        <v>1529</v>
      </c>
      <c r="E3195" s="247" t="s">
        <v>926</v>
      </c>
      <c r="F3195" s="247" t="s">
        <v>2350</v>
      </c>
      <c r="G3195" s="247" t="s">
        <v>1530</v>
      </c>
      <c r="H3195" s="247"/>
      <c r="I3195" s="247" t="s">
        <v>2351</v>
      </c>
      <c r="J3195" s="247">
        <v>65</v>
      </c>
      <c r="K3195" s="247">
        <v>65</v>
      </c>
      <c r="L3195" s="249" t="s">
        <v>937</v>
      </c>
      <c r="M3195" s="249" t="s">
        <v>929</v>
      </c>
      <c r="N3195" s="248">
        <v>0</v>
      </c>
      <c r="O3195" s="248">
        <v>1844.41</v>
      </c>
      <c r="P3195" s="247" t="s">
        <v>1531</v>
      </c>
      <c r="Q3195" s="247" t="s">
        <v>91</v>
      </c>
    </row>
    <row r="3196" spans="1:17" x14ac:dyDescent="0.25">
      <c r="A3196" s="247" t="s">
        <v>646</v>
      </c>
      <c r="B3196" s="247" t="s">
        <v>265</v>
      </c>
      <c r="C3196" s="247" t="s">
        <v>1492</v>
      </c>
      <c r="D3196" s="247" t="s">
        <v>1529</v>
      </c>
      <c r="E3196" s="247" t="s">
        <v>926</v>
      </c>
      <c r="F3196" s="247" t="s">
        <v>2350</v>
      </c>
      <c r="G3196" s="247" t="s">
        <v>1530</v>
      </c>
      <c r="H3196" s="247"/>
      <c r="I3196" s="247" t="s">
        <v>2351</v>
      </c>
      <c r="J3196" s="247">
        <v>65</v>
      </c>
      <c r="K3196" s="247">
        <v>65</v>
      </c>
      <c r="L3196" s="249" t="s">
        <v>938</v>
      </c>
      <c r="M3196" s="249" t="s">
        <v>929</v>
      </c>
      <c r="N3196" s="248">
        <v>0</v>
      </c>
      <c r="O3196" s="248">
        <v>1844.41</v>
      </c>
      <c r="P3196" s="247" t="s">
        <v>1531</v>
      </c>
      <c r="Q3196" s="247" t="s">
        <v>92</v>
      </c>
    </row>
    <row r="3197" spans="1:17" x14ac:dyDescent="0.25">
      <c r="A3197" s="247" t="s">
        <v>646</v>
      </c>
      <c r="B3197" s="247" t="s">
        <v>265</v>
      </c>
      <c r="C3197" s="247" t="s">
        <v>1492</v>
      </c>
      <c r="D3197" s="247" t="s">
        <v>1529</v>
      </c>
      <c r="E3197" s="247" t="s">
        <v>926</v>
      </c>
      <c r="F3197" s="247" t="s">
        <v>2350</v>
      </c>
      <c r="G3197" s="247" t="s">
        <v>1530</v>
      </c>
      <c r="H3197" s="247"/>
      <c r="I3197" s="247" t="s">
        <v>2351</v>
      </c>
      <c r="J3197" s="247">
        <v>65</v>
      </c>
      <c r="K3197" s="247">
        <v>65</v>
      </c>
      <c r="L3197" s="249" t="s">
        <v>939</v>
      </c>
      <c r="M3197" s="249" t="s">
        <v>929</v>
      </c>
      <c r="N3197" s="248">
        <v>0</v>
      </c>
      <c r="O3197" s="248">
        <v>1844.41</v>
      </c>
      <c r="P3197" s="247" t="s">
        <v>1531</v>
      </c>
      <c r="Q3197" s="247" t="s">
        <v>93</v>
      </c>
    </row>
    <row r="3198" spans="1:17" x14ac:dyDescent="0.25">
      <c r="A3198" s="247" t="s">
        <v>646</v>
      </c>
      <c r="B3198" s="247" t="s">
        <v>265</v>
      </c>
      <c r="C3198" s="247" t="s">
        <v>1492</v>
      </c>
      <c r="D3198" s="247" t="s">
        <v>1529</v>
      </c>
      <c r="E3198" s="247" t="s">
        <v>926</v>
      </c>
      <c r="F3198" s="247" t="s">
        <v>2350</v>
      </c>
      <c r="G3198" s="247" t="s">
        <v>1530</v>
      </c>
      <c r="H3198" s="247"/>
      <c r="I3198" s="247" t="s">
        <v>2351</v>
      </c>
      <c r="J3198" s="247">
        <v>65</v>
      </c>
      <c r="K3198" s="247">
        <v>65</v>
      </c>
      <c r="L3198" s="249" t="s">
        <v>940</v>
      </c>
      <c r="M3198" s="249" t="s">
        <v>929</v>
      </c>
      <c r="N3198" s="248">
        <v>0</v>
      </c>
      <c r="O3198" s="248">
        <v>1844.41</v>
      </c>
      <c r="P3198" s="247" t="s">
        <v>1531</v>
      </c>
      <c r="Q3198" s="247" t="s">
        <v>94</v>
      </c>
    </row>
    <row r="3199" spans="1:17" x14ac:dyDescent="0.25">
      <c r="A3199" s="247" t="s">
        <v>646</v>
      </c>
      <c r="B3199" s="247" t="s">
        <v>265</v>
      </c>
      <c r="C3199" s="247" t="s">
        <v>1492</v>
      </c>
      <c r="D3199" s="247" t="s">
        <v>1529</v>
      </c>
      <c r="E3199" s="247" t="s">
        <v>926</v>
      </c>
      <c r="F3199" s="247" t="s">
        <v>2350</v>
      </c>
      <c r="G3199" s="247" t="s">
        <v>1530</v>
      </c>
      <c r="H3199" s="247"/>
      <c r="I3199" s="247" t="s">
        <v>2351</v>
      </c>
      <c r="J3199" s="247">
        <v>65</v>
      </c>
      <c r="K3199" s="247">
        <v>65</v>
      </c>
      <c r="L3199" s="249" t="s">
        <v>642</v>
      </c>
      <c r="M3199" s="249" t="s">
        <v>929</v>
      </c>
      <c r="N3199" s="248">
        <v>3688.82</v>
      </c>
      <c r="O3199" s="248">
        <v>5533.23</v>
      </c>
      <c r="P3199" s="247" t="s">
        <v>1531</v>
      </c>
      <c r="Q3199" s="247" t="s">
        <v>95</v>
      </c>
    </row>
    <row r="3200" spans="1:17" x14ac:dyDescent="0.25">
      <c r="A3200" s="247" t="s">
        <v>646</v>
      </c>
      <c r="B3200" s="247" t="s">
        <v>265</v>
      </c>
      <c r="C3200" s="247" t="s">
        <v>1492</v>
      </c>
      <c r="D3200" s="247" t="s">
        <v>1507</v>
      </c>
      <c r="E3200" s="247" t="s">
        <v>755</v>
      </c>
      <c r="F3200" s="247" t="s">
        <v>2352</v>
      </c>
      <c r="G3200" s="247" t="s">
        <v>1508</v>
      </c>
      <c r="H3200" s="247" t="s">
        <v>402</v>
      </c>
      <c r="I3200" s="247" t="s">
        <v>2353</v>
      </c>
      <c r="J3200" s="247">
        <v>58</v>
      </c>
      <c r="K3200" s="247">
        <v>58</v>
      </c>
      <c r="L3200" s="249" t="s">
        <v>646</v>
      </c>
      <c r="M3200" s="249" t="s">
        <v>933</v>
      </c>
      <c r="N3200" s="248">
        <v>228.06</v>
      </c>
      <c r="O3200" s="248">
        <v>228.06</v>
      </c>
      <c r="P3200" s="247" t="s">
        <v>1532</v>
      </c>
      <c r="Q3200" s="247" t="s">
        <v>84</v>
      </c>
    </row>
    <row r="3201" spans="1:17" x14ac:dyDescent="0.25">
      <c r="A3201" s="247" t="s">
        <v>646</v>
      </c>
      <c r="B3201" s="247" t="s">
        <v>265</v>
      </c>
      <c r="C3201" s="247" t="s">
        <v>1492</v>
      </c>
      <c r="D3201" s="247" t="s">
        <v>1507</v>
      </c>
      <c r="E3201" s="247" t="s">
        <v>755</v>
      </c>
      <c r="F3201" s="247" t="s">
        <v>2352</v>
      </c>
      <c r="G3201" s="247" t="s">
        <v>1508</v>
      </c>
      <c r="H3201" s="247" t="s">
        <v>402</v>
      </c>
      <c r="I3201" s="247" t="s">
        <v>2353</v>
      </c>
      <c r="J3201" s="247">
        <v>58</v>
      </c>
      <c r="K3201" s="247">
        <v>58</v>
      </c>
      <c r="L3201" s="249" t="s">
        <v>650</v>
      </c>
      <c r="M3201" s="249" t="s">
        <v>933</v>
      </c>
      <c r="N3201" s="248">
        <v>76.02</v>
      </c>
      <c r="O3201" s="248">
        <v>304.08</v>
      </c>
      <c r="P3201" s="247" t="s">
        <v>1532</v>
      </c>
      <c r="Q3201" s="247" t="s">
        <v>85</v>
      </c>
    </row>
    <row r="3202" spans="1:17" x14ac:dyDescent="0.25">
      <c r="A3202" s="247" t="s">
        <v>646</v>
      </c>
      <c r="B3202" s="247" t="s">
        <v>265</v>
      </c>
      <c r="C3202" s="247" t="s">
        <v>1492</v>
      </c>
      <c r="D3202" s="247" t="s">
        <v>1507</v>
      </c>
      <c r="E3202" s="247" t="s">
        <v>755</v>
      </c>
      <c r="F3202" s="247" t="s">
        <v>2352</v>
      </c>
      <c r="G3202" s="247" t="s">
        <v>1508</v>
      </c>
      <c r="H3202" s="247" t="s">
        <v>402</v>
      </c>
      <c r="I3202" s="247" t="s">
        <v>2353</v>
      </c>
      <c r="J3202" s="247">
        <v>58</v>
      </c>
      <c r="K3202" s="247">
        <v>58</v>
      </c>
      <c r="L3202" s="249" t="s">
        <v>652</v>
      </c>
      <c r="M3202" s="249" t="s">
        <v>933</v>
      </c>
      <c r="N3202" s="248">
        <v>152.04</v>
      </c>
      <c r="O3202" s="248">
        <v>456.12</v>
      </c>
      <c r="P3202" s="247" t="s">
        <v>1532</v>
      </c>
      <c r="Q3202" s="247" t="s">
        <v>86</v>
      </c>
    </row>
    <row r="3203" spans="1:17" x14ac:dyDescent="0.25">
      <c r="A3203" s="247" t="s">
        <v>646</v>
      </c>
      <c r="B3203" s="247" t="s">
        <v>265</v>
      </c>
      <c r="C3203" s="247" t="s">
        <v>1492</v>
      </c>
      <c r="D3203" s="247" t="s">
        <v>1507</v>
      </c>
      <c r="E3203" s="247" t="s">
        <v>755</v>
      </c>
      <c r="F3203" s="247" t="s">
        <v>2352</v>
      </c>
      <c r="G3203" s="247" t="s">
        <v>1508</v>
      </c>
      <c r="H3203" s="247" t="s">
        <v>402</v>
      </c>
      <c r="I3203" s="247" t="s">
        <v>2353</v>
      </c>
      <c r="J3203" s="247">
        <v>58</v>
      </c>
      <c r="K3203" s="247">
        <v>58</v>
      </c>
      <c r="L3203" s="249" t="s">
        <v>789</v>
      </c>
      <c r="M3203" s="249" t="s">
        <v>929</v>
      </c>
      <c r="N3203" s="248">
        <v>152.04</v>
      </c>
      <c r="O3203" s="248">
        <v>152.04</v>
      </c>
      <c r="P3203" s="247" t="s">
        <v>1532</v>
      </c>
      <c r="Q3203" s="247" t="s">
        <v>87</v>
      </c>
    </row>
    <row r="3204" spans="1:17" x14ac:dyDescent="0.25">
      <c r="A3204" s="247" t="s">
        <v>646</v>
      </c>
      <c r="B3204" s="247" t="s">
        <v>265</v>
      </c>
      <c r="C3204" s="247" t="s">
        <v>1492</v>
      </c>
      <c r="D3204" s="247" t="s">
        <v>1507</v>
      </c>
      <c r="E3204" s="247" t="s">
        <v>755</v>
      </c>
      <c r="F3204" s="247" t="s">
        <v>2352</v>
      </c>
      <c r="G3204" s="247" t="s">
        <v>1508</v>
      </c>
      <c r="H3204" s="247" t="s">
        <v>402</v>
      </c>
      <c r="I3204" s="247" t="s">
        <v>2353</v>
      </c>
      <c r="J3204" s="247">
        <v>58</v>
      </c>
      <c r="K3204" s="247">
        <v>58</v>
      </c>
      <c r="L3204" s="249" t="s">
        <v>791</v>
      </c>
      <c r="M3204" s="249" t="s">
        <v>929</v>
      </c>
      <c r="N3204" s="248">
        <v>76.02</v>
      </c>
      <c r="O3204" s="248">
        <v>228.06</v>
      </c>
      <c r="P3204" s="247" t="s">
        <v>1532</v>
      </c>
      <c r="Q3204" s="247" t="s">
        <v>88</v>
      </c>
    </row>
    <row r="3205" spans="1:17" x14ac:dyDescent="0.25">
      <c r="A3205" s="247" t="s">
        <v>646</v>
      </c>
      <c r="B3205" s="247" t="s">
        <v>265</v>
      </c>
      <c r="C3205" s="247" t="s">
        <v>1492</v>
      </c>
      <c r="D3205" s="247" t="s">
        <v>1507</v>
      </c>
      <c r="E3205" s="247" t="s">
        <v>755</v>
      </c>
      <c r="F3205" s="247" t="s">
        <v>2352</v>
      </c>
      <c r="G3205" s="247" t="s">
        <v>1508</v>
      </c>
      <c r="H3205" s="247" t="s">
        <v>402</v>
      </c>
      <c r="I3205" s="247" t="s">
        <v>2353</v>
      </c>
      <c r="J3205" s="247">
        <v>58</v>
      </c>
      <c r="K3205" s="247">
        <v>58</v>
      </c>
      <c r="L3205" s="249" t="s">
        <v>935</v>
      </c>
      <c r="M3205" s="249" t="s">
        <v>929</v>
      </c>
      <c r="N3205" s="248">
        <v>76.02</v>
      </c>
      <c r="O3205" s="248">
        <v>304.08</v>
      </c>
      <c r="P3205" s="247" t="s">
        <v>1532</v>
      </c>
      <c r="Q3205" s="247" t="s">
        <v>89</v>
      </c>
    </row>
    <row r="3206" spans="1:17" x14ac:dyDescent="0.25">
      <c r="A3206" s="247" t="s">
        <v>646</v>
      </c>
      <c r="B3206" s="247" t="s">
        <v>265</v>
      </c>
      <c r="C3206" s="247" t="s">
        <v>1492</v>
      </c>
      <c r="D3206" s="247" t="s">
        <v>1507</v>
      </c>
      <c r="E3206" s="247" t="s">
        <v>755</v>
      </c>
      <c r="F3206" s="247" t="s">
        <v>2352</v>
      </c>
      <c r="G3206" s="247" t="s">
        <v>1508</v>
      </c>
      <c r="H3206" s="247" t="s">
        <v>402</v>
      </c>
      <c r="I3206" s="247" t="s">
        <v>2353</v>
      </c>
      <c r="J3206" s="247">
        <v>58</v>
      </c>
      <c r="K3206" s="247">
        <v>58</v>
      </c>
      <c r="L3206" s="249" t="s">
        <v>936</v>
      </c>
      <c r="M3206" s="249" t="s">
        <v>929</v>
      </c>
      <c r="N3206" s="248">
        <v>114.03</v>
      </c>
      <c r="O3206" s="248">
        <v>418.11</v>
      </c>
      <c r="P3206" s="247" t="s">
        <v>1532</v>
      </c>
      <c r="Q3206" s="247" t="s">
        <v>90</v>
      </c>
    </row>
    <row r="3207" spans="1:17" x14ac:dyDescent="0.25">
      <c r="A3207" s="247" t="s">
        <v>646</v>
      </c>
      <c r="B3207" s="247" t="s">
        <v>265</v>
      </c>
      <c r="C3207" s="247" t="s">
        <v>1492</v>
      </c>
      <c r="D3207" s="247" t="s">
        <v>1507</v>
      </c>
      <c r="E3207" s="247" t="s">
        <v>755</v>
      </c>
      <c r="F3207" s="247" t="s">
        <v>2352</v>
      </c>
      <c r="G3207" s="247" t="s">
        <v>1508</v>
      </c>
      <c r="H3207" s="247" t="s">
        <v>402</v>
      </c>
      <c r="I3207" s="247" t="s">
        <v>2353</v>
      </c>
      <c r="J3207" s="247">
        <v>58</v>
      </c>
      <c r="K3207" s="247">
        <v>58</v>
      </c>
      <c r="L3207" s="249" t="s">
        <v>937</v>
      </c>
      <c r="M3207" s="249" t="s">
        <v>929</v>
      </c>
      <c r="N3207" s="248">
        <v>76.02</v>
      </c>
      <c r="O3207" s="248">
        <v>494.13</v>
      </c>
      <c r="P3207" s="247" t="s">
        <v>1532</v>
      </c>
      <c r="Q3207" s="247" t="s">
        <v>91</v>
      </c>
    </row>
    <row r="3208" spans="1:17" x14ac:dyDescent="0.25">
      <c r="A3208" s="247" t="s">
        <v>646</v>
      </c>
      <c r="B3208" s="247" t="s">
        <v>265</v>
      </c>
      <c r="C3208" s="247" t="s">
        <v>1492</v>
      </c>
      <c r="D3208" s="247" t="s">
        <v>1507</v>
      </c>
      <c r="E3208" s="247" t="s">
        <v>755</v>
      </c>
      <c r="F3208" s="247" t="s">
        <v>2352</v>
      </c>
      <c r="G3208" s="247" t="s">
        <v>1508</v>
      </c>
      <c r="H3208" s="247" t="s">
        <v>402</v>
      </c>
      <c r="I3208" s="247" t="s">
        <v>2353</v>
      </c>
      <c r="J3208" s="247">
        <v>58</v>
      </c>
      <c r="K3208" s="247">
        <v>58</v>
      </c>
      <c r="L3208" s="249" t="s">
        <v>938</v>
      </c>
      <c r="M3208" s="249" t="s">
        <v>929</v>
      </c>
      <c r="N3208" s="248">
        <v>228.06</v>
      </c>
      <c r="O3208" s="248">
        <v>722.19</v>
      </c>
      <c r="P3208" s="247" t="s">
        <v>1532</v>
      </c>
      <c r="Q3208" s="247" t="s">
        <v>92</v>
      </c>
    </row>
    <row r="3209" spans="1:17" x14ac:dyDescent="0.25">
      <c r="A3209" s="247" t="s">
        <v>646</v>
      </c>
      <c r="B3209" s="247" t="s">
        <v>265</v>
      </c>
      <c r="C3209" s="247" t="s">
        <v>1492</v>
      </c>
      <c r="D3209" s="247" t="s">
        <v>1507</v>
      </c>
      <c r="E3209" s="247" t="s">
        <v>755</v>
      </c>
      <c r="F3209" s="247" t="s">
        <v>2352</v>
      </c>
      <c r="G3209" s="247" t="s">
        <v>1508</v>
      </c>
      <c r="H3209" s="247" t="s">
        <v>402</v>
      </c>
      <c r="I3209" s="247" t="s">
        <v>2353</v>
      </c>
      <c r="J3209" s="247">
        <v>58</v>
      </c>
      <c r="K3209" s="247">
        <v>58</v>
      </c>
      <c r="L3209" s="249" t="s">
        <v>939</v>
      </c>
      <c r="M3209" s="249" t="s">
        <v>929</v>
      </c>
      <c r="N3209" s="248">
        <v>76.02</v>
      </c>
      <c r="O3209" s="248">
        <v>798.21</v>
      </c>
      <c r="P3209" s="247" t="s">
        <v>1532</v>
      </c>
      <c r="Q3209" s="247" t="s">
        <v>93</v>
      </c>
    </row>
    <row r="3210" spans="1:17" x14ac:dyDescent="0.25">
      <c r="A3210" s="247" t="s">
        <v>646</v>
      </c>
      <c r="B3210" s="247" t="s">
        <v>265</v>
      </c>
      <c r="C3210" s="247" t="s">
        <v>1492</v>
      </c>
      <c r="D3210" s="247" t="s">
        <v>1507</v>
      </c>
      <c r="E3210" s="247" t="s">
        <v>755</v>
      </c>
      <c r="F3210" s="247" t="s">
        <v>2352</v>
      </c>
      <c r="G3210" s="247" t="s">
        <v>1508</v>
      </c>
      <c r="H3210" s="247" t="s">
        <v>402</v>
      </c>
      <c r="I3210" s="247" t="s">
        <v>2353</v>
      </c>
      <c r="J3210" s="247">
        <v>58</v>
      </c>
      <c r="K3210" s="247">
        <v>58</v>
      </c>
      <c r="L3210" s="249" t="s">
        <v>940</v>
      </c>
      <c r="M3210" s="249" t="s">
        <v>929</v>
      </c>
      <c r="N3210" s="248">
        <v>76.02</v>
      </c>
      <c r="O3210" s="248">
        <v>874.23</v>
      </c>
      <c r="P3210" s="247" t="s">
        <v>1532</v>
      </c>
      <c r="Q3210" s="247" t="s">
        <v>94</v>
      </c>
    </row>
    <row r="3211" spans="1:17" x14ac:dyDescent="0.25">
      <c r="A3211" s="247" t="s">
        <v>646</v>
      </c>
      <c r="B3211" s="247" t="s">
        <v>265</v>
      </c>
      <c r="C3211" s="247" t="s">
        <v>1492</v>
      </c>
      <c r="D3211" s="247" t="s">
        <v>1507</v>
      </c>
      <c r="E3211" s="247" t="s">
        <v>755</v>
      </c>
      <c r="F3211" s="247" t="s">
        <v>2352</v>
      </c>
      <c r="G3211" s="247" t="s">
        <v>1508</v>
      </c>
      <c r="H3211" s="247" t="s">
        <v>402</v>
      </c>
      <c r="I3211" s="247" t="s">
        <v>2353</v>
      </c>
      <c r="J3211" s="247">
        <v>58</v>
      </c>
      <c r="K3211" s="247">
        <v>58</v>
      </c>
      <c r="L3211" s="249" t="s">
        <v>642</v>
      </c>
      <c r="M3211" s="249" t="s">
        <v>929</v>
      </c>
      <c r="N3211" s="248">
        <v>228.06</v>
      </c>
      <c r="O3211" s="248">
        <v>1102.29</v>
      </c>
      <c r="P3211" s="247" t="s">
        <v>1532</v>
      </c>
      <c r="Q3211" s="247" t="s">
        <v>95</v>
      </c>
    </row>
    <row r="3212" spans="1:17" x14ac:dyDescent="0.25">
      <c r="A3212" s="247" t="s">
        <v>646</v>
      </c>
      <c r="B3212" s="247" t="s">
        <v>265</v>
      </c>
      <c r="C3212" s="247" t="s">
        <v>1492</v>
      </c>
      <c r="D3212" s="247" t="s">
        <v>926</v>
      </c>
      <c r="E3212" s="247" t="s">
        <v>569</v>
      </c>
      <c r="F3212" s="247" t="s">
        <v>2354</v>
      </c>
      <c r="G3212" s="247" t="s">
        <v>1533</v>
      </c>
      <c r="H3212" s="247" t="s">
        <v>397</v>
      </c>
      <c r="I3212" s="247" t="s">
        <v>2355</v>
      </c>
      <c r="J3212" s="247">
        <v>58</v>
      </c>
      <c r="K3212" s="247">
        <v>58</v>
      </c>
      <c r="L3212" s="249" t="s">
        <v>652</v>
      </c>
      <c r="M3212" s="249" t="s">
        <v>933</v>
      </c>
      <c r="N3212" s="248">
        <v>1671.34</v>
      </c>
      <c r="O3212" s="248">
        <v>1671.34</v>
      </c>
      <c r="P3212" s="247" t="s">
        <v>1534</v>
      </c>
      <c r="Q3212" s="247" t="s">
        <v>86</v>
      </c>
    </row>
    <row r="3213" spans="1:17" x14ac:dyDescent="0.25">
      <c r="A3213" s="247" t="s">
        <v>646</v>
      </c>
      <c r="B3213" s="247" t="s">
        <v>265</v>
      </c>
      <c r="C3213" s="247" t="s">
        <v>1492</v>
      </c>
      <c r="D3213" s="247" t="s">
        <v>926</v>
      </c>
      <c r="E3213" s="247" t="s">
        <v>569</v>
      </c>
      <c r="F3213" s="247" t="s">
        <v>2354</v>
      </c>
      <c r="G3213" s="247" t="s">
        <v>1533</v>
      </c>
      <c r="H3213" s="247" t="s">
        <v>397</v>
      </c>
      <c r="I3213" s="247" t="s">
        <v>2355</v>
      </c>
      <c r="J3213" s="247">
        <v>58</v>
      </c>
      <c r="K3213" s="247">
        <v>58</v>
      </c>
      <c r="L3213" s="249" t="s">
        <v>789</v>
      </c>
      <c r="M3213" s="249" t="s">
        <v>929</v>
      </c>
      <c r="N3213" s="248">
        <v>10107.76</v>
      </c>
      <c r="O3213" s="248">
        <v>10107.76</v>
      </c>
      <c r="P3213" s="247" t="s">
        <v>1534</v>
      </c>
      <c r="Q3213" s="247" t="s">
        <v>87</v>
      </c>
    </row>
    <row r="3214" spans="1:17" x14ac:dyDescent="0.25">
      <c r="A3214" s="247" t="s">
        <v>646</v>
      </c>
      <c r="B3214" s="247" t="s">
        <v>265</v>
      </c>
      <c r="C3214" s="247" t="s">
        <v>1492</v>
      </c>
      <c r="D3214" s="247" t="s">
        <v>926</v>
      </c>
      <c r="E3214" s="247" t="s">
        <v>569</v>
      </c>
      <c r="F3214" s="247" t="s">
        <v>2354</v>
      </c>
      <c r="G3214" s="247" t="s">
        <v>1533</v>
      </c>
      <c r="H3214" s="247" t="s">
        <v>397</v>
      </c>
      <c r="I3214" s="247" t="s">
        <v>2355</v>
      </c>
      <c r="J3214" s="247">
        <v>58</v>
      </c>
      <c r="K3214" s="247">
        <v>58</v>
      </c>
      <c r="L3214" s="249" t="s">
        <v>791</v>
      </c>
      <c r="M3214" s="249" t="s">
        <v>929</v>
      </c>
      <c r="N3214" s="248">
        <v>5116.53</v>
      </c>
      <c r="O3214" s="248">
        <v>15224.29</v>
      </c>
      <c r="P3214" s="247" t="s">
        <v>1534</v>
      </c>
      <c r="Q3214" s="247" t="s">
        <v>88</v>
      </c>
    </row>
    <row r="3215" spans="1:17" x14ac:dyDescent="0.25">
      <c r="A3215" s="247" t="s">
        <v>646</v>
      </c>
      <c r="B3215" s="247" t="s">
        <v>265</v>
      </c>
      <c r="C3215" s="247" t="s">
        <v>1492</v>
      </c>
      <c r="D3215" s="247" t="s">
        <v>926</v>
      </c>
      <c r="E3215" s="247" t="s">
        <v>569</v>
      </c>
      <c r="F3215" s="247" t="s">
        <v>2354</v>
      </c>
      <c r="G3215" s="247" t="s">
        <v>1533</v>
      </c>
      <c r="H3215" s="247" t="s">
        <v>397</v>
      </c>
      <c r="I3215" s="247" t="s">
        <v>2355</v>
      </c>
      <c r="J3215" s="247">
        <v>58</v>
      </c>
      <c r="K3215" s="247">
        <v>58</v>
      </c>
      <c r="L3215" s="249" t="s">
        <v>935</v>
      </c>
      <c r="M3215" s="249" t="s">
        <v>929</v>
      </c>
      <c r="N3215" s="248">
        <v>906.44</v>
      </c>
      <c r="O3215" s="248">
        <v>16130.73</v>
      </c>
      <c r="P3215" s="247" t="s">
        <v>1534</v>
      </c>
      <c r="Q3215" s="247" t="s">
        <v>89</v>
      </c>
    </row>
    <row r="3216" spans="1:17" x14ac:dyDescent="0.25">
      <c r="A3216" s="247" t="s">
        <v>646</v>
      </c>
      <c r="B3216" s="247" t="s">
        <v>265</v>
      </c>
      <c r="C3216" s="247" t="s">
        <v>1492</v>
      </c>
      <c r="D3216" s="247" t="s">
        <v>926</v>
      </c>
      <c r="E3216" s="247" t="s">
        <v>569</v>
      </c>
      <c r="F3216" s="247" t="s">
        <v>2354</v>
      </c>
      <c r="G3216" s="247" t="s">
        <v>1533</v>
      </c>
      <c r="H3216" s="247" t="s">
        <v>397</v>
      </c>
      <c r="I3216" s="247" t="s">
        <v>2355</v>
      </c>
      <c r="J3216" s="247">
        <v>58</v>
      </c>
      <c r="K3216" s="247">
        <v>58</v>
      </c>
      <c r="L3216" s="249" t="s">
        <v>936</v>
      </c>
      <c r="M3216" s="249" t="s">
        <v>929</v>
      </c>
      <c r="N3216" s="248">
        <v>1209.46</v>
      </c>
      <c r="O3216" s="248">
        <v>17340.189999999999</v>
      </c>
      <c r="P3216" s="247" t="s">
        <v>1534</v>
      </c>
      <c r="Q3216" s="247" t="s">
        <v>90</v>
      </c>
    </row>
    <row r="3217" spans="1:17" x14ac:dyDescent="0.25">
      <c r="A3217" s="247" t="s">
        <v>646</v>
      </c>
      <c r="B3217" s="247" t="s">
        <v>265</v>
      </c>
      <c r="C3217" s="247" t="s">
        <v>1492</v>
      </c>
      <c r="D3217" s="247" t="s">
        <v>926</v>
      </c>
      <c r="E3217" s="247" t="s">
        <v>569</v>
      </c>
      <c r="F3217" s="247" t="s">
        <v>2354</v>
      </c>
      <c r="G3217" s="247" t="s">
        <v>1533</v>
      </c>
      <c r="H3217" s="247" t="s">
        <v>397</v>
      </c>
      <c r="I3217" s="247" t="s">
        <v>2355</v>
      </c>
      <c r="J3217" s="247">
        <v>58</v>
      </c>
      <c r="K3217" s="247">
        <v>58</v>
      </c>
      <c r="L3217" s="249" t="s">
        <v>937</v>
      </c>
      <c r="M3217" s="249" t="s">
        <v>929</v>
      </c>
      <c r="N3217" s="248">
        <v>2494.7399999999998</v>
      </c>
      <c r="O3217" s="248">
        <v>19834.93</v>
      </c>
      <c r="P3217" s="247" t="s">
        <v>1534</v>
      </c>
      <c r="Q3217" s="247" t="s">
        <v>91</v>
      </c>
    </row>
    <row r="3218" spans="1:17" x14ac:dyDescent="0.25">
      <c r="A3218" s="247" t="s">
        <v>646</v>
      </c>
      <c r="B3218" s="247" t="s">
        <v>265</v>
      </c>
      <c r="C3218" s="247" t="s">
        <v>1492</v>
      </c>
      <c r="D3218" s="247" t="s">
        <v>926</v>
      </c>
      <c r="E3218" s="247" t="s">
        <v>569</v>
      </c>
      <c r="F3218" s="247" t="s">
        <v>2354</v>
      </c>
      <c r="G3218" s="247" t="s">
        <v>1533</v>
      </c>
      <c r="H3218" s="247" t="s">
        <v>397</v>
      </c>
      <c r="I3218" s="247" t="s">
        <v>2355</v>
      </c>
      <c r="J3218" s="247">
        <v>58</v>
      </c>
      <c r="K3218" s="247">
        <v>58</v>
      </c>
      <c r="L3218" s="249" t="s">
        <v>938</v>
      </c>
      <c r="M3218" s="249" t="s">
        <v>929</v>
      </c>
      <c r="N3218" s="248">
        <v>3145.41</v>
      </c>
      <c r="O3218" s="248">
        <v>22980.34</v>
      </c>
      <c r="P3218" s="247" t="s">
        <v>1534</v>
      </c>
      <c r="Q3218" s="247" t="s">
        <v>92</v>
      </c>
    </row>
    <row r="3219" spans="1:17" x14ac:dyDescent="0.25">
      <c r="A3219" s="247" t="s">
        <v>646</v>
      </c>
      <c r="B3219" s="247" t="s">
        <v>265</v>
      </c>
      <c r="C3219" s="247" t="s">
        <v>1492</v>
      </c>
      <c r="D3219" s="247" t="s">
        <v>926</v>
      </c>
      <c r="E3219" s="247" t="s">
        <v>569</v>
      </c>
      <c r="F3219" s="247" t="s">
        <v>2354</v>
      </c>
      <c r="G3219" s="247" t="s">
        <v>1533</v>
      </c>
      <c r="H3219" s="247" t="s">
        <v>397</v>
      </c>
      <c r="I3219" s="247" t="s">
        <v>2355</v>
      </c>
      <c r="J3219" s="247">
        <v>58</v>
      </c>
      <c r="K3219" s="247">
        <v>58</v>
      </c>
      <c r="L3219" s="249" t="s">
        <v>939</v>
      </c>
      <c r="M3219" s="249" t="s">
        <v>929</v>
      </c>
      <c r="N3219" s="248">
        <v>3879</v>
      </c>
      <c r="O3219" s="248">
        <v>26859.34</v>
      </c>
      <c r="P3219" s="247" t="s">
        <v>1534</v>
      </c>
      <c r="Q3219" s="247" t="s">
        <v>93</v>
      </c>
    </row>
    <row r="3220" spans="1:17" x14ac:dyDescent="0.25">
      <c r="A3220" s="247" t="s">
        <v>646</v>
      </c>
      <c r="B3220" s="247" t="s">
        <v>265</v>
      </c>
      <c r="C3220" s="247" t="s">
        <v>1492</v>
      </c>
      <c r="D3220" s="247" t="s">
        <v>926</v>
      </c>
      <c r="E3220" s="247" t="s">
        <v>569</v>
      </c>
      <c r="F3220" s="247" t="s">
        <v>2354</v>
      </c>
      <c r="G3220" s="247" t="s">
        <v>1533</v>
      </c>
      <c r="H3220" s="247" t="s">
        <v>397</v>
      </c>
      <c r="I3220" s="247" t="s">
        <v>2355</v>
      </c>
      <c r="J3220" s="247">
        <v>58</v>
      </c>
      <c r="K3220" s="247">
        <v>58</v>
      </c>
      <c r="L3220" s="249" t="s">
        <v>940</v>
      </c>
      <c r="M3220" s="249" t="s">
        <v>929</v>
      </c>
      <c r="N3220" s="248">
        <v>3727.76</v>
      </c>
      <c r="O3220" s="248">
        <v>30587.1</v>
      </c>
      <c r="P3220" s="247" t="s">
        <v>1534</v>
      </c>
      <c r="Q3220" s="247" t="s">
        <v>94</v>
      </c>
    </row>
    <row r="3221" spans="1:17" x14ac:dyDescent="0.25">
      <c r="A3221" s="247" t="s">
        <v>646</v>
      </c>
      <c r="B3221" s="247" t="s">
        <v>265</v>
      </c>
      <c r="C3221" s="247" t="s">
        <v>1492</v>
      </c>
      <c r="D3221" s="247" t="s">
        <v>926</v>
      </c>
      <c r="E3221" s="247" t="s">
        <v>569</v>
      </c>
      <c r="F3221" s="247" t="s">
        <v>2354</v>
      </c>
      <c r="G3221" s="247" t="s">
        <v>1533</v>
      </c>
      <c r="H3221" s="247" t="s">
        <v>397</v>
      </c>
      <c r="I3221" s="247" t="s">
        <v>2355</v>
      </c>
      <c r="J3221" s="247">
        <v>58</v>
      </c>
      <c r="K3221" s="247">
        <v>58</v>
      </c>
      <c r="L3221" s="249" t="s">
        <v>642</v>
      </c>
      <c r="M3221" s="249" t="s">
        <v>929</v>
      </c>
      <c r="N3221" s="248">
        <v>7194.16</v>
      </c>
      <c r="O3221" s="248">
        <v>37781.26</v>
      </c>
      <c r="P3221" s="247" t="s">
        <v>1534</v>
      </c>
      <c r="Q3221" s="247" t="s">
        <v>95</v>
      </c>
    </row>
    <row r="3222" spans="1:17" x14ac:dyDescent="0.25">
      <c r="A3222" s="247" t="s">
        <v>646</v>
      </c>
      <c r="B3222" s="247" t="s">
        <v>265</v>
      </c>
      <c r="C3222" s="247" t="s">
        <v>1492</v>
      </c>
      <c r="D3222" s="247" t="s">
        <v>946</v>
      </c>
      <c r="E3222" s="247" t="s">
        <v>926</v>
      </c>
      <c r="F3222" s="247" t="s">
        <v>2356</v>
      </c>
      <c r="G3222" s="247" t="s">
        <v>1535</v>
      </c>
      <c r="H3222" s="247"/>
      <c r="I3222" s="247" t="s">
        <v>2357</v>
      </c>
      <c r="J3222" s="247">
        <v>65</v>
      </c>
      <c r="K3222" s="247">
        <v>65</v>
      </c>
      <c r="L3222" s="249" t="s">
        <v>646</v>
      </c>
      <c r="M3222" s="249" t="s">
        <v>933</v>
      </c>
      <c r="N3222" s="248">
        <v>43166.52</v>
      </c>
      <c r="O3222" s="248">
        <v>442670</v>
      </c>
      <c r="P3222" s="247" t="s">
        <v>1536</v>
      </c>
      <c r="Q3222" s="247" t="s">
        <v>84</v>
      </c>
    </row>
    <row r="3223" spans="1:17" x14ac:dyDescent="0.25">
      <c r="A3223" s="247" t="s">
        <v>646</v>
      </c>
      <c r="B3223" s="247" t="s">
        <v>265</v>
      </c>
      <c r="C3223" s="247" t="s">
        <v>1492</v>
      </c>
      <c r="D3223" s="247" t="s">
        <v>946</v>
      </c>
      <c r="E3223" s="247" t="s">
        <v>926</v>
      </c>
      <c r="F3223" s="247" t="s">
        <v>2356</v>
      </c>
      <c r="G3223" s="247" t="s">
        <v>1535</v>
      </c>
      <c r="H3223" s="247"/>
      <c r="I3223" s="247" t="s">
        <v>2357</v>
      </c>
      <c r="J3223" s="247">
        <v>65</v>
      </c>
      <c r="K3223" s="247">
        <v>65</v>
      </c>
      <c r="L3223" s="249" t="s">
        <v>650</v>
      </c>
      <c r="M3223" s="249" t="s">
        <v>933</v>
      </c>
      <c r="N3223" s="248">
        <v>39682.620000000003</v>
      </c>
      <c r="O3223" s="248">
        <v>482352.62</v>
      </c>
      <c r="P3223" s="247" t="s">
        <v>1536</v>
      </c>
      <c r="Q3223" s="247" t="s">
        <v>85</v>
      </c>
    </row>
    <row r="3224" spans="1:17" x14ac:dyDescent="0.25">
      <c r="A3224" s="247" t="s">
        <v>646</v>
      </c>
      <c r="B3224" s="247" t="s">
        <v>265</v>
      </c>
      <c r="C3224" s="247" t="s">
        <v>1492</v>
      </c>
      <c r="D3224" s="247" t="s">
        <v>946</v>
      </c>
      <c r="E3224" s="247" t="s">
        <v>926</v>
      </c>
      <c r="F3224" s="247" t="s">
        <v>2356</v>
      </c>
      <c r="G3224" s="247" t="s">
        <v>1535</v>
      </c>
      <c r="H3224" s="247"/>
      <c r="I3224" s="247" t="s">
        <v>2357</v>
      </c>
      <c r="J3224" s="247">
        <v>65</v>
      </c>
      <c r="K3224" s="247">
        <v>65</v>
      </c>
      <c r="L3224" s="249" t="s">
        <v>652</v>
      </c>
      <c r="M3224" s="249" t="s">
        <v>933</v>
      </c>
      <c r="N3224" s="248">
        <v>37326.53</v>
      </c>
      <c r="O3224" s="248">
        <v>519679.15</v>
      </c>
      <c r="P3224" s="247" t="s">
        <v>1536</v>
      </c>
      <c r="Q3224" s="247" t="s">
        <v>86</v>
      </c>
    </row>
    <row r="3225" spans="1:17" x14ac:dyDescent="0.25">
      <c r="A3225" s="247" t="s">
        <v>646</v>
      </c>
      <c r="B3225" s="247" t="s">
        <v>265</v>
      </c>
      <c r="C3225" s="247" t="s">
        <v>1492</v>
      </c>
      <c r="D3225" s="247" t="s">
        <v>946</v>
      </c>
      <c r="E3225" s="247" t="s">
        <v>926</v>
      </c>
      <c r="F3225" s="247" t="s">
        <v>2356</v>
      </c>
      <c r="G3225" s="247" t="s">
        <v>1535</v>
      </c>
      <c r="H3225" s="247"/>
      <c r="I3225" s="247" t="s">
        <v>2357</v>
      </c>
      <c r="J3225" s="247">
        <v>65</v>
      </c>
      <c r="K3225" s="247">
        <v>65</v>
      </c>
      <c r="L3225" s="249" t="s">
        <v>789</v>
      </c>
      <c r="M3225" s="249" t="s">
        <v>929</v>
      </c>
      <c r="N3225" s="248">
        <v>28862.38</v>
      </c>
      <c r="O3225" s="248">
        <v>28862.38</v>
      </c>
      <c r="P3225" s="247" t="s">
        <v>1536</v>
      </c>
      <c r="Q3225" s="247" t="s">
        <v>87</v>
      </c>
    </row>
    <row r="3226" spans="1:17" x14ac:dyDescent="0.25">
      <c r="A3226" s="247" t="s">
        <v>646</v>
      </c>
      <c r="B3226" s="247" t="s">
        <v>265</v>
      </c>
      <c r="C3226" s="247" t="s">
        <v>1492</v>
      </c>
      <c r="D3226" s="247" t="s">
        <v>946</v>
      </c>
      <c r="E3226" s="247" t="s">
        <v>926</v>
      </c>
      <c r="F3226" s="247" t="s">
        <v>2356</v>
      </c>
      <c r="G3226" s="247" t="s">
        <v>1535</v>
      </c>
      <c r="H3226" s="247"/>
      <c r="I3226" s="247" t="s">
        <v>2357</v>
      </c>
      <c r="J3226" s="247">
        <v>65</v>
      </c>
      <c r="K3226" s="247">
        <v>65</v>
      </c>
      <c r="L3226" s="249" t="s">
        <v>791</v>
      </c>
      <c r="M3226" s="249" t="s">
        <v>929</v>
      </c>
      <c r="N3226" s="248">
        <v>28310.47</v>
      </c>
      <c r="O3226" s="248">
        <v>57172.85</v>
      </c>
      <c r="P3226" s="247" t="s">
        <v>1536</v>
      </c>
      <c r="Q3226" s="247" t="s">
        <v>88</v>
      </c>
    </row>
    <row r="3227" spans="1:17" x14ac:dyDescent="0.25">
      <c r="A3227" s="247" t="s">
        <v>646</v>
      </c>
      <c r="B3227" s="247" t="s">
        <v>265</v>
      </c>
      <c r="C3227" s="247" t="s">
        <v>1492</v>
      </c>
      <c r="D3227" s="247" t="s">
        <v>946</v>
      </c>
      <c r="E3227" s="247" t="s">
        <v>926</v>
      </c>
      <c r="F3227" s="247" t="s">
        <v>2356</v>
      </c>
      <c r="G3227" s="247" t="s">
        <v>1535</v>
      </c>
      <c r="H3227" s="247"/>
      <c r="I3227" s="247" t="s">
        <v>2357</v>
      </c>
      <c r="J3227" s="247">
        <v>65</v>
      </c>
      <c r="K3227" s="247">
        <v>65</v>
      </c>
      <c r="L3227" s="249" t="s">
        <v>935</v>
      </c>
      <c r="M3227" s="249" t="s">
        <v>929</v>
      </c>
      <c r="N3227" s="248">
        <v>32273.03</v>
      </c>
      <c r="O3227" s="248">
        <v>89445.88</v>
      </c>
      <c r="P3227" s="247" t="s">
        <v>1536</v>
      </c>
      <c r="Q3227" s="247" t="s">
        <v>89</v>
      </c>
    </row>
    <row r="3228" spans="1:17" x14ac:dyDescent="0.25">
      <c r="A3228" s="247" t="s">
        <v>646</v>
      </c>
      <c r="B3228" s="247" t="s">
        <v>265</v>
      </c>
      <c r="C3228" s="247" t="s">
        <v>1492</v>
      </c>
      <c r="D3228" s="247" t="s">
        <v>946</v>
      </c>
      <c r="E3228" s="247" t="s">
        <v>926</v>
      </c>
      <c r="F3228" s="247" t="s">
        <v>2356</v>
      </c>
      <c r="G3228" s="247" t="s">
        <v>1535</v>
      </c>
      <c r="H3228" s="247"/>
      <c r="I3228" s="247" t="s">
        <v>2357</v>
      </c>
      <c r="J3228" s="247">
        <v>65</v>
      </c>
      <c r="K3228" s="247">
        <v>65</v>
      </c>
      <c r="L3228" s="249" t="s">
        <v>936</v>
      </c>
      <c r="M3228" s="249" t="s">
        <v>929</v>
      </c>
      <c r="N3228" s="248">
        <v>32977.43</v>
      </c>
      <c r="O3228" s="248">
        <v>122423.31</v>
      </c>
      <c r="P3228" s="247" t="s">
        <v>1536</v>
      </c>
      <c r="Q3228" s="247" t="s">
        <v>90</v>
      </c>
    </row>
    <row r="3229" spans="1:17" x14ac:dyDescent="0.25">
      <c r="A3229" s="247" t="s">
        <v>646</v>
      </c>
      <c r="B3229" s="247" t="s">
        <v>265</v>
      </c>
      <c r="C3229" s="247" t="s">
        <v>1492</v>
      </c>
      <c r="D3229" s="247" t="s">
        <v>946</v>
      </c>
      <c r="E3229" s="247" t="s">
        <v>926</v>
      </c>
      <c r="F3229" s="247" t="s">
        <v>2356</v>
      </c>
      <c r="G3229" s="247" t="s">
        <v>1535</v>
      </c>
      <c r="H3229" s="247"/>
      <c r="I3229" s="247" t="s">
        <v>2357</v>
      </c>
      <c r="J3229" s="247">
        <v>65</v>
      </c>
      <c r="K3229" s="247">
        <v>65</v>
      </c>
      <c r="L3229" s="249" t="s">
        <v>937</v>
      </c>
      <c r="M3229" s="249" t="s">
        <v>929</v>
      </c>
      <c r="N3229" s="248">
        <v>38466.339999999997</v>
      </c>
      <c r="O3229" s="248">
        <v>160889.65</v>
      </c>
      <c r="P3229" s="247" t="s">
        <v>1536</v>
      </c>
      <c r="Q3229" s="247" t="s">
        <v>91</v>
      </c>
    </row>
    <row r="3230" spans="1:17" x14ac:dyDescent="0.25">
      <c r="A3230" s="247" t="s">
        <v>646</v>
      </c>
      <c r="B3230" s="247" t="s">
        <v>265</v>
      </c>
      <c r="C3230" s="247" t="s">
        <v>1492</v>
      </c>
      <c r="D3230" s="247" t="s">
        <v>946</v>
      </c>
      <c r="E3230" s="247" t="s">
        <v>926</v>
      </c>
      <c r="F3230" s="247" t="s">
        <v>2356</v>
      </c>
      <c r="G3230" s="247" t="s">
        <v>1535</v>
      </c>
      <c r="H3230" s="247"/>
      <c r="I3230" s="247" t="s">
        <v>2357</v>
      </c>
      <c r="J3230" s="247">
        <v>65</v>
      </c>
      <c r="K3230" s="247">
        <v>65</v>
      </c>
      <c r="L3230" s="249" t="s">
        <v>938</v>
      </c>
      <c r="M3230" s="249" t="s">
        <v>929</v>
      </c>
      <c r="N3230" s="248">
        <v>46095.15</v>
      </c>
      <c r="O3230" s="248">
        <v>206984.8</v>
      </c>
      <c r="P3230" s="247" t="s">
        <v>1536</v>
      </c>
      <c r="Q3230" s="247" t="s">
        <v>92</v>
      </c>
    </row>
    <row r="3231" spans="1:17" x14ac:dyDescent="0.25">
      <c r="A3231" s="247" t="s">
        <v>646</v>
      </c>
      <c r="B3231" s="247" t="s">
        <v>265</v>
      </c>
      <c r="C3231" s="247" t="s">
        <v>1492</v>
      </c>
      <c r="D3231" s="247" t="s">
        <v>946</v>
      </c>
      <c r="E3231" s="247" t="s">
        <v>926</v>
      </c>
      <c r="F3231" s="247" t="s">
        <v>2356</v>
      </c>
      <c r="G3231" s="247" t="s">
        <v>1535</v>
      </c>
      <c r="H3231" s="247"/>
      <c r="I3231" s="247" t="s">
        <v>2357</v>
      </c>
      <c r="J3231" s="247">
        <v>65</v>
      </c>
      <c r="K3231" s="247">
        <v>65</v>
      </c>
      <c r="L3231" s="249" t="s">
        <v>939</v>
      </c>
      <c r="M3231" s="249" t="s">
        <v>929</v>
      </c>
      <c r="N3231" s="248">
        <v>39367.06</v>
      </c>
      <c r="O3231" s="248">
        <v>246351.86</v>
      </c>
      <c r="P3231" s="247" t="s">
        <v>1536</v>
      </c>
      <c r="Q3231" s="247" t="s">
        <v>93</v>
      </c>
    </row>
    <row r="3232" spans="1:17" x14ac:dyDescent="0.25">
      <c r="A3232" s="247" t="s">
        <v>646</v>
      </c>
      <c r="B3232" s="247" t="s">
        <v>265</v>
      </c>
      <c r="C3232" s="247" t="s">
        <v>1492</v>
      </c>
      <c r="D3232" s="247" t="s">
        <v>946</v>
      </c>
      <c r="E3232" s="247" t="s">
        <v>926</v>
      </c>
      <c r="F3232" s="247" t="s">
        <v>2356</v>
      </c>
      <c r="G3232" s="247" t="s">
        <v>1535</v>
      </c>
      <c r="H3232" s="247"/>
      <c r="I3232" s="247" t="s">
        <v>2357</v>
      </c>
      <c r="J3232" s="247">
        <v>65</v>
      </c>
      <c r="K3232" s="247">
        <v>65</v>
      </c>
      <c r="L3232" s="249" t="s">
        <v>940</v>
      </c>
      <c r="M3232" s="249" t="s">
        <v>929</v>
      </c>
      <c r="N3232" s="248">
        <v>43282.35</v>
      </c>
      <c r="O3232" s="248">
        <v>289634.21000000002</v>
      </c>
      <c r="P3232" s="247" t="s">
        <v>1536</v>
      </c>
      <c r="Q3232" s="247" t="s">
        <v>94</v>
      </c>
    </row>
    <row r="3233" spans="1:17" x14ac:dyDescent="0.25">
      <c r="A3233" s="247" t="s">
        <v>646</v>
      </c>
      <c r="B3233" s="247" t="s">
        <v>265</v>
      </c>
      <c r="C3233" s="247" t="s">
        <v>1492</v>
      </c>
      <c r="D3233" s="247" t="s">
        <v>946</v>
      </c>
      <c r="E3233" s="247" t="s">
        <v>926</v>
      </c>
      <c r="F3233" s="247" t="s">
        <v>2356</v>
      </c>
      <c r="G3233" s="247" t="s">
        <v>1535</v>
      </c>
      <c r="H3233" s="247"/>
      <c r="I3233" s="247" t="s">
        <v>2357</v>
      </c>
      <c r="J3233" s="247">
        <v>65</v>
      </c>
      <c r="K3233" s="247">
        <v>65</v>
      </c>
      <c r="L3233" s="249" t="s">
        <v>642</v>
      </c>
      <c r="M3233" s="249" t="s">
        <v>929</v>
      </c>
      <c r="N3233" s="248">
        <v>39363.440000000002</v>
      </c>
      <c r="O3233" s="248">
        <v>328997.65000000002</v>
      </c>
      <c r="P3233" s="247" t="s">
        <v>1536</v>
      </c>
      <c r="Q3233" s="247" t="s">
        <v>95</v>
      </c>
    </row>
    <row r="3234" spans="1:17" x14ac:dyDescent="0.25">
      <c r="A3234" s="247" t="s">
        <v>646</v>
      </c>
      <c r="B3234" s="247" t="s">
        <v>265</v>
      </c>
      <c r="C3234" s="247" t="s">
        <v>1492</v>
      </c>
      <c r="D3234" s="247" t="s">
        <v>1537</v>
      </c>
      <c r="E3234" s="247" t="s">
        <v>926</v>
      </c>
      <c r="F3234" s="247" t="s">
        <v>2358</v>
      </c>
      <c r="G3234" s="247" t="s">
        <v>1538</v>
      </c>
      <c r="H3234" s="247"/>
      <c r="I3234" s="247" t="s">
        <v>2359</v>
      </c>
      <c r="J3234" s="247">
        <v>65</v>
      </c>
      <c r="K3234" s="247">
        <v>65</v>
      </c>
      <c r="L3234" s="249" t="s">
        <v>935</v>
      </c>
      <c r="M3234" s="249" t="s">
        <v>929</v>
      </c>
      <c r="N3234" s="248">
        <v>-39231</v>
      </c>
      <c r="O3234" s="248">
        <v>-39231</v>
      </c>
      <c r="P3234" s="247" t="s">
        <v>1539</v>
      </c>
      <c r="Q3234" s="247" t="s">
        <v>89</v>
      </c>
    </row>
    <row r="3235" spans="1:17" x14ac:dyDescent="0.25">
      <c r="A3235" s="247" t="s">
        <v>646</v>
      </c>
      <c r="B3235" s="247" t="s">
        <v>265</v>
      </c>
      <c r="C3235" s="247" t="s">
        <v>1492</v>
      </c>
      <c r="D3235" s="247" t="s">
        <v>1537</v>
      </c>
      <c r="E3235" s="247" t="s">
        <v>926</v>
      </c>
      <c r="F3235" s="247" t="s">
        <v>2358</v>
      </c>
      <c r="G3235" s="247" t="s">
        <v>1538</v>
      </c>
      <c r="H3235" s="247"/>
      <c r="I3235" s="247" t="s">
        <v>2359</v>
      </c>
      <c r="J3235" s="247">
        <v>65</v>
      </c>
      <c r="K3235" s="247">
        <v>65</v>
      </c>
      <c r="L3235" s="249" t="s">
        <v>936</v>
      </c>
      <c r="M3235" s="249" t="s">
        <v>929</v>
      </c>
      <c r="N3235" s="248">
        <v>0</v>
      </c>
      <c r="O3235" s="248">
        <v>-39231</v>
      </c>
      <c r="P3235" s="247" t="s">
        <v>1539</v>
      </c>
      <c r="Q3235" s="247" t="s">
        <v>90</v>
      </c>
    </row>
    <row r="3236" spans="1:17" x14ac:dyDescent="0.25">
      <c r="A3236" s="247" t="s">
        <v>646</v>
      </c>
      <c r="B3236" s="247" t="s">
        <v>265</v>
      </c>
      <c r="C3236" s="247" t="s">
        <v>1492</v>
      </c>
      <c r="D3236" s="247" t="s">
        <v>1537</v>
      </c>
      <c r="E3236" s="247" t="s">
        <v>926</v>
      </c>
      <c r="F3236" s="247" t="s">
        <v>2358</v>
      </c>
      <c r="G3236" s="247" t="s">
        <v>1538</v>
      </c>
      <c r="H3236" s="247"/>
      <c r="I3236" s="247" t="s">
        <v>2359</v>
      </c>
      <c r="J3236" s="247">
        <v>65</v>
      </c>
      <c r="K3236" s="247">
        <v>65</v>
      </c>
      <c r="L3236" s="249" t="s">
        <v>937</v>
      </c>
      <c r="M3236" s="249" t="s">
        <v>929</v>
      </c>
      <c r="N3236" s="248">
        <v>0</v>
      </c>
      <c r="O3236" s="248">
        <v>-39231</v>
      </c>
      <c r="P3236" s="247" t="s">
        <v>1539</v>
      </c>
      <c r="Q3236" s="247" t="s">
        <v>91</v>
      </c>
    </row>
    <row r="3237" spans="1:17" x14ac:dyDescent="0.25">
      <c r="A3237" s="247" t="s">
        <v>646</v>
      </c>
      <c r="B3237" s="247" t="s">
        <v>265</v>
      </c>
      <c r="C3237" s="247" t="s">
        <v>1492</v>
      </c>
      <c r="D3237" s="247" t="s">
        <v>1537</v>
      </c>
      <c r="E3237" s="247" t="s">
        <v>926</v>
      </c>
      <c r="F3237" s="247" t="s">
        <v>2358</v>
      </c>
      <c r="G3237" s="247" t="s">
        <v>1538</v>
      </c>
      <c r="H3237" s="247"/>
      <c r="I3237" s="247" t="s">
        <v>2359</v>
      </c>
      <c r="J3237" s="247">
        <v>65</v>
      </c>
      <c r="K3237" s="247">
        <v>65</v>
      </c>
      <c r="L3237" s="249" t="s">
        <v>938</v>
      </c>
      <c r="M3237" s="249" t="s">
        <v>929</v>
      </c>
      <c r="N3237" s="248">
        <v>0</v>
      </c>
      <c r="O3237" s="248">
        <v>-39231</v>
      </c>
      <c r="P3237" s="247" t="s">
        <v>1539</v>
      </c>
      <c r="Q3237" s="247" t="s">
        <v>92</v>
      </c>
    </row>
    <row r="3238" spans="1:17" x14ac:dyDescent="0.25">
      <c r="A3238" s="247" t="s">
        <v>646</v>
      </c>
      <c r="B3238" s="247" t="s">
        <v>265</v>
      </c>
      <c r="C3238" s="247" t="s">
        <v>1492</v>
      </c>
      <c r="D3238" s="247" t="s">
        <v>1537</v>
      </c>
      <c r="E3238" s="247" t="s">
        <v>926</v>
      </c>
      <c r="F3238" s="247" t="s">
        <v>2358</v>
      </c>
      <c r="G3238" s="247" t="s">
        <v>1538</v>
      </c>
      <c r="H3238" s="247"/>
      <c r="I3238" s="247" t="s">
        <v>2359</v>
      </c>
      <c r="J3238" s="247">
        <v>65</v>
      </c>
      <c r="K3238" s="247">
        <v>65</v>
      </c>
      <c r="L3238" s="249" t="s">
        <v>939</v>
      </c>
      <c r="M3238" s="249" t="s">
        <v>929</v>
      </c>
      <c r="N3238" s="248">
        <v>0</v>
      </c>
      <c r="O3238" s="248">
        <v>-39231</v>
      </c>
      <c r="P3238" s="247" t="s">
        <v>1539</v>
      </c>
      <c r="Q3238" s="247" t="s">
        <v>93</v>
      </c>
    </row>
    <row r="3239" spans="1:17" x14ac:dyDescent="0.25">
      <c r="A3239" s="247" t="s">
        <v>646</v>
      </c>
      <c r="B3239" s="247" t="s">
        <v>265</v>
      </c>
      <c r="C3239" s="247" t="s">
        <v>1492</v>
      </c>
      <c r="D3239" s="247" t="s">
        <v>1537</v>
      </c>
      <c r="E3239" s="247" t="s">
        <v>926</v>
      </c>
      <c r="F3239" s="247" t="s">
        <v>2358</v>
      </c>
      <c r="G3239" s="247" t="s">
        <v>1538</v>
      </c>
      <c r="H3239" s="247"/>
      <c r="I3239" s="247" t="s">
        <v>2359</v>
      </c>
      <c r="J3239" s="247">
        <v>65</v>
      </c>
      <c r="K3239" s="247">
        <v>65</v>
      </c>
      <c r="L3239" s="249" t="s">
        <v>940</v>
      </c>
      <c r="M3239" s="249" t="s">
        <v>929</v>
      </c>
      <c r="N3239" s="248">
        <v>0</v>
      </c>
      <c r="O3239" s="248">
        <v>-39231</v>
      </c>
      <c r="P3239" s="247" t="s">
        <v>1539</v>
      </c>
      <c r="Q3239" s="247" t="s">
        <v>94</v>
      </c>
    </row>
    <row r="3240" spans="1:17" x14ac:dyDescent="0.25">
      <c r="A3240" s="247" t="s">
        <v>646</v>
      </c>
      <c r="B3240" s="247" t="s">
        <v>265</v>
      </c>
      <c r="C3240" s="247" t="s">
        <v>1492</v>
      </c>
      <c r="D3240" s="247" t="s">
        <v>1537</v>
      </c>
      <c r="E3240" s="247" t="s">
        <v>926</v>
      </c>
      <c r="F3240" s="247" t="s">
        <v>2358</v>
      </c>
      <c r="G3240" s="247" t="s">
        <v>1538</v>
      </c>
      <c r="H3240" s="247"/>
      <c r="I3240" s="247" t="s">
        <v>2359</v>
      </c>
      <c r="J3240" s="247">
        <v>65</v>
      </c>
      <c r="K3240" s="247">
        <v>65</v>
      </c>
      <c r="L3240" s="249" t="s">
        <v>642</v>
      </c>
      <c r="M3240" s="249" t="s">
        <v>929</v>
      </c>
      <c r="N3240" s="248">
        <v>0</v>
      </c>
      <c r="O3240" s="248">
        <v>-39231</v>
      </c>
      <c r="P3240" s="247" t="s">
        <v>1539</v>
      </c>
      <c r="Q3240" s="247" t="s">
        <v>95</v>
      </c>
    </row>
    <row r="3241" spans="1:17" x14ac:dyDescent="0.25">
      <c r="A3241" s="247" t="s">
        <v>646</v>
      </c>
      <c r="B3241" s="247" t="s">
        <v>265</v>
      </c>
      <c r="C3241" s="247" t="s">
        <v>1492</v>
      </c>
      <c r="D3241" s="247" t="s">
        <v>823</v>
      </c>
      <c r="E3241" s="247" t="s">
        <v>569</v>
      </c>
      <c r="F3241" s="247" t="s">
        <v>2360</v>
      </c>
      <c r="G3241" s="247" t="s">
        <v>1540</v>
      </c>
      <c r="H3241" s="247" t="s">
        <v>397</v>
      </c>
      <c r="I3241" s="247" t="s">
        <v>2361</v>
      </c>
      <c r="J3241" s="247">
        <v>60</v>
      </c>
      <c r="K3241" s="247">
        <v>60</v>
      </c>
      <c r="L3241" s="249" t="s">
        <v>652</v>
      </c>
      <c r="M3241" s="249" t="s">
        <v>933</v>
      </c>
      <c r="N3241" s="248">
        <v>3236.5</v>
      </c>
      <c r="O3241" s="248">
        <v>3236.5</v>
      </c>
      <c r="P3241" s="247" t="s">
        <v>1541</v>
      </c>
      <c r="Q3241" s="247" t="s">
        <v>86</v>
      </c>
    </row>
    <row r="3242" spans="1:17" x14ac:dyDescent="0.25">
      <c r="A3242" s="247" t="s">
        <v>646</v>
      </c>
      <c r="B3242" s="247" t="s">
        <v>265</v>
      </c>
      <c r="C3242" s="247" t="s">
        <v>1492</v>
      </c>
      <c r="D3242" s="247" t="s">
        <v>823</v>
      </c>
      <c r="E3242" s="247" t="s">
        <v>569</v>
      </c>
      <c r="F3242" s="247" t="s">
        <v>2360</v>
      </c>
      <c r="G3242" s="247" t="s">
        <v>1540</v>
      </c>
      <c r="H3242" s="247" t="s">
        <v>397</v>
      </c>
      <c r="I3242" s="247" t="s">
        <v>2361</v>
      </c>
      <c r="J3242" s="247">
        <v>60</v>
      </c>
      <c r="K3242" s="247">
        <v>60</v>
      </c>
      <c r="L3242" s="249" t="s">
        <v>789</v>
      </c>
      <c r="M3242" s="249" t="s">
        <v>929</v>
      </c>
      <c r="N3242" s="248">
        <v>4324.1400000000003</v>
      </c>
      <c r="O3242" s="248">
        <v>4324.1400000000003</v>
      </c>
      <c r="P3242" s="247" t="s">
        <v>1541</v>
      </c>
      <c r="Q3242" s="247" t="s">
        <v>87</v>
      </c>
    </row>
    <row r="3243" spans="1:17" x14ac:dyDescent="0.25">
      <c r="A3243" s="247" t="s">
        <v>646</v>
      </c>
      <c r="B3243" s="247" t="s">
        <v>265</v>
      </c>
      <c r="C3243" s="247" t="s">
        <v>1492</v>
      </c>
      <c r="D3243" s="247" t="s">
        <v>823</v>
      </c>
      <c r="E3243" s="247" t="s">
        <v>569</v>
      </c>
      <c r="F3243" s="247" t="s">
        <v>2360</v>
      </c>
      <c r="G3243" s="247" t="s">
        <v>1540</v>
      </c>
      <c r="H3243" s="247" t="s">
        <v>397</v>
      </c>
      <c r="I3243" s="247" t="s">
        <v>2361</v>
      </c>
      <c r="J3243" s="247">
        <v>60</v>
      </c>
      <c r="K3243" s="247">
        <v>60</v>
      </c>
      <c r="L3243" s="249" t="s">
        <v>791</v>
      </c>
      <c r="M3243" s="249" t="s">
        <v>929</v>
      </c>
      <c r="N3243" s="248">
        <v>3425.59</v>
      </c>
      <c r="O3243" s="248">
        <v>7749.73</v>
      </c>
      <c r="P3243" s="247" t="s">
        <v>1541</v>
      </c>
      <c r="Q3243" s="247" t="s">
        <v>88</v>
      </c>
    </row>
    <row r="3244" spans="1:17" x14ac:dyDescent="0.25">
      <c r="A3244" s="247" t="s">
        <v>646</v>
      </c>
      <c r="B3244" s="247" t="s">
        <v>265</v>
      </c>
      <c r="C3244" s="247" t="s">
        <v>1492</v>
      </c>
      <c r="D3244" s="247" t="s">
        <v>823</v>
      </c>
      <c r="E3244" s="247" t="s">
        <v>569</v>
      </c>
      <c r="F3244" s="247" t="s">
        <v>2360</v>
      </c>
      <c r="G3244" s="247" t="s">
        <v>1540</v>
      </c>
      <c r="H3244" s="247" t="s">
        <v>397</v>
      </c>
      <c r="I3244" s="247" t="s">
        <v>2361</v>
      </c>
      <c r="J3244" s="247">
        <v>60</v>
      </c>
      <c r="K3244" s="247">
        <v>60</v>
      </c>
      <c r="L3244" s="249" t="s">
        <v>935</v>
      </c>
      <c r="M3244" s="249" t="s">
        <v>929</v>
      </c>
      <c r="N3244" s="248">
        <v>610.70000000000005</v>
      </c>
      <c r="O3244" s="248">
        <v>8360.43</v>
      </c>
      <c r="P3244" s="247" t="s">
        <v>1541</v>
      </c>
      <c r="Q3244" s="247" t="s">
        <v>89</v>
      </c>
    </row>
    <row r="3245" spans="1:17" x14ac:dyDescent="0.25">
      <c r="A3245" s="247" t="s">
        <v>646</v>
      </c>
      <c r="B3245" s="247" t="s">
        <v>265</v>
      </c>
      <c r="C3245" s="247" t="s">
        <v>1492</v>
      </c>
      <c r="D3245" s="247" t="s">
        <v>823</v>
      </c>
      <c r="E3245" s="247" t="s">
        <v>569</v>
      </c>
      <c r="F3245" s="247" t="s">
        <v>2360</v>
      </c>
      <c r="G3245" s="247" t="s">
        <v>1540</v>
      </c>
      <c r="H3245" s="247" t="s">
        <v>397</v>
      </c>
      <c r="I3245" s="247" t="s">
        <v>2361</v>
      </c>
      <c r="J3245" s="247">
        <v>60</v>
      </c>
      <c r="K3245" s="247">
        <v>60</v>
      </c>
      <c r="L3245" s="249" t="s">
        <v>936</v>
      </c>
      <c r="M3245" s="249" t="s">
        <v>929</v>
      </c>
      <c r="N3245" s="248">
        <v>634.96</v>
      </c>
      <c r="O3245" s="248">
        <v>8995.39</v>
      </c>
      <c r="P3245" s="247" t="s">
        <v>1541</v>
      </c>
      <c r="Q3245" s="247" t="s">
        <v>90</v>
      </c>
    </row>
    <row r="3246" spans="1:17" x14ac:dyDescent="0.25">
      <c r="A3246" s="247" t="s">
        <v>646</v>
      </c>
      <c r="B3246" s="247" t="s">
        <v>265</v>
      </c>
      <c r="C3246" s="247" t="s">
        <v>1492</v>
      </c>
      <c r="D3246" s="247" t="s">
        <v>823</v>
      </c>
      <c r="E3246" s="247" t="s">
        <v>569</v>
      </c>
      <c r="F3246" s="247" t="s">
        <v>2360</v>
      </c>
      <c r="G3246" s="247" t="s">
        <v>1540</v>
      </c>
      <c r="H3246" s="247" t="s">
        <v>397</v>
      </c>
      <c r="I3246" s="247" t="s">
        <v>2361</v>
      </c>
      <c r="J3246" s="247">
        <v>60</v>
      </c>
      <c r="K3246" s="247">
        <v>60</v>
      </c>
      <c r="L3246" s="249" t="s">
        <v>937</v>
      </c>
      <c r="M3246" s="249" t="s">
        <v>929</v>
      </c>
      <c r="N3246" s="248">
        <v>950.03</v>
      </c>
      <c r="O3246" s="248">
        <v>9945.42</v>
      </c>
      <c r="P3246" s="247" t="s">
        <v>1541</v>
      </c>
      <c r="Q3246" s="247" t="s">
        <v>91</v>
      </c>
    </row>
    <row r="3247" spans="1:17" x14ac:dyDescent="0.25">
      <c r="A3247" s="247" t="s">
        <v>646</v>
      </c>
      <c r="B3247" s="247" t="s">
        <v>265</v>
      </c>
      <c r="C3247" s="247" t="s">
        <v>1492</v>
      </c>
      <c r="D3247" s="247" t="s">
        <v>823</v>
      </c>
      <c r="E3247" s="247" t="s">
        <v>569</v>
      </c>
      <c r="F3247" s="247" t="s">
        <v>2360</v>
      </c>
      <c r="G3247" s="247" t="s">
        <v>1540</v>
      </c>
      <c r="H3247" s="247" t="s">
        <v>397</v>
      </c>
      <c r="I3247" s="247" t="s">
        <v>2361</v>
      </c>
      <c r="J3247" s="247">
        <v>60</v>
      </c>
      <c r="K3247" s="247">
        <v>60</v>
      </c>
      <c r="L3247" s="249" t="s">
        <v>938</v>
      </c>
      <c r="M3247" s="249" t="s">
        <v>929</v>
      </c>
      <c r="N3247" s="248">
        <v>744.91</v>
      </c>
      <c r="O3247" s="248">
        <v>10690.33</v>
      </c>
      <c r="P3247" s="247" t="s">
        <v>1541</v>
      </c>
      <c r="Q3247" s="247" t="s">
        <v>92</v>
      </c>
    </row>
    <row r="3248" spans="1:17" x14ac:dyDescent="0.25">
      <c r="A3248" s="247" t="s">
        <v>646</v>
      </c>
      <c r="B3248" s="247" t="s">
        <v>265</v>
      </c>
      <c r="C3248" s="247" t="s">
        <v>1492</v>
      </c>
      <c r="D3248" s="247" t="s">
        <v>823</v>
      </c>
      <c r="E3248" s="247" t="s">
        <v>569</v>
      </c>
      <c r="F3248" s="247" t="s">
        <v>2360</v>
      </c>
      <c r="G3248" s="247" t="s">
        <v>1540</v>
      </c>
      <c r="H3248" s="247" t="s">
        <v>397</v>
      </c>
      <c r="I3248" s="247" t="s">
        <v>2361</v>
      </c>
      <c r="J3248" s="247">
        <v>60</v>
      </c>
      <c r="K3248" s="247">
        <v>60</v>
      </c>
      <c r="L3248" s="249" t="s">
        <v>939</v>
      </c>
      <c r="M3248" s="249" t="s">
        <v>929</v>
      </c>
      <c r="N3248" s="248">
        <v>912.15</v>
      </c>
      <c r="O3248" s="248">
        <v>11602.48</v>
      </c>
      <c r="P3248" s="247" t="s">
        <v>1541</v>
      </c>
      <c r="Q3248" s="247" t="s">
        <v>93</v>
      </c>
    </row>
    <row r="3249" spans="1:17" x14ac:dyDescent="0.25">
      <c r="A3249" s="247" t="s">
        <v>646</v>
      </c>
      <c r="B3249" s="247" t="s">
        <v>265</v>
      </c>
      <c r="C3249" s="247" t="s">
        <v>1492</v>
      </c>
      <c r="D3249" s="247" t="s">
        <v>823</v>
      </c>
      <c r="E3249" s="247" t="s">
        <v>569</v>
      </c>
      <c r="F3249" s="247" t="s">
        <v>2360</v>
      </c>
      <c r="G3249" s="247" t="s">
        <v>1540</v>
      </c>
      <c r="H3249" s="247" t="s">
        <v>397</v>
      </c>
      <c r="I3249" s="247" t="s">
        <v>2361</v>
      </c>
      <c r="J3249" s="247">
        <v>60</v>
      </c>
      <c r="K3249" s="247">
        <v>60</v>
      </c>
      <c r="L3249" s="249" t="s">
        <v>940</v>
      </c>
      <c r="M3249" s="249" t="s">
        <v>929</v>
      </c>
      <c r="N3249" s="248">
        <v>1266.3900000000001</v>
      </c>
      <c r="O3249" s="248">
        <v>12868.87</v>
      </c>
      <c r="P3249" s="247" t="s">
        <v>1541</v>
      </c>
      <c r="Q3249" s="247" t="s">
        <v>94</v>
      </c>
    </row>
    <row r="3250" spans="1:17" x14ac:dyDescent="0.25">
      <c r="A3250" s="247" t="s">
        <v>646</v>
      </c>
      <c r="B3250" s="247" t="s">
        <v>265</v>
      </c>
      <c r="C3250" s="247" t="s">
        <v>1492</v>
      </c>
      <c r="D3250" s="247" t="s">
        <v>823</v>
      </c>
      <c r="E3250" s="247" t="s">
        <v>569</v>
      </c>
      <c r="F3250" s="247" t="s">
        <v>2360</v>
      </c>
      <c r="G3250" s="247" t="s">
        <v>1540</v>
      </c>
      <c r="H3250" s="247" t="s">
        <v>397</v>
      </c>
      <c r="I3250" s="247" t="s">
        <v>2361</v>
      </c>
      <c r="J3250" s="247">
        <v>60</v>
      </c>
      <c r="K3250" s="247">
        <v>60</v>
      </c>
      <c r="L3250" s="249" t="s">
        <v>642</v>
      </c>
      <c r="M3250" s="249" t="s">
        <v>929</v>
      </c>
      <c r="N3250" s="248">
        <v>1942.59</v>
      </c>
      <c r="O3250" s="248">
        <v>14811.46</v>
      </c>
      <c r="P3250" s="247" t="s">
        <v>1541</v>
      </c>
      <c r="Q3250" s="247" t="s">
        <v>95</v>
      </c>
    </row>
    <row r="3251" spans="1:17" x14ac:dyDescent="0.25">
      <c r="A3251" s="247" t="s">
        <v>646</v>
      </c>
      <c r="B3251" s="247" t="s">
        <v>265</v>
      </c>
      <c r="C3251" s="247" t="s">
        <v>1492</v>
      </c>
      <c r="D3251" s="247" t="s">
        <v>509</v>
      </c>
      <c r="E3251" s="247" t="s">
        <v>569</v>
      </c>
      <c r="F3251" s="247" t="s">
        <v>2362</v>
      </c>
      <c r="G3251" s="247" t="s">
        <v>1542</v>
      </c>
      <c r="H3251" s="247" t="s">
        <v>397</v>
      </c>
      <c r="I3251" s="247" t="s">
        <v>2363</v>
      </c>
      <c r="J3251" s="247">
        <v>61</v>
      </c>
      <c r="K3251" s="247">
        <v>61</v>
      </c>
      <c r="L3251" s="249" t="s">
        <v>791</v>
      </c>
      <c r="M3251" s="249" t="s">
        <v>929</v>
      </c>
      <c r="N3251" s="248">
        <v>847.13</v>
      </c>
      <c r="O3251" s="248">
        <v>847.13</v>
      </c>
      <c r="P3251" s="247" t="s">
        <v>1543</v>
      </c>
      <c r="Q3251" s="247" t="s">
        <v>88</v>
      </c>
    </row>
    <row r="3252" spans="1:17" x14ac:dyDescent="0.25">
      <c r="A3252" s="247" t="s">
        <v>646</v>
      </c>
      <c r="B3252" s="247" t="s">
        <v>265</v>
      </c>
      <c r="C3252" s="247" t="s">
        <v>1492</v>
      </c>
      <c r="D3252" s="247" t="s">
        <v>509</v>
      </c>
      <c r="E3252" s="247" t="s">
        <v>569</v>
      </c>
      <c r="F3252" s="247" t="s">
        <v>2362</v>
      </c>
      <c r="G3252" s="247" t="s">
        <v>1542</v>
      </c>
      <c r="H3252" s="247" t="s">
        <v>397</v>
      </c>
      <c r="I3252" s="247" t="s">
        <v>2363</v>
      </c>
      <c r="J3252" s="247">
        <v>61</v>
      </c>
      <c r="K3252" s="247">
        <v>61</v>
      </c>
      <c r="L3252" s="249" t="s">
        <v>935</v>
      </c>
      <c r="M3252" s="249" t="s">
        <v>929</v>
      </c>
      <c r="N3252" s="248">
        <v>173.76</v>
      </c>
      <c r="O3252" s="248">
        <v>1020.89</v>
      </c>
      <c r="P3252" s="247" t="s">
        <v>1543</v>
      </c>
      <c r="Q3252" s="247" t="s">
        <v>89</v>
      </c>
    </row>
    <row r="3253" spans="1:17" x14ac:dyDescent="0.25">
      <c r="A3253" s="247" t="s">
        <v>646</v>
      </c>
      <c r="B3253" s="247" t="s">
        <v>265</v>
      </c>
      <c r="C3253" s="247" t="s">
        <v>1492</v>
      </c>
      <c r="D3253" s="247" t="s">
        <v>509</v>
      </c>
      <c r="E3253" s="247" t="s">
        <v>569</v>
      </c>
      <c r="F3253" s="247" t="s">
        <v>2362</v>
      </c>
      <c r="G3253" s="247" t="s">
        <v>1542</v>
      </c>
      <c r="H3253" s="247" t="s">
        <v>397</v>
      </c>
      <c r="I3253" s="247" t="s">
        <v>2363</v>
      </c>
      <c r="J3253" s="247">
        <v>61</v>
      </c>
      <c r="K3253" s="247">
        <v>61</v>
      </c>
      <c r="L3253" s="249" t="s">
        <v>936</v>
      </c>
      <c r="M3253" s="249" t="s">
        <v>929</v>
      </c>
      <c r="N3253" s="248">
        <v>0</v>
      </c>
      <c r="O3253" s="248">
        <v>1020.89</v>
      </c>
      <c r="P3253" s="247" t="s">
        <v>1543</v>
      </c>
      <c r="Q3253" s="247" t="s">
        <v>90</v>
      </c>
    </row>
    <row r="3254" spans="1:17" x14ac:dyDescent="0.25">
      <c r="A3254" s="247" t="s">
        <v>646</v>
      </c>
      <c r="B3254" s="247" t="s">
        <v>265</v>
      </c>
      <c r="C3254" s="247" t="s">
        <v>1492</v>
      </c>
      <c r="D3254" s="247" t="s">
        <v>509</v>
      </c>
      <c r="E3254" s="247" t="s">
        <v>569</v>
      </c>
      <c r="F3254" s="247" t="s">
        <v>2362</v>
      </c>
      <c r="G3254" s="247" t="s">
        <v>1542</v>
      </c>
      <c r="H3254" s="247" t="s">
        <v>397</v>
      </c>
      <c r="I3254" s="247" t="s">
        <v>2363</v>
      </c>
      <c r="J3254" s="247">
        <v>61</v>
      </c>
      <c r="K3254" s="247">
        <v>61</v>
      </c>
      <c r="L3254" s="249" t="s">
        <v>937</v>
      </c>
      <c r="M3254" s="249" t="s">
        <v>929</v>
      </c>
      <c r="N3254" s="248">
        <v>0</v>
      </c>
      <c r="O3254" s="248">
        <v>1020.89</v>
      </c>
      <c r="P3254" s="247" t="s">
        <v>1543</v>
      </c>
      <c r="Q3254" s="247" t="s">
        <v>91</v>
      </c>
    </row>
    <row r="3255" spans="1:17" x14ac:dyDescent="0.25">
      <c r="A3255" s="247" t="s">
        <v>646</v>
      </c>
      <c r="B3255" s="247" t="s">
        <v>265</v>
      </c>
      <c r="C3255" s="247" t="s">
        <v>1492</v>
      </c>
      <c r="D3255" s="247" t="s">
        <v>509</v>
      </c>
      <c r="E3255" s="247" t="s">
        <v>569</v>
      </c>
      <c r="F3255" s="247" t="s">
        <v>2362</v>
      </c>
      <c r="G3255" s="247" t="s">
        <v>1542</v>
      </c>
      <c r="H3255" s="247" t="s">
        <v>397</v>
      </c>
      <c r="I3255" s="247" t="s">
        <v>2363</v>
      </c>
      <c r="J3255" s="247">
        <v>61</v>
      </c>
      <c r="K3255" s="247">
        <v>61</v>
      </c>
      <c r="L3255" s="249" t="s">
        <v>938</v>
      </c>
      <c r="M3255" s="249" t="s">
        <v>929</v>
      </c>
      <c r="N3255" s="248">
        <v>0</v>
      </c>
      <c r="O3255" s="248">
        <v>1020.89</v>
      </c>
      <c r="P3255" s="247" t="s">
        <v>1543</v>
      </c>
      <c r="Q3255" s="247" t="s">
        <v>92</v>
      </c>
    </row>
    <row r="3256" spans="1:17" x14ac:dyDescent="0.25">
      <c r="A3256" s="247" t="s">
        <v>646</v>
      </c>
      <c r="B3256" s="247" t="s">
        <v>265</v>
      </c>
      <c r="C3256" s="247" t="s">
        <v>1492</v>
      </c>
      <c r="D3256" s="247" t="s">
        <v>509</v>
      </c>
      <c r="E3256" s="247" t="s">
        <v>569</v>
      </c>
      <c r="F3256" s="247" t="s">
        <v>2362</v>
      </c>
      <c r="G3256" s="247" t="s">
        <v>1542</v>
      </c>
      <c r="H3256" s="247" t="s">
        <v>397</v>
      </c>
      <c r="I3256" s="247" t="s">
        <v>2363</v>
      </c>
      <c r="J3256" s="247">
        <v>61</v>
      </c>
      <c r="K3256" s="247">
        <v>61</v>
      </c>
      <c r="L3256" s="249" t="s">
        <v>939</v>
      </c>
      <c r="M3256" s="249" t="s">
        <v>929</v>
      </c>
      <c r="N3256" s="248">
        <v>81.45</v>
      </c>
      <c r="O3256" s="248">
        <v>1102.3399999999999</v>
      </c>
      <c r="P3256" s="247" t="s">
        <v>1543</v>
      </c>
      <c r="Q3256" s="247" t="s">
        <v>93</v>
      </c>
    </row>
    <row r="3257" spans="1:17" x14ac:dyDescent="0.25">
      <c r="A3257" s="247" t="s">
        <v>646</v>
      </c>
      <c r="B3257" s="247" t="s">
        <v>265</v>
      </c>
      <c r="C3257" s="247" t="s">
        <v>1492</v>
      </c>
      <c r="D3257" s="247" t="s">
        <v>509</v>
      </c>
      <c r="E3257" s="247" t="s">
        <v>569</v>
      </c>
      <c r="F3257" s="247" t="s">
        <v>2362</v>
      </c>
      <c r="G3257" s="247" t="s">
        <v>1542</v>
      </c>
      <c r="H3257" s="247" t="s">
        <v>397</v>
      </c>
      <c r="I3257" s="247" t="s">
        <v>2363</v>
      </c>
      <c r="J3257" s="247">
        <v>61</v>
      </c>
      <c r="K3257" s="247">
        <v>61</v>
      </c>
      <c r="L3257" s="249" t="s">
        <v>940</v>
      </c>
      <c r="M3257" s="249" t="s">
        <v>929</v>
      </c>
      <c r="N3257" s="248">
        <v>81.45</v>
      </c>
      <c r="O3257" s="248">
        <v>1183.79</v>
      </c>
      <c r="P3257" s="247" t="s">
        <v>1543</v>
      </c>
      <c r="Q3257" s="247" t="s">
        <v>94</v>
      </c>
    </row>
    <row r="3258" spans="1:17" x14ac:dyDescent="0.25">
      <c r="A3258" s="247" t="s">
        <v>646</v>
      </c>
      <c r="B3258" s="247" t="s">
        <v>265</v>
      </c>
      <c r="C3258" s="247" t="s">
        <v>1492</v>
      </c>
      <c r="D3258" s="247" t="s">
        <v>509</v>
      </c>
      <c r="E3258" s="247" t="s">
        <v>569</v>
      </c>
      <c r="F3258" s="247" t="s">
        <v>2362</v>
      </c>
      <c r="G3258" s="247" t="s">
        <v>1542</v>
      </c>
      <c r="H3258" s="247" t="s">
        <v>397</v>
      </c>
      <c r="I3258" s="247" t="s">
        <v>2363</v>
      </c>
      <c r="J3258" s="247">
        <v>61</v>
      </c>
      <c r="K3258" s="247">
        <v>61</v>
      </c>
      <c r="L3258" s="249" t="s">
        <v>642</v>
      </c>
      <c r="M3258" s="249" t="s">
        <v>929</v>
      </c>
      <c r="N3258" s="248">
        <v>0</v>
      </c>
      <c r="O3258" s="248">
        <v>1183.79</v>
      </c>
      <c r="P3258" s="247" t="s">
        <v>1543</v>
      </c>
      <c r="Q3258" s="247" t="s">
        <v>95</v>
      </c>
    </row>
    <row r="3259" spans="1:17" x14ac:dyDescent="0.25">
      <c r="A3259" s="247" t="s">
        <v>646</v>
      </c>
      <c r="B3259" s="247" t="s">
        <v>265</v>
      </c>
      <c r="C3259" s="247" t="s">
        <v>1492</v>
      </c>
      <c r="D3259" s="247" t="s">
        <v>1507</v>
      </c>
      <c r="E3259" s="247" t="s">
        <v>569</v>
      </c>
      <c r="F3259" s="247" t="s">
        <v>2364</v>
      </c>
      <c r="G3259" s="247" t="s">
        <v>1508</v>
      </c>
      <c r="H3259" s="247" t="s">
        <v>397</v>
      </c>
      <c r="I3259" s="247" t="s">
        <v>2365</v>
      </c>
      <c r="J3259" s="247">
        <v>58</v>
      </c>
      <c r="K3259" s="247">
        <v>58</v>
      </c>
      <c r="L3259" s="249" t="s">
        <v>646</v>
      </c>
      <c r="M3259" s="249" t="s">
        <v>933</v>
      </c>
      <c r="N3259" s="248">
        <v>874.23</v>
      </c>
      <c r="O3259" s="248">
        <v>874.23</v>
      </c>
      <c r="P3259" s="247" t="s">
        <v>1544</v>
      </c>
      <c r="Q3259" s="247" t="s">
        <v>84</v>
      </c>
    </row>
    <row r="3260" spans="1:17" x14ac:dyDescent="0.25">
      <c r="A3260" s="247" t="s">
        <v>646</v>
      </c>
      <c r="B3260" s="247" t="s">
        <v>265</v>
      </c>
      <c r="C3260" s="247" t="s">
        <v>1492</v>
      </c>
      <c r="D3260" s="247" t="s">
        <v>1507</v>
      </c>
      <c r="E3260" s="247" t="s">
        <v>569</v>
      </c>
      <c r="F3260" s="247" t="s">
        <v>2364</v>
      </c>
      <c r="G3260" s="247" t="s">
        <v>1508</v>
      </c>
      <c r="H3260" s="247" t="s">
        <v>397</v>
      </c>
      <c r="I3260" s="247" t="s">
        <v>2365</v>
      </c>
      <c r="J3260" s="247">
        <v>58</v>
      </c>
      <c r="K3260" s="247">
        <v>58</v>
      </c>
      <c r="L3260" s="249" t="s">
        <v>650</v>
      </c>
      <c r="M3260" s="249" t="s">
        <v>933</v>
      </c>
      <c r="N3260" s="248">
        <v>304.08</v>
      </c>
      <c r="O3260" s="248">
        <v>1178.31</v>
      </c>
      <c r="P3260" s="247" t="s">
        <v>1544</v>
      </c>
      <c r="Q3260" s="247" t="s">
        <v>85</v>
      </c>
    </row>
    <row r="3261" spans="1:17" x14ac:dyDescent="0.25">
      <c r="A3261" s="247" t="s">
        <v>646</v>
      </c>
      <c r="B3261" s="247" t="s">
        <v>265</v>
      </c>
      <c r="C3261" s="247" t="s">
        <v>1492</v>
      </c>
      <c r="D3261" s="247" t="s">
        <v>1507</v>
      </c>
      <c r="E3261" s="247" t="s">
        <v>569</v>
      </c>
      <c r="F3261" s="247" t="s">
        <v>2364</v>
      </c>
      <c r="G3261" s="247" t="s">
        <v>1508</v>
      </c>
      <c r="H3261" s="247" t="s">
        <v>397</v>
      </c>
      <c r="I3261" s="247" t="s">
        <v>2365</v>
      </c>
      <c r="J3261" s="247">
        <v>58</v>
      </c>
      <c r="K3261" s="247">
        <v>58</v>
      </c>
      <c r="L3261" s="249" t="s">
        <v>652</v>
      </c>
      <c r="M3261" s="249" t="s">
        <v>933</v>
      </c>
      <c r="N3261" s="248">
        <v>342.09</v>
      </c>
      <c r="O3261" s="248">
        <v>1520.4</v>
      </c>
      <c r="P3261" s="247" t="s">
        <v>1544</v>
      </c>
      <c r="Q3261" s="247" t="s">
        <v>86</v>
      </c>
    </row>
    <row r="3262" spans="1:17" x14ac:dyDescent="0.25">
      <c r="A3262" s="247" t="s">
        <v>646</v>
      </c>
      <c r="B3262" s="247" t="s">
        <v>265</v>
      </c>
      <c r="C3262" s="247" t="s">
        <v>1492</v>
      </c>
      <c r="D3262" s="247" t="s">
        <v>1507</v>
      </c>
      <c r="E3262" s="247" t="s">
        <v>569</v>
      </c>
      <c r="F3262" s="247" t="s">
        <v>2364</v>
      </c>
      <c r="G3262" s="247" t="s">
        <v>1508</v>
      </c>
      <c r="H3262" s="247" t="s">
        <v>397</v>
      </c>
      <c r="I3262" s="247" t="s">
        <v>2365</v>
      </c>
      <c r="J3262" s="247">
        <v>58</v>
      </c>
      <c r="K3262" s="247">
        <v>58</v>
      </c>
      <c r="L3262" s="249" t="s">
        <v>789</v>
      </c>
      <c r="M3262" s="249" t="s">
        <v>929</v>
      </c>
      <c r="N3262" s="248">
        <v>646.16999999999996</v>
      </c>
      <c r="O3262" s="248">
        <v>646.16999999999996</v>
      </c>
      <c r="P3262" s="247" t="s">
        <v>1544</v>
      </c>
      <c r="Q3262" s="247" t="s">
        <v>87</v>
      </c>
    </row>
    <row r="3263" spans="1:17" x14ac:dyDescent="0.25">
      <c r="A3263" s="247" t="s">
        <v>646</v>
      </c>
      <c r="B3263" s="247" t="s">
        <v>265</v>
      </c>
      <c r="C3263" s="247" t="s">
        <v>1492</v>
      </c>
      <c r="D3263" s="247" t="s">
        <v>1507</v>
      </c>
      <c r="E3263" s="247" t="s">
        <v>569</v>
      </c>
      <c r="F3263" s="247" t="s">
        <v>2364</v>
      </c>
      <c r="G3263" s="247" t="s">
        <v>1508</v>
      </c>
      <c r="H3263" s="247" t="s">
        <v>397</v>
      </c>
      <c r="I3263" s="247" t="s">
        <v>2365</v>
      </c>
      <c r="J3263" s="247">
        <v>58</v>
      </c>
      <c r="K3263" s="247">
        <v>58</v>
      </c>
      <c r="L3263" s="249" t="s">
        <v>791</v>
      </c>
      <c r="M3263" s="249" t="s">
        <v>929</v>
      </c>
      <c r="N3263" s="248">
        <v>760.2</v>
      </c>
      <c r="O3263" s="248">
        <v>1406.37</v>
      </c>
      <c r="P3263" s="247" t="s">
        <v>1544</v>
      </c>
      <c r="Q3263" s="247" t="s">
        <v>88</v>
      </c>
    </row>
    <row r="3264" spans="1:17" x14ac:dyDescent="0.25">
      <c r="A3264" s="247" t="s">
        <v>646</v>
      </c>
      <c r="B3264" s="247" t="s">
        <v>265</v>
      </c>
      <c r="C3264" s="247" t="s">
        <v>1492</v>
      </c>
      <c r="D3264" s="247" t="s">
        <v>1507</v>
      </c>
      <c r="E3264" s="247" t="s">
        <v>569</v>
      </c>
      <c r="F3264" s="247" t="s">
        <v>2364</v>
      </c>
      <c r="G3264" s="247" t="s">
        <v>1508</v>
      </c>
      <c r="H3264" s="247" t="s">
        <v>397</v>
      </c>
      <c r="I3264" s="247" t="s">
        <v>2365</v>
      </c>
      <c r="J3264" s="247">
        <v>58</v>
      </c>
      <c r="K3264" s="247">
        <v>58</v>
      </c>
      <c r="L3264" s="249" t="s">
        <v>935</v>
      </c>
      <c r="M3264" s="249" t="s">
        <v>929</v>
      </c>
      <c r="N3264" s="248">
        <v>418.11</v>
      </c>
      <c r="O3264" s="248">
        <v>1824.48</v>
      </c>
      <c r="P3264" s="247" t="s">
        <v>1544</v>
      </c>
      <c r="Q3264" s="247" t="s">
        <v>89</v>
      </c>
    </row>
    <row r="3265" spans="1:17" x14ac:dyDescent="0.25">
      <c r="A3265" s="247" t="s">
        <v>646</v>
      </c>
      <c r="B3265" s="247" t="s">
        <v>265</v>
      </c>
      <c r="C3265" s="247" t="s">
        <v>1492</v>
      </c>
      <c r="D3265" s="247" t="s">
        <v>1507</v>
      </c>
      <c r="E3265" s="247" t="s">
        <v>569</v>
      </c>
      <c r="F3265" s="247" t="s">
        <v>2364</v>
      </c>
      <c r="G3265" s="247" t="s">
        <v>1508</v>
      </c>
      <c r="H3265" s="247" t="s">
        <v>397</v>
      </c>
      <c r="I3265" s="247" t="s">
        <v>2365</v>
      </c>
      <c r="J3265" s="247">
        <v>58</v>
      </c>
      <c r="K3265" s="247">
        <v>58</v>
      </c>
      <c r="L3265" s="249" t="s">
        <v>936</v>
      </c>
      <c r="M3265" s="249" t="s">
        <v>929</v>
      </c>
      <c r="N3265" s="248">
        <v>722.19</v>
      </c>
      <c r="O3265" s="248">
        <v>2546.67</v>
      </c>
      <c r="P3265" s="247" t="s">
        <v>1544</v>
      </c>
      <c r="Q3265" s="247" t="s">
        <v>90</v>
      </c>
    </row>
    <row r="3266" spans="1:17" x14ac:dyDescent="0.25">
      <c r="A3266" s="247" t="s">
        <v>646</v>
      </c>
      <c r="B3266" s="247" t="s">
        <v>265</v>
      </c>
      <c r="C3266" s="247" t="s">
        <v>1492</v>
      </c>
      <c r="D3266" s="247" t="s">
        <v>1507</v>
      </c>
      <c r="E3266" s="247" t="s">
        <v>569</v>
      </c>
      <c r="F3266" s="247" t="s">
        <v>2364</v>
      </c>
      <c r="G3266" s="247" t="s">
        <v>1508</v>
      </c>
      <c r="H3266" s="247" t="s">
        <v>397</v>
      </c>
      <c r="I3266" s="247" t="s">
        <v>2365</v>
      </c>
      <c r="J3266" s="247">
        <v>58</v>
      </c>
      <c r="K3266" s="247">
        <v>58</v>
      </c>
      <c r="L3266" s="249" t="s">
        <v>937</v>
      </c>
      <c r="M3266" s="249" t="s">
        <v>929</v>
      </c>
      <c r="N3266" s="248">
        <v>608.16</v>
      </c>
      <c r="O3266" s="248">
        <v>3154.83</v>
      </c>
      <c r="P3266" s="247" t="s">
        <v>1544</v>
      </c>
      <c r="Q3266" s="247" t="s">
        <v>91</v>
      </c>
    </row>
    <row r="3267" spans="1:17" x14ac:dyDescent="0.25">
      <c r="A3267" s="247" t="s">
        <v>646</v>
      </c>
      <c r="B3267" s="247" t="s">
        <v>265</v>
      </c>
      <c r="C3267" s="247" t="s">
        <v>1492</v>
      </c>
      <c r="D3267" s="247" t="s">
        <v>1507</v>
      </c>
      <c r="E3267" s="247" t="s">
        <v>569</v>
      </c>
      <c r="F3267" s="247" t="s">
        <v>2364</v>
      </c>
      <c r="G3267" s="247" t="s">
        <v>1508</v>
      </c>
      <c r="H3267" s="247" t="s">
        <v>397</v>
      </c>
      <c r="I3267" s="247" t="s">
        <v>2365</v>
      </c>
      <c r="J3267" s="247">
        <v>58</v>
      </c>
      <c r="K3267" s="247">
        <v>58</v>
      </c>
      <c r="L3267" s="249" t="s">
        <v>938</v>
      </c>
      <c r="M3267" s="249" t="s">
        <v>929</v>
      </c>
      <c r="N3267" s="248">
        <v>646.16999999999996</v>
      </c>
      <c r="O3267" s="248">
        <v>3801</v>
      </c>
      <c r="P3267" s="247" t="s">
        <v>1544</v>
      </c>
      <c r="Q3267" s="247" t="s">
        <v>92</v>
      </c>
    </row>
    <row r="3268" spans="1:17" x14ac:dyDescent="0.25">
      <c r="A3268" s="247" t="s">
        <v>646</v>
      </c>
      <c r="B3268" s="247" t="s">
        <v>265</v>
      </c>
      <c r="C3268" s="247" t="s">
        <v>1492</v>
      </c>
      <c r="D3268" s="247" t="s">
        <v>1507</v>
      </c>
      <c r="E3268" s="247" t="s">
        <v>569</v>
      </c>
      <c r="F3268" s="247" t="s">
        <v>2364</v>
      </c>
      <c r="G3268" s="247" t="s">
        <v>1508</v>
      </c>
      <c r="H3268" s="247" t="s">
        <v>397</v>
      </c>
      <c r="I3268" s="247" t="s">
        <v>2365</v>
      </c>
      <c r="J3268" s="247">
        <v>58</v>
      </c>
      <c r="K3268" s="247">
        <v>58</v>
      </c>
      <c r="L3268" s="249" t="s">
        <v>939</v>
      </c>
      <c r="M3268" s="249" t="s">
        <v>929</v>
      </c>
      <c r="N3268" s="248">
        <v>0</v>
      </c>
      <c r="O3268" s="248">
        <v>3801</v>
      </c>
      <c r="P3268" s="247" t="s">
        <v>1544</v>
      </c>
      <c r="Q3268" s="247" t="s">
        <v>93</v>
      </c>
    </row>
    <row r="3269" spans="1:17" x14ac:dyDescent="0.25">
      <c r="A3269" s="247" t="s">
        <v>646</v>
      </c>
      <c r="B3269" s="247" t="s">
        <v>265</v>
      </c>
      <c r="C3269" s="247" t="s">
        <v>1492</v>
      </c>
      <c r="D3269" s="247" t="s">
        <v>1507</v>
      </c>
      <c r="E3269" s="247" t="s">
        <v>569</v>
      </c>
      <c r="F3269" s="247" t="s">
        <v>2364</v>
      </c>
      <c r="G3269" s="247" t="s">
        <v>1508</v>
      </c>
      <c r="H3269" s="247" t="s">
        <v>397</v>
      </c>
      <c r="I3269" s="247" t="s">
        <v>2365</v>
      </c>
      <c r="J3269" s="247">
        <v>58</v>
      </c>
      <c r="K3269" s="247">
        <v>58</v>
      </c>
      <c r="L3269" s="249" t="s">
        <v>940</v>
      </c>
      <c r="M3269" s="249" t="s">
        <v>929</v>
      </c>
      <c r="N3269" s="248">
        <v>228.06</v>
      </c>
      <c r="O3269" s="248">
        <v>4029.06</v>
      </c>
      <c r="P3269" s="247" t="s">
        <v>1544</v>
      </c>
      <c r="Q3269" s="247" t="s">
        <v>94</v>
      </c>
    </row>
    <row r="3270" spans="1:17" x14ac:dyDescent="0.25">
      <c r="A3270" s="247" t="s">
        <v>646</v>
      </c>
      <c r="B3270" s="247" t="s">
        <v>265</v>
      </c>
      <c r="C3270" s="247" t="s">
        <v>1492</v>
      </c>
      <c r="D3270" s="247" t="s">
        <v>1507</v>
      </c>
      <c r="E3270" s="247" t="s">
        <v>569</v>
      </c>
      <c r="F3270" s="247" t="s">
        <v>2364</v>
      </c>
      <c r="G3270" s="247" t="s">
        <v>1508</v>
      </c>
      <c r="H3270" s="247" t="s">
        <v>397</v>
      </c>
      <c r="I3270" s="247" t="s">
        <v>2365</v>
      </c>
      <c r="J3270" s="247">
        <v>58</v>
      </c>
      <c r="K3270" s="247">
        <v>58</v>
      </c>
      <c r="L3270" s="249" t="s">
        <v>642</v>
      </c>
      <c r="M3270" s="249" t="s">
        <v>929</v>
      </c>
      <c r="N3270" s="248">
        <v>152.04</v>
      </c>
      <c r="O3270" s="248">
        <v>4181.1000000000004</v>
      </c>
      <c r="P3270" s="247" t="s">
        <v>1544</v>
      </c>
      <c r="Q3270" s="247" t="s">
        <v>95</v>
      </c>
    </row>
    <row r="3271" spans="1:17" x14ac:dyDescent="0.25">
      <c r="A3271" s="247" t="s">
        <v>646</v>
      </c>
      <c r="B3271" s="247" t="s">
        <v>265</v>
      </c>
      <c r="C3271" s="247" t="s">
        <v>1492</v>
      </c>
      <c r="D3271" s="247" t="s">
        <v>926</v>
      </c>
      <c r="E3271" s="247" t="s">
        <v>946</v>
      </c>
      <c r="F3271" s="247" t="s">
        <v>2366</v>
      </c>
      <c r="G3271" s="247" t="s">
        <v>1545</v>
      </c>
      <c r="H3271" s="247" t="s">
        <v>403</v>
      </c>
      <c r="I3271" s="247" t="s">
        <v>2367</v>
      </c>
      <c r="J3271" s="247">
        <v>58</v>
      </c>
      <c r="K3271" s="247">
        <v>58</v>
      </c>
      <c r="L3271" s="249" t="s">
        <v>652</v>
      </c>
      <c r="M3271" s="249" t="s">
        <v>933</v>
      </c>
      <c r="N3271" s="248">
        <v>2785.09</v>
      </c>
      <c r="O3271" s="248">
        <v>2785.09</v>
      </c>
      <c r="P3271" s="247" t="s">
        <v>1546</v>
      </c>
      <c r="Q3271" s="247" t="s">
        <v>86</v>
      </c>
    </row>
    <row r="3272" spans="1:17" x14ac:dyDescent="0.25">
      <c r="A3272" s="247" t="s">
        <v>646</v>
      </c>
      <c r="B3272" s="247" t="s">
        <v>265</v>
      </c>
      <c r="C3272" s="247" t="s">
        <v>1492</v>
      </c>
      <c r="D3272" s="247" t="s">
        <v>926</v>
      </c>
      <c r="E3272" s="247" t="s">
        <v>946</v>
      </c>
      <c r="F3272" s="247" t="s">
        <v>2366</v>
      </c>
      <c r="G3272" s="247" t="s">
        <v>1545</v>
      </c>
      <c r="H3272" s="247" t="s">
        <v>403</v>
      </c>
      <c r="I3272" s="247" t="s">
        <v>2367</v>
      </c>
      <c r="J3272" s="247">
        <v>58</v>
      </c>
      <c r="K3272" s="247">
        <v>58</v>
      </c>
      <c r="L3272" s="249" t="s">
        <v>789</v>
      </c>
      <c r="M3272" s="249" t="s">
        <v>929</v>
      </c>
      <c r="N3272" s="248">
        <v>4593.05</v>
      </c>
      <c r="O3272" s="248">
        <v>4593.05</v>
      </c>
      <c r="P3272" s="247" t="s">
        <v>1546</v>
      </c>
      <c r="Q3272" s="247" t="s">
        <v>87</v>
      </c>
    </row>
    <row r="3273" spans="1:17" x14ac:dyDescent="0.25">
      <c r="A3273" s="247" t="s">
        <v>646</v>
      </c>
      <c r="B3273" s="247" t="s">
        <v>265</v>
      </c>
      <c r="C3273" s="247" t="s">
        <v>1492</v>
      </c>
      <c r="D3273" s="247" t="s">
        <v>926</v>
      </c>
      <c r="E3273" s="247" t="s">
        <v>946</v>
      </c>
      <c r="F3273" s="247" t="s">
        <v>2366</v>
      </c>
      <c r="G3273" s="247" t="s">
        <v>1545</v>
      </c>
      <c r="H3273" s="247" t="s">
        <v>403</v>
      </c>
      <c r="I3273" s="247" t="s">
        <v>2367</v>
      </c>
      <c r="J3273" s="247">
        <v>58</v>
      </c>
      <c r="K3273" s="247">
        <v>58</v>
      </c>
      <c r="L3273" s="249" t="s">
        <v>791</v>
      </c>
      <c r="M3273" s="249" t="s">
        <v>929</v>
      </c>
      <c r="N3273" s="248">
        <v>7040.27</v>
      </c>
      <c r="O3273" s="248">
        <v>11633.32</v>
      </c>
      <c r="P3273" s="247" t="s">
        <v>1546</v>
      </c>
      <c r="Q3273" s="247" t="s">
        <v>88</v>
      </c>
    </row>
    <row r="3274" spans="1:17" x14ac:dyDescent="0.25">
      <c r="A3274" s="247" t="s">
        <v>646</v>
      </c>
      <c r="B3274" s="247" t="s">
        <v>265</v>
      </c>
      <c r="C3274" s="247" t="s">
        <v>1492</v>
      </c>
      <c r="D3274" s="247" t="s">
        <v>926</v>
      </c>
      <c r="E3274" s="247" t="s">
        <v>946</v>
      </c>
      <c r="F3274" s="247" t="s">
        <v>2366</v>
      </c>
      <c r="G3274" s="247" t="s">
        <v>1545</v>
      </c>
      <c r="H3274" s="247" t="s">
        <v>403</v>
      </c>
      <c r="I3274" s="247" t="s">
        <v>2367</v>
      </c>
      <c r="J3274" s="247">
        <v>58</v>
      </c>
      <c r="K3274" s="247">
        <v>58</v>
      </c>
      <c r="L3274" s="249" t="s">
        <v>935</v>
      </c>
      <c r="M3274" s="249" t="s">
        <v>929</v>
      </c>
      <c r="N3274" s="248">
        <v>4691.8</v>
      </c>
      <c r="O3274" s="248">
        <v>16325.12</v>
      </c>
      <c r="P3274" s="247" t="s">
        <v>1546</v>
      </c>
      <c r="Q3274" s="247" t="s">
        <v>89</v>
      </c>
    </row>
    <row r="3275" spans="1:17" x14ac:dyDescent="0.25">
      <c r="A3275" s="247" t="s">
        <v>646</v>
      </c>
      <c r="B3275" s="247" t="s">
        <v>265</v>
      </c>
      <c r="C3275" s="247" t="s">
        <v>1492</v>
      </c>
      <c r="D3275" s="247" t="s">
        <v>926</v>
      </c>
      <c r="E3275" s="247" t="s">
        <v>946</v>
      </c>
      <c r="F3275" s="247" t="s">
        <v>2366</v>
      </c>
      <c r="G3275" s="247" t="s">
        <v>1545</v>
      </c>
      <c r="H3275" s="247" t="s">
        <v>403</v>
      </c>
      <c r="I3275" s="247" t="s">
        <v>2367</v>
      </c>
      <c r="J3275" s="247">
        <v>58</v>
      </c>
      <c r="K3275" s="247">
        <v>58</v>
      </c>
      <c r="L3275" s="249" t="s">
        <v>936</v>
      </c>
      <c r="M3275" s="249" t="s">
        <v>929</v>
      </c>
      <c r="N3275" s="248">
        <v>1569.82</v>
      </c>
      <c r="O3275" s="248">
        <v>17894.939999999999</v>
      </c>
      <c r="P3275" s="247" t="s">
        <v>1546</v>
      </c>
      <c r="Q3275" s="247" t="s">
        <v>90</v>
      </c>
    </row>
    <row r="3276" spans="1:17" x14ac:dyDescent="0.25">
      <c r="A3276" s="247" t="s">
        <v>646</v>
      </c>
      <c r="B3276" s="247" t="s">
        <v>265</v>
      </c>
      <c r="C3276" s="247" t="s">
        <v>1492</v>
      </c>
      <c r="D3276" s="247" t="s">
        <v>926</v>
      </c>
      <c r="E3276" s="247" t="s">
        <v>946</v>
      </c>
      <c r="F3276" s="247" t="s">
        <v>2366</v>
      </c>
      <c r="G3276" s="247" t="s">
        <v>1545</v>
      </c>
      <c r="H3276" s="247" t="s">
        <v>403</v>
      </c>
      <c r="I3276" s="247" t="s">
        <v>2367</v>
      </c>
      <c r="J3276" s="247">
        <v>58</v>
      </c>
      <c r="K3276" s="247">
        <v>58</v>
      </c>
      <c r="L3276" s="249" t="s">
        <v>937</v>
      </c>
      <c r="M3276" s="249" t="s">
        <v>929</v>
      </c>
      <c r="N3276" s="248">
        <v>2803.28</v>
      </c>
      <c r="O3276" s="248">
        <v>20698.22</v>
      </c>
      <c r="P3276" s="247" t="s">
        <v>1546</v>
      </c>
      <c r="Q3276" s="247" t="s">
        <v>91</v>
      </c>
    </row>
    <row r="3277" spans="1:17" x14ac:dyDescent="0.25">
      <c r="A3277" s="247" t="s">
        <v>646</v>
      </c>
      <c r="B3277" s="247" t="s">
        <v>265</v>
      </c>
      <c r="C3277" s="247" t="s">
        <v>1492</v>
      </c>
      <c r="D3277" s="247" t="s">
        <v>926</v>
      </c>
      <c r="E3277" s="247" t="s">
        <v>946</v>
      </c>
      <c r="F3277" s="247" t="s">
        <v>2366</v>
      </c>
      <c r="G3277" s="247" t="s">
        <v>1545</v>
      </c>
      <c r="H3277" s="247" t="s">
        <v>403</v>
      </c>
      <c r="I3277" s="247" t="s">
        <v>2367</v>
      </c>
      <c r="J3277" s="247">
        <v>58</v>
      </c>
      <c r="K3277" s="247">
        <v>58</v>
      </c>
      <c r="L3277" s="249" t="s">
        <v>938</v>
      </c>
      <c r="M3277" s="249" t="s">
        <v>929</v>
      </c>
      <c r="N3277" s="248">
        <v>3028.9</v>
      </c>
      <c r="O3277" s="248">
        <v>23727.119999999999</v>
      </c>
      <c r="P3277" s="247" t="s">
        <v>1546</v>
      </c>
      <c r="Q3277" s="247" t="s">
        <v>92</v>
      </c>
    </row>
    <row r="3278" spans="1:17" x14ac:dyDescent="0.25">
      <c r="A3278" s="247" t="s">
        <v>646</v>
      </c>
      <c r="B3278" s="247" t="s">
        <v>265</v>
      </c>
      <c r="C3278" s="247" t="s">
        <v>1492</v>
      </c>
      <c r="D3278" s="247" t="s">
        <v>926</v>
      </c>
      <c r="E3278" s="247" t="s">
        <v>946</v>
      </c>
      <c r="F3278" s="247" t="s">
        <v>2366</v>
      </c>
      <c r="G3278" s="247" t="s">
        <v>1545</v>
      </c>
      <c r="H3278" s="247" t="s">
        <v>403</v>
      </c>
      <c r="I3278" s="247" t="s">
        <v>2367</v>
      </c>
      <c r="J3278" s="247">
        <v>58</v>
      </c>
      <c r="K3278" s="247">
        <v>58</v>
      </c>
      <c r="L3278" s="249" t="s">
        <v>939</v>
      </c>
      <c r="M3278" s="249" t="s">
        <v>929</v>
      </c>
      <c r="N3278" s="248">
        <v>6645.02</v>
      </c>
      <c r="O3278" s="248">
        <v>30372.14</v>
      </c>
      <c r="P3278" s="247" t="s">
        <v>1546</v>
      </c>
      <c r="Q3278" s="247" t="s">
        <v>93</v>
      </c>
    </row>
    <row r="3279" spans="1:17" x14ac:dyDescent="0.25">
      <c r="A3279" s="247" t="s">
        <v>646</v>
      </c>
      <c r="B3279" s="247" t="s">
        <v>265</v>
      </c>
      <c r="C3279" s="247" t="s">
        <v>1492</v>
      </c>
      <c r="D3279" s="247" t="s">
        <v>926</v>
      </c>
      <c r="E3279" s="247" t="s">
        <v>946</v>
      </c>
      <c r="F3279" s="247" t="s">
        <v>2366</v>
      </c>
      <c r="G3279" s="247" t="s">
        <v>1545</v>
      </c>
      <c r="H3279" s="247" t="s">
        <v>403</v>
      </c>
      <c r="I3279" s="247" t="s">
        <v>2367</v>
      </c>
      <c r="J3279" s="247">
        <v>58</v>
      </c>
      <c r="K3279" s="247">
        <v>58</v>
      </c>
      <c r="L3279" s="249" t="s">
        <v>940</v>
      </c>
      <c r="M3279" s="249" t="s">
        <v>929</v>
      </c>
      <c r="N3279" s="248">
        <v>9442.61</v>
      </c>
      <c r="O3279" s="248">
        <v>39814.75</v>
      </c>
      <c r="P3279" s="247" t="s">
        <v>1546</v>
      </c>
      <c r="Q3279" s="247" t="s">
        <v>94</v>
      </c>
    </row>
    <row r="3280" spans="1:17" x14ac:dyDescent="0.25">
      <c r="A3280" s="247" t="s">
        <v>646</v>
      </c>
      <c r="B3280" s="247" t="s">
        <v>265</v>
      </c>
      <c r="C3280" s="247" t="s">
        <v>1492</v>
      </c>
      <c r="D3280" s="247" t="s">
        <v>926</v>
      </c>
      <c r="E3280" s="247" t="s">
        <v>946</v>
      </c>
      <c r="F3280" s="247" t="s">
        <v>2366</v>
      </c>
      <c r="G3280" s="247" t="s">
        <v>1545</v>
      </c>
      <c r="H3280" s="247" t="s">
        <v>403</v>
      </c>
      <c r="I3280" s="247" t="s">
        <v>2367</v>
      </c>
      <c r="J3280" s="247">
        <v>58</v>
      </c>
      <c r="K3280" s="247">
        <v>58</v>
      </c>
      <c r="L3280" s="249" t="s">
        <v>642</v>
      </c>
      <c r="M3280" s="249" t="s">
        <v>929</v>
      </c>
      <c r="N3280" s="248">
        <v>3448.01</v>
      </c>
      <c r="O3280" s="248">
        <v>43262.76</v>
      </c>
      <c r="P3280" s="247" t="s">
        <v>1546</v>
      </c>
      <c r="Q3280" s="247" t="s">
        <v>95</v>
      </c>
    </row>
    <row r="3281" spans="1:17" x14ac:dyDescent="0.25">
      <c r="A3281" s="247" t="s">
        <v>646</v>
      </c>
      <c r="B3281" s="247" t="s">
        <v>265</v>
      </c>
      <c r="C3281" s="247" t="s">
        <v>1492</v>
      </c>
      <c r="D3281" s="247" t="s">
        <v>1361</v>
      </c>
      <c r="E3281" s="247" t="s">
        <v>926</v>
      </c>
      <c r="F3281" s="247" t="s">
        <v>2368</v>
      </c>
      <c r="G3281" s="247" t="s">
        <v>1547</v>
      </c>
      <c r="H3281" s="247"/>
      <c r="I3281" s="247" t="s">
        <v>2369</v>
      </c>
      <c r="J3281" s="247">
        <v>19</v>
      </c>
      <c r="K3281" s="247">
        <v>19</v>
      </c>
      <c r="L3281" s="249" t="s">
        <v>646</v>
      </c>
      <c r="M3281" s="249" t="s">
        <v>933</v>
      </c>
      <c r="N3281" s="248">
        <v>92344.52</v>
      </c>
      <c r="O3281" s="248">
        <v>940954.84</v>
      </c>
      <c r="P3281" s="247" t="s">
        <v>1548</v>
      </c>
      <c r="Q3281" s="247" t="s">
        <v>84</v>
      </c>
    </row>
    <row r="3282" spans="1:17" x14ac:dyDescent="0.25">
      <c r="A3282" s="247" t="s">
        <v>646</v>
      </c>
      <c r="B3282" s="247" t="s">
        <v>265</v>
      </c>
      <c r="C3282" s="247" t="s">
        <v>1492</v>
      </c>
      <c r="D3282" s="247" t="s">
        <v>1361</v>
      </c>
      <c r="E3282" s="247" t="s">
        <v>926</v>
      </c>
      <c r="F3282" s="247" t="s">
        <v>2368</v>
      </c>
      <c r="G3282" s="247" t="s">
        <v>1547</v>
      </c>
      <c r="H3282" s="247"/>
      <c r="I3282" s="247" t="s">
        <v>2369</v>
      </c>
      <c r="J3282" s="247">
        <v>19</v>
      </c>
      <c r="K3282" s="247">
        <v>19</v>
      </c>
      <c r="L3282" s="249" t="s">
        <v>650</v>
      </c>
      <c r="M3282" s="249" t="s">
        <v>933</v>
      </c>
      <c r="N3282" s="248">
        <v>84514.55</v>
      </c>
      <c r="O3282" s="248">
        <v>1025469.39</v>
      </c>
      <c r="P3282" s="247" t="s">
        <v>1548</v>
      </c>
      <c r="Q3282" s="247" t="s">
        <v>85</v>
      </c>
    </row>
    <row r="3283" spans="1:17" x14ac:dyDescent="0.25">
      <c r="A3283" s="247" t="s">
        <v>646</v>
      </c>
      <c r="B3283" s="247" t="s">
        <v>265</v>
      </c>
      <c r="C3283" s="247" t="s">
        <v>1492</v>
      </c>
      <c r="D3283" s="247" t="s">
        <v>1361</v>
      </c>
      <c r="E3283" s="247" t="s">
        <v>926</v>
      </c>
      <c r="F3283" s="247" t="s">
        <v>2368</v>
      </c>
      <c r="G3283" s="247" t="s">
        <v>1547</v>
      </c>
      <c r="H3283" s="247"/>
      <c r="I3283" s="247" t="s">
        <v>2369</v>
      </c>
      <c r="J3283" s="247">
        <v>19</v>
      </c>
      <c r="K3283" s="247">
        <v>19</v>
      </c>
      <c r="L3283" s="249" t="s">
        <v>652</v>
      </c>
      <c r="M3283" s="249" t="s">
        <v>933</v>
      </c>
      <c r="N3283" s="248">
        <v>76959.02</v>
      </c>
      <c r="O3283" s="248">
        <v>1102428.4099999999</v>
      </c>
      <c r="P3283" s="247" t="s">
        <v>1548</v>
      </c>
      <c r="Q3283" s="247" t="s">
        <v>86</v>
      </c>
    </row>
    <row r="3284" spans="1:17" x14ac:dyDescent="0.25">
      <c r="A3284" s="247" t="s">
        <v>646</v>
      </c>
      <c r="B3284" s="247" t="s">
        <v>265</v>
      </c>
      <c r="C3284" s="247" t="s">
        <v>1492</v>
      </c>
      <c r="D3284" s="247" t="s">
        <v>1361</v>
      </c>
      <c r="E3284" s="247" t="s">
        <v>926</v>
      </c>
      <c r="F3284" s="247" t="s">
        <v>2368</v>
      </c>
      <c r="G3284" s="247" t="s">
        <v>1547</v>
      </c>
      <c r="H3284" s="247"/>
      <c r="I3284" s="247" t="s">
        <v>2369</v>
      </c>
      <c r="J3284" s="247">
        <v>19</v>
      </c>
      <c r="K3284" s="247">
        <v>19</v>
      </c>
      <c r="L3284" s="249" t="s">
        <v>789</v>
      </c>
      <c r="M3284" s="249" t="s">
        <v>929</v>
      </c>
      <c r="N3284" s="248">
        <v>57985.72</v>
      </c>
      <c r="O3284" s="248">
        <v>57985.72</v>
      </c>
      <c r="P3284" s="247" t="s">
        <v>1548</v>
      </c>
      <c r="Q3284" s="247" t="s">
        <v>87</v>
      </c>
    </row>
    <row r="3285" spans="1:17" x14ac:dyDescent="0.25">
      <c r="A3285" s="247" t="s">
        <v>646</v>
      </c>
      <c r="B3285" s="247" t="s">
        <v>265</v>
      </c>
      <c r="C3285" s="247" t="s">
        <v>1492</v>
      </c>
      <c r="D3285" s="247" t="s">
        <v>1361</v>
      </c>
      <c r="E3285" s="247" t="s">
        <v>926</v>
      </c>
      <c r="F3285" s="247" t="s">
        <v>2368</v>
      </c>
      <c r="G3285" s="247" t="s">
        <v>1547</v>
      </c>
      <c r="H3285" s="247"/>
      <c r="I3285" s="247" t="s">
        <v>2369</v>
      </c>
      <c r="J3285" s="247">
        <v>19</v>
      </c>
      <c r="K3285" s="247">
        <v>19</v>
      </c>
      <c r="L3285" s="249" t="s">
        <v>791</v>
      </c>
      <c r="M3285" s="249" t="s">
        <v>929</v>
      </c>
      <c r="N3285" s="248">
        <v>63737.95</v>
      </c>
      <c r="O3285" s="248">
        <v>121723.67</v>
      </c>
      <c r="P3285" s="247" t="s">
        <v>1548</v>
      </c>
      <c r="Q3285" s="247" t="s">
        <v>88</v>
      </c>
    </row>
    <row r="3286" spans="1:17" x14ac:dyDescent="0.25">
      <c r="A3286" s="247" t="s">
        <v>646</v>
      </c>
      <c r="B3286" s="247" t="s">
        <v>265</v>
      </c>
      <c r="C3286" s="247" t="s">
        <v>1492</v>
      </c>
      <c r="D3286" s="247" t="s">
        <v>1361</v>
      </c>
      <c r="E3286" s="247" t="s">
        <v>926</v>
      </c>
      <c r="F3286" s="247" t="s">
        <v>2368</v>
      </c>
      <c r="G3286" s="247" t="s">
        <v>1547</v>
      </c>
      <c r="H3286" s="247"/>
      <c r="I3286" s="247" t="s">
        <v>2369</v>
      </c>
      <c r="J3286" s="247">
        <v>19</v>
      </c>
      <c r="K3286" s="247">
        <v>19</v>
      </c>
      <c r="L3286" s="249" t="s">
        <v>935</v>
      </c>
      <c r="M3286" s="249" t="s">
        <v>929</v>
      </c>
      <c r="N3286" s="248">
        <v>74278.12</v>
      </c>
      <c r="O3286" s="248">
        <v>196001.79</v>
      </c>
      <c r="P3286" s="247" t="s">
        <v>1548</v>
      </c>
      <c r="Q3286" s="247" t="s">
        <v>89</v>
      </c>
    </row>
    <row r="3287" spans="1:17" x14ac:dyDescent="0.25">
      <c r="A3287" s="247" t="s">
        <v>646</v>
      </c>
      <c r="B3287" s="247" t="s">
        <v>265</v>
      </c>
      <c r="C3287" s="247" t="s">
        <v>1492</v>
      </c>
      <c r="D3287" s="247" t="s">
        <v>1361</v>
      </c>
      <c r="E3287" s="247" t="s">
        <v>926</v>
      </c>
      <c r="F3287" s="247" t="s">
        <v>2368</v>
      </c>
      <c r="G3287" s="247" t="s">
        <v>1547</v>
      </c>
      <c r="H3287" s="247"/>
      <c r="I3287" s="247" t="s">
        <v>2369</v>
      </c>
      <c r="J3287" s="247">
        <v>19</v>
      </c>
      <c r="K3287" s="247">
        <v>19</v>
      </c>
      <c r="L3287" s="249" t="s">
        <v>936</v>
      </c>
      <c r="M3287" s="249" t="s">
        <v>929</v>
      </c>
      <c r="N3287" s="248">
        <v>80530.759999999995</v>
      </c>
      <c r="O3287" s="248">
        <v>276532.55</v>
      </c>
      <c r="P3287" s="247" t="s">
        <v>1548</v>
      </c>
      <c r="Q3287" s="247" t="s">
        <v>90</v>
      </c>
    </row>
    <row r="3288" spans="1:17" x14ac:dyDescent="0.25">
      <c r="A3288" s="247" t="s">
        <v>646</v>
      </c>
      <c r="B3288" s="247" t="s">
        <v>265</v>
      </c>
      <c r="C3288" s="247" t="s">
        <v>1492</v>
      </c>
      <c r="D3288" s="247" t="s">
        <v>1361</v>
      </c>
      <c r="E3288" s="247" t="s">
        <v>926</v>
      </c>
      <c r="F3288" s="247" t="s">
        <v>2368</v>
      </c>
      <c r="G3288" s="247" t="s">
        <v>1547</v>
      </c>
      <c r="H3288" s="247"/>
      <c r="I3288" s="247" t="s">
        <v>2369</v>
      </c>
      <c r="J3288" s="247">
        <v>19</v>
      </c>
      <c r="K3288" s="247">
        <v>19</v>
      </c>
      <c r="L3288" s="249" t="s">
        <v>937</v>
      </c>
      <c r="M3288" s="249" t="s">
        <v>929</v>
      </c>
      <c r="N3288" s="248">
        <v>92373.19</v>
      </c>
      <c r="O3288" s="248">
        <v>368905.74</v>
      </c>
      <c r="P3288" s="247" t="s">
        <v>1548</v>
      </c>
      <c r="Q3288" s="247" t="s">
        <v>91</v>
      </c>
    </row>
    <row r="3289" spans="1:17" x14ac:dyDescent="0.25">
      <c r="A3289" s="247" t="s">
        <v>646</v>
      </c>
      <c r="B3289" s="247" t="s">
        <v>265</v>
      </c>
      <c r="C3289" s="247" t="s">
        <v>1492</v>
      </c>
      <c r="D3289" s="247" t="s">
        <v>1361</v>
      </c>
      <c r="E3289" s="247" t="s">
        <v>926</v>
      </c>
      <c r="F3289" s="247" t="s">
        <v>2368</v>
      </c>
      <c r="G3289" s="247" t="s">
        <v>1547</v>
      </c>
      <c r="H3289" s="247"/>
      <c r="I3289" s="247" t="s">
        <v>2369</v>
      </c>
      <c r="J3289" s="247">
        <v>19</v>
      </c>
      <c r="K3289" s="247">
        <v>19</v>
      </c>
      <c r="L3289" s="249" t="s">
        <v>938</v>
      </c>
      <c r="M3289" s="249" t="s">
        <v>929</v>
      </c>
      <c r="N3289" s="248">
        <v>100862.51</v>
      </c>
      <c r="O3289" s="248">
        <v>469768.25</v>
      </c>
      <c r="P3289" s="247" t="s">
        <v>1548</v>
      </c>
      <c r="Q3289" s="247" t="s">
        <v>92</v>
      </c>
    </row>
    <row r="3290" spans="1:17" x14ac:dyDescent="0.25">
      <c r="A3290" s="247" t="s">
        <v>646</v>
      </c>
      <c r="B3290" s="247" t="s">
        <v>265</v>
      </c>
      <c r="C3290" s="247" t="s">
        <v>1492</v>
      </c>
      <c r="D3290" s="247" t="s">
        <v>1361</v>
      </c>
      <c r="E3290" s="247" t="s">
        <v>926</v>
      </c>
      <c r="F3290" s="247" t="s">
        <v>2368</v>
      </c>
      <c r="G3290" s="247" t="s">
        <v>1547</v>
      </c>
      <c r="H3290" s="247"/>
      <c r="I3290" s="247" t="s">
        <v>2369</v>
      </c>
      <c r="J3290" s="247">
        <v>19</v>
      </c>
      <c r="K3290" s="247">
        <v>19</v>
      </c>
      <c r="L3290" s="249" t="s">
        <v>939</v>
      </c>
      <c r="M3290" s="249" t="s">
        <v>929</v>
      </c>
      <c r="N3290" s="248">
        <v>90941.59</v>
      </c>
      <c r="O3290" s="248">
        <v>560709.84</v>
      </c>
      <c r="P3290" s="247" t="s">
        <v>1548</v>
      </c>
      <c r="Q3290" s="247" t="s">
        <v>93</v>
      </c>
    </row>
    <row r="3291" spans="1:17" x14ac:dyDescent="0.25">
      <c r="A3291" s="247" t="s">
        <v>646</v>
      </c>
      <c r="B3291" s="247" t="s">
        <v>265</v>
      </c>
      <c r="C3291" s="247" t="s">
        <v>1492</v>
      </c>
      <c r="D3291" s="247" t="s">
        <v>1361</v>
      </c>
      <c r="E3291" s="247" t="s">
        <v>926</v>
      </c>
      <c r="F3291" s="247" t="s">
        <v>2368</v>
      </c>
      <c r="G3291" s="247" t="s">
        <v>1547</v>
      </c>
      <c r="H3291" s="247"/>
      <c r="I3291" s="247" t="s">
        <v>2369</v>
      </c>
      <c r="J3291" s="247">
        <v>19</v>
      </c>
      <c r="K3291" s="247">
        <v>19</v>
      </c>
      <c r="L3291" s="249" t="s">
        <v>940</v>
      </c>
      <c r="M3291" s="249" t="s">
        <v>929</v>
      </c>
      <c r="N3291" s="248">
        <v>99767.22</v>
      </c>
      <c r="O3291" s="248">
        <v>660477.06000000006</v>
      </c>
      <c r="P3291" s="247" t="s">
        <v>1548</v>
      </c>
      <c r="Q3291" s="247" t="s">
        <v>94</v>
      </c>
    </row>
    <row r="3292" spans="1:17" x14ac:dyDescent="0.25">
      <c r="A3292" s="247" t="s">
        <v>646</v>
      </c>
      <c r="B3292" s="247" t="s">
        <v>265</v>
      </c>
      <c r="C3292" s="247" t="s">
        <v>1492</v>
      </c>
      <c r="D3292" s="247" t="s">
        <v>1361</v>
      </c>
      <c r="E3292" s="247" t="s">
        <v>926</v>
      </c>
      <c r="F3292" s="247" t="s">
        <v>2368</v>
      </c>
      <c r="G3292" s="247" t="s">
        <v>1547</v>
      </c>
      <c r="H3292" s="247"/>
      <c r="I3292" s="247" t="s">
        <v>2369</v>
      </c>
      <c r="J3292" s="247">
        <v>19</v>
      </c>
      <c r="K3292" s="247">
        <v>19</v>
      </c>
      <c r="L3292" s="249" t="s">
        <v>642</v>
      </c>
      <c r="M3292" s="249" t="s">
        <v>929</v>
      </c>
      <c r="N3292" s="248">
        <v>93290.81</v>
      </c>
      <c r="O3292" s="248">
        <v>753767.87</v>
      </c>
      <c r="P3292" s="247" t="s">
        <v>1548</v>
      </c>
      <c r="Q3292" s="247" t="s">
        <v>95</v>
      </c>
    </row>
    <row r="3293" spans="1:17" x14ac:dyDescent="0.25">
      <c r="A3293" s="247" t="s">
        <v>646</v>
      </c>
      <c r="B3293" s="247" t="s">
        <v>265</v>
      </c>
      <c r="C3293" s="247" t="s">
        <v>1492</v>
      </c>
      <c r="D3293" s="247" t="s">
        <v>823</v>
      </c>
      <c r="E3293" s="247" t="s">
        <v>946</v>
      </c>
      <c r="F3293" s="247" t="s">
        <v>2370</v>
      </c>
      <c r="G3293" s="247" t="s">
        <v>1549</v>
      </c>
      <c r="H3293" s="247" t="s">
        <v>403</v>
      </c>
      <c r="I3293" s="247" t="s">
        <v>2371</v>
      </c>
      <c r="J3293" s="247">
        <v>60</v>
      </c>
      <c r="K3293" s="247">
        <v>60</v>
      </c>
      <c r="L3293" s="249" t="s">
        <v>652</v>
      </c>
      <c r="M3293" s="249" t="s">
        <v>933</v>
      </c>
      <c r="N3293" s="248">
        <v>524.92999999999995</v>
      </c>
      <c r="O3293" s="248">
        <v>524.92999999999995</v>
      </c>
      <c r="P3293" s="247" t="s">
        <v>1550</v>
      </c>
      <c r="Q3293" s="247" t="s">
        <v>86</v>
      </c>
    </row>
    <row r="3294" spans="1:17" x14ac:dyDescent="0.25">
      <c r="A3294" s="247" t="s">
        <v>646</v>
      </c>
      <c r="B3294" s="247" t="s">
        <v>265</v>
      </c>
      <c r="C3294" s="247" t="s">
        <v>1492</v>
      </c>
      <c r="D3294" s="247" t="s">
        <v>823</v>
      </c>
      <c r="E3294" s="247" t="s">
        <v>946</v>
      </c>
      <c r="F3294" s="247" t="s">
        <v>2370</v>
      </c>
      <c r="G3294" s="247" t="s">
        <v>1549</v>
      </c>
      <c r="H3294" s="247" t="s">
        <v>403</v>
      </c>
      <c r="I3294" s="247" t="s">
        <v>2371</v>
      </c>
      <c r="J3294" s="247">
        <v>60</v>
      </c>
      <c r="K3294" s="247">
        <v>60</v>
      </c>
      <c r="L3294" s="249" t="s">
        <v>789</v>
      </c>
      <c r="M3294" s="249" t="s">
        <v>929</v>
      </c>
      <c r="N3294" s="248">
        <v>10372.35</v>
      </c>
      <c r="O3294" s="248">
        <v>10372.35</v>
      </c>
      <c r="P3294" s="247" t="s">
        <v>1550</v>
      </c>
      <c r="Q3294" s="247" t="s">
        <v>87</v>
      </c>
    </row>
    <row r="3295" spans="1:17" x14ac:dyDescent="0.25">
      <c r="A3295" s="247" t="s">
        <v>646</v>
      </c>
      <c r="B3295" s="247" t="s">
        <v>265</v>
      </c>
      <c r="C3295" s="247" t="s">
        <v>1492</v>
      </c>
      <c r="D3295" s="247" t="s">
        <v>823</v>
      </c>
      <c r="E3295" s="247" t="s">
        <v>946</v>
      </c>
      <c r="F3295" s="247" t="s">
        <v>2370</v>
      </c>
      <c r="G3295" s="247" t="s">
        <v>1549</v>
      </c>
      <c r="H3295" s="247" t="s">
        <v>403</v>
      </c>
      <c r="I3295" s="247" t="s">
        <v>2371</v>
      </c>
      <c r="J3295" s="247">
        <v>60</v>
      </c>
      <c r="K3295" s="247">
        <v>60</v>
      </c>
      <c r="L3295" s="249" t="s">
        <v>791</v>
      </c>
      <c r="M3295" s="249" t="s">
        <v>929</v>
      </c>
      <c r="N3295" s="248">
        <v>709.97</v>
      </c>
      <c r="O3295" s="248">
        <v>11082.32</v>
      </c>
      <c r="P3295" s="247" t="s">
        <v>1550</v>
      </c>
      <c r="Q3295" s="247" t="s">
        <v>88</v>
      </c>
    </row>
    <row r="3296" spans="1:17" x14ac:dyDescent="0.25">
      <c r="A3296" s="247" t="s">
        <v>646</v>
      </c>
      <c r="B3296" s="247" t="s">
        <v>265</v>
      </c>
      <c r="C3296" s="247" t="s">
        <v>1492</v>
      </c>
      <c r="D3296" s="247" t="s">
        <v>823</v>
      </c>
      <c r="E3296" s="247" t="s">
        <v>946</v>
      </c>
      <c r="F3296" s="247" t="s">
        <v>2370</v>
      </c>
      <c r="G3296" s="247" t="s">
        <v>1549</v>
      </c>
      <c r="H3296" s="247" t="s">
        <v>403</v>
      </c>
      <c r="I3296" s="247" t="s">
        <v>2371</v>
      </c>
      <c r="J3296" s="247">
        <v>60</v>
      </c>
      <c r="K3296" s="247">
        <v>60</v>
      </c>
      <c r="L3296" s="249" t="s">
        <v>935</v>
      </c>
      <c r="M3296" s="249" t="s">
        <v>929</v>
      </c>
      <c r="N3296" s="248">
        <v>1309.32</v>
      </c>
      <c r="O3296" s="248">
        <v>12391.64</v>
      </c>
      <c r="P3296" s="247" t="s">
        <v>1550</v>
      </c>
      <c r="Q3296" s="247" t="s">
        <v>89</v>
      </c>
    </row>
    <row r="3297" spans="1:17" x14ac:dyDescent="0.25">
      <c r="A3297" s="247" t="s">
        <v>646</v>
      </c>
      <c r="B3297" s="247" t="s">
        <v>265</v>
      </c>
      <c r="C3297" s="247" t="s">
        <v>1492</v>
      </c>
      <c r="D3297" s="247" t="s">
        <v>823</v>
      </c>
      <c r="E3297" s="247" t="s">
        <v>946</v>
      </c>
      <c r="F3297" s="247" t="s">
        <v>2370</v>
      </c>
      <c r="G3297" s="247" t="s">
        <v>1549</v>
      </c>
      <c r="H3297" s="247" t="s">
        <v>403</v>
      </c>
      <c r="I3297" s="247" t="s">
        <v>2371</v>
      </c>
      <c r="J3297" s="247">
        <v>60</v>
      </c>
      <c r="K3297" s="247">
        <v>60</v>
      </c>
      <c r="L3297" s="249" t="s">
        <v>936</v>
      </c>
      <c r="M3297" s="249" t="s">
        <v>929</v>
      </c>
      <c r="N3297" s="248">
        <v>1267.0899999999999</v>
      </c>
      <c r="O3297" s="248">
        <v>13658.73</v>
      </c>
      <c r="P3297" s="247" t="s">
        <v>1550</v>
      </c>
      <c r="Q3297" s="247" t="s">
        <v>90</v>
      </c>
    </row>
    <row r="3298" spans="1:17" x14ac:dyDescent="0.25">
      <c r="A3298" s="247" t="s">
        <v>646</v>
      </c>
      <c r="B3298" s="247" t="s">
        <v>265</v>
      </c>
      <c r="C3298" s="247" t="s">
        <v>1492</v>
      </c>
      <c r="D3298" s="247" t="s">
        <v>823</v>
      </c>
      <c r="E3298" s="247" t="s">
        <v>946</v>
      </c>
      <c r="F3298" s="247" t="s">
        <v>2370</v>
      </c>
      <c r="G3298" s="247" t="s">
        <v>1549</v>
      </c>
      <c r="H3298" s="247" t="s">
        <v>403</v>
      </c>
      <c r="I3298" s="247" t="s">
        <v>2371</v>
      </c>
      <c r="J3298" s="247">
        <v>60</v>
      </c>
      <c r="K3298" s="247">
        <v>60</v>
      </c>
      <c r="L3298" s="249" t="s">
        <v>937</v>
      </c>
      <c r="M3298" s="249" t="s">
        <v>929</v>
      </c>
      <c r="N3298" s="248">
        <v>1315.95</v>
      </c>
      <c r="O3298" s="248">
        <v>14974.68</v>
      </c>
      <c r="P3298" s="247" t="s">
        <v>1550</v>
      </c>
      <c r="Q3298" s="247" t="s">
        <v>91</v>
      </c>
    </row>
    <row r="3299" spans="1:17" x14ac:dyDescent="0.25">
      <c r="A3299" s="247" t="s">
        <v>646</v>
      </c>
      <c r="B3299" s="247" t="s">
        <v>265</v>
      </c>
      <c r="C3299" s="247" t="s">
        <v>1492</v>
      </c>
      <c r="D3299" s="247" t="s">
        <v>823</v>
      </c>
      <c r="E3299" s="247" t="s">
        <v>946</v>
      </c>
      <c r="F3299" s="247" t="s">
        <v>2370</v>
      </c>
      <c r="G3299" s="247" t="s">
        <v>1549</v>
      </c>
      <c r="H3299" s="247" t="s">
        <v>403</v>
      </c>
      <c r="I3299" s="247" t="s">
        <v>2371</v>
      </c>
      <c r="J3299" s="247">
        <v>60</v>
      </c>
      <c r="K3299" s="247">
        <v>60</v>
      </c>
      <c r="L3299" s="249" t="s">
        <v>938</v>
      </c>
      <c r="M3299" s="249" t="s">
        <v>929</v>
      </c>
      <c r="N3299" s="248">
        <v>723.4</v>
      </c>
      <c r="O3299" s="248">
        <v>15698.08</v>
      </c>
      <c r="P3299" s="247" t="s">
        <v>1550</v>
      </c>
      <c r="Q3299" s="247" t="s">
        <v>92</v>
      </c>
    </row>
    <row r="3300" spans="1:17" x14ac:dyDescent="0.25">
      <c r="A3300" s="247" t="s">
        <v>646</v>
      </c>
      <c r="B3300" s="247" t="s">
        <v>265</v>
      </c>
      <c r="C3300" s="247" t="s">
        <v>1492</v>
      </c>
      <c r="D3300" s="247" t="s">
        <v>823</v>
      </c>
      <c r="E3300" s="247" t="s">
        <v>946</v>
      </c>
      <c r="F3300" s="247" t="s">
        <v>2370</v>
      </c>
      <c r="G3300" s="247" t="s">
        <v>1549</v>
      </c>
      <c r="H3300" s="247" t="s">
        <v>403</v>
      </c>
      <c r="I3300" s="247" t="s">
        <v>2371</v>
      </c>
      <c r="J3300" s="247">
        <v>60</v>
      </c>
      <c r="K3300" s="247">
        <v>60</v>
      </c>
      <c r="L3300" s="249" t="s">
        <v>939</v>
      </c>
      <c r="M3300" s="249" t="s">
        <v>929</v>
      </c>
      <c r="N3300" s="248">
        <v>1195.54</v>
      </c>
      <c r="O3300" s="248">
        <v>16893.62</v>
      </c>
      <c r="P3300" s="247" t="s">
        <v>1550</v>
      </c>
      <c r="Q3300" s="247" t="s">
        <v>93</v>
      </c>
    </row>
    <row r="3301" spans="1:17" x14ac:dyDescent="0.25">
      <c r="A3301" s="247" t="s">
        <v>646</v>
      </c>
      <c r="B3301" s="247" t="s">
        <v>265</v>
      </c>
      <c r="C3301" s="247" t="s">
        <v>1492</v>
      </c>
      <c r="D3301" s="247" t="s">
        <v>823</v>
      </c>
      <c r="E3301" s="247" t="s">
        <v>946</v>
      </c>
      <c r="F3301" s="247" t="s">
        <v>2370</v>
      </c>
      <c r="G3301" s="247" t="s">
        <v>1549</v>
      </c>
      <c r="H3301" s="247" t="s">
        <v>403</v>
      </c>
      <c r="I3301" s="247" t="s">
        <v>2371</v>
      </c>
      <c r="J3301" s="247">
        <v>60</v>
      </c>
      <c r="K3301" s="247">
        <v>60</v>
      </c>
      <c r="L3301" s="249" t="s">
        <v>940</v>
      </c>
      <c r="M3301" s="249" t="s">
        <v>929</v>
      </c>
      <c r="N3301" s="248">
        <v>1563.03</v>
      </c>
      <c r="O3301" s="248">
        <v>18456.650000000001</v>
      </c>
      <c r="P3301" s="247" t="s">
        <v>1550</v>
      </c>
      <c r="Q3301" s="247" t="s">
        <v>94</v>
      </c>
    </row>
    <row r="3302" spans="1:17" x14ac:dyDescent="0.25">
      <c r="A3302" s="247" t="s">
        <v>646</v>
      </c>
      <c r="B3302" s="247" t="s">
        <v>265</v>
      </c>
      <c r="C3302" s="247" t="s">
        <v>1492</v>
      </c>
      <c r="D3302" s="247" t="s">
        <v>823</v>
      </c>
      <c r="E3302" s="247" t="s">
        <v>946</v>
      </c>
      <c r="F3302" s="247" t="s">
        <v>2370</v>
      </c>
      <c r="G3302" s="247" t="s">
        <v>1549</v>
      </c>
      <c r="H3302" s="247" t="s">
        <v>403</v>
      </c>
      <c r="I3302" s="247" t="s">
        <v>2371</v>
      </c>
      <c r="J3302" s="247">
        <v>60</v>
      </c>
      <c r="K3302" s="247">
        <v>60</v>
      </c>
      <c r="L3302" s="249" t="s">
        <v>642</v>
      </c>
      <c r="M3302" s="249" t="s">
        <v>929</v>
      </c>
      <c r="N3302" s="248">
        <v>752.7</v>
      </c>
      <c r="O3302" s="248">
        <v>19209.349999999999</v>
      </c>
      <c r="P3302" s="247" t="s">
        <v>1550</v>
      </c>
      <c r="Q3302" s="247" t="s">
        <v>95</v>
      </c>
    </row>
    <row r="3303" spans="1:17" x14ac:dyDescent="0.25">
      <c r="A3303" s="247" t="s">
        <v>646</v>
      </c>
      <c r="B3303" s="247" t="s">
        <v>265</v>
      </c>
      <c r="C3303" s="247" t="s">
        <v>1492</v>
      </c>
      <c r="D3303" s="247" t="s">
        <v>509</v>
      </c>
      <c r="E3303" s="247" t="s">
        <v>946</v>
      </c>
      <c r="F3303" s="247" t="s">
        <v>2372</v>
      </c>
      <c r="G3303" s="247" t="s">
        <v>1551</v>
      </c>
      <c r="H3303" s="247" t="s">
        <v>403</v>
      </c>
      <c r="I3303" s="247" t="s">
        <v>2373</v>
      </c>
      <c r="J3303" s="247">
        <v>61</v>
      </c>
      <c r="K3303" s="247">
        <v>61</v>
      </c>
      <c r="L3303" s="249" t="s">
        <v>789</v>
      </c>
      <c r="M3303" s="249" t="s">
        <v>929</v>
      </c>
      <c r="N3303" s="248">
        <v>1270.1400000000001</v>
      </c>
      <c r="O3303" s="248">
        <v>1270.1400000000001</v>
      </c>
      <c r="P3303" s="247" t="s">
        <v>1552</v>
      </c>
      <c r="Q3303" s="247" t="s">
        <v>87</v>
      </c>
    </row>
    <row r="3304" spans="1:17" x14ac:dyDescent="0.25">
      <c r="A3304" s="247" t="s">
        <v>646</v>
      </c>
      <c r="B3304" s="247" t="s">
        <v>265</v>
      </c>
      <c r="C3304" s="247" t="s">
        <v>1492</v>
      </c>
      <c r="D3304" s="247" t="s">
        <v>509</v>
      </c>
      <c r="E3304" s="247" t="s">
        <v>946</v>
      </c>
      <c r="F3304" s="247" t="s">
        <v>2372</v>
      </c>
      <c r="G3304" s="247" t="s">
        <v>1551</v>
      </c>
      <c r="H3304" s="247" t="s">
        <v>403</v>
      </c>
      <c r="I3304" s="247" t="s">
        <v>2373</v>
      </c>
      <c r="J3304" s="247">
        <v>61</v>
      </c>
      <c r="K3304" s="247">
        <v>61</v>
      </c>
      <c r="L3304" s="249" t="s">
        <v>791</v>
      </c>
      <c r="M3304" s="249" t="s">
        <v>929</v>
      </c>
      <c r="N3304" s="248">
        <v>152.04</v>
      </c>
      <c r="O3304" s="248">
        <v>1422.18</v>
      </c>
      <c r="P3304" s="247" t="s">
        <v>1552</v>
      </c>
      <c r="Q3304" s="247" t="s">
        <v>88</v>
      </c>
    </row>
    <row r="3305" spans="1:17" x14ac:dyDescent="0.25">
      <c r="A3305" s="247" t="s">
        <v>646</v>
      </c>
      <c r="B3305" s="247" t="s">
        <v>265</v>
      </c>
      <c r="C3305" s="247" t="s">
        <v>1492</v>
      </c>
      <c r="D3305" s="247" t="s">
        <v>509</v>
      </c>
      <c r="E3305" s="247" t="s">
        <v>946</v>
      </c>
      <c r="F3305" s="247" t="s">
        <v>2372</v>
      </c>
      <c r="G3305" s="247" t="s">
        <v>1551</v>
      </c>
      <c r="H3305" s="247" t="s">
        <v>403</v>
      </c>
      <c r="I3305" s="247" t="s">
        <v>2373</v>
      </c>
      <c r="J3305" s="247">
        <v>61</v>
      </c>
      <c r="K3305" s="247">
        <v>61</v>
      </c>
      <c r="L3305" s="249" t="s">
        <v>935</v>
      </c>
      <c r="M3305" s="249" t="s">
        <v>929</v>
      </c>
      <c r="N3305" s="248">
        <v>1122.1400000000001</v>
      </c>
      <c r="O3305" s="248">
        <v>2544.3200000000002</v>
      </c>
      <c r="P3305" s="247" t="s">
        <v>1552</v>
      </c>
      <c r="Q3305" s="247" t="s">
        <v>89</v>
      </c>
    </row>
    <row r="3306" spans="1:17" x14ac:dyDescent="0.25">
      <c r="A3306" s="247" t="s">
        <v>646</v>
      </c>
      <c r="B3306" s="247" t="s">
        <v>265</v>
      </c>
      <c r="C3306" s="247" t="s">
        <v>1492</v>
      </c>
      <c r="D3306" s="247" t="s">
        <v>509</v>
      </c>
      <c r="E3306" s="247" t="s">
        <v>946</v>
      </c>
      <c r="F3306" s="247" t="s">
        <v>2372</v>
      </c>
      <c r="G3306" s="247" t="s">
        <v>1551</v>
      </c>
      <c r="H3306" s="247" t="s">
        <v>403</v>
      </c>
      <c r="I3306" s="247" t="s">
        <v>2373</v>
      </c>
      <c r="J3306" s="247">
        <v>61</v>
      </c>
      <c r="K3306" s="247">
        <v>61</v>
      </c>
      <c r="L3306" s="249" t="s">
        <v>936</v>
      </c>
      <c r="M3306" s="249" t="s">
        <v>929</v>
      </c>
      <c r="N3306" s="248">
        <v>0</v>
      </c>
      <c r="O3306" s="248">
        <v>2544.3200000000002</v>
      </c>
      <c r="P3306" s="247" t="s">
        <v>1552</v>
      </c>
      <c r="Q3306" s="247" t="s">
        <v>90</v>
      </c>
    </row>
    <row r="3307" spans="1:17" x14ac:dyDescent="0.25">
      <c r="A3307" s="247" t="s">
        <v>646</v>
      </c>
      <c r="B3307" s="247" t="s">
        <v>265</v>
      </c>
      <c r="C3307" s="247" t="s">
        <v>1492</v>
      </c>
      <c r="D3307" s="247" t="s">
        <v>509</v>
      </c>
      <c r="E3307" s="247" t="s">
        <v>946</v>
      </c>
      <c r="F3307" s="247" t="s">
        <v>2372</v>
      </c>
      <c r="G3307" s="247" t="s">
        <v>1551</v>
      </c>
      <c r="H3307" s="247" t="s">
        <v>403</v>
      </c>
      <c r="I3307" s="247" t="s">
        <v>2373</v>
      </c>
      <c r="J3307" s="247">
        <v>61</v>
      </c>
      <c r="K3307" s="247">
        <v>61</v>
      </c>
      <c r="L3307" s="249" t="s">
        <v>937</v>
      </c>
      <c r="M3307" s="249" t="s">
        <v>929</v>
      </c>
      <c r="N3307" s="248">
        <v>3386.14</v>
      </c>
      <c r="O3307" s="248">
        <v>5930.46</v>
      </c>
      <c r="P3307" s="247" t="s">
        <v>1552</v>
      </c>
      <c r="Q3307" s="247" t="s">
        <v>91</v>
      </c>
    </row>
    <row r="3308" spans="1:17" x14ac:dyDescent="0.25">
      <c r="A3308" s="247" t="s">
        <v>646</v>
      </c>
      <c r="B3308" s="247" t="s">
        <v>265</v>
      </c>
      <c r="C3308" s="247" t="s">
        <v>1492</v>
      </c>
      <c r="D3308" s="247" t="s">
        <v>509</v>
      </c>
      <c r="E3308" s="247" t="s">
        <v>946</v>
      </c>
      <c r="F3308" s="247" t="s">
        <v>2372</v>
      </c>
      <c r="G3308" s="247" t="s">
        <v>1551</v>
      </c>
      <c r="H3308" s="247" t="s">
        <v>403</v>
      </c>
      <c r="I3308" s="247" t="s">
        <v>2373</v>
      </c>
      <c r="J3308" s="247">
        <v>61</v>
      </c>
      <c r="K3308" s="247">
        <v>61</v>
      </c>
      <c r="L3308" s="249" t="s">
        <v>938</v>
      </c>
      <c r="M3308" s="249" t="s">
        <v>929</v>
      </c>
      <c r="N3308" s="248">
        <v>0</v>
      </c>
      <c r="O3308" s="248">
        <v>5930.46</v>
      </c>
      <c r="P3308" s="247" t="s">
        <v>1552</v>
      </c>
      <c r="Q3308" s="247" t="s">
        <v>92</v>
      </c>
    </row>
    <row r="3309" spans="1:17" x14ac:dyDescent="0.25">
      <c r="A3309" s="247" t="s">
        <v>646</v>
      </c>
      <c r="B3309" s="247" t="s">
        <v>265</v>
      </c>
      <c r="C3309" s="247" t="s">
        <v>1492</v>
      </c>
      <c r="D3309" s="247" t="s">
        <v>509</v>
      </c>
      <c r="E3309" s="247" t="s">
        <v>946</v>
      </c>
      <c r="F3309" s="247" t="s">
        <v>2372</v>
      </c>
      <c r="G3309" s="247" t="s">
        <v>1551</v>
      </c>
      <c r="H3309" s="247" t="s">
        <v>403</v>
      </c>
      <c r="I3309" s="247" t="s">
        <v>2373</v>
      </c>
      <c r="J3309" s="247">
        <v>61</v>
      </c>
      <c r="K3309" s="247">
        <v>61</v>
      </c>
      <c r="L3309" s="249" t="s">
        <v>939</v>
      </c>
      <c r="M3309" s="249" t="s">
        <v>929</v>
      </c>
      <c r="N3309" s="248">
        <v>0</v>
      </c>
      <c r="O3309" s="248">
        <v>5930.46</v>
      </c>
      <c r="P3309" s="247" t="s">
        <v>1552</v>
      </c>
      <c r="Q3309" s="247" t="s">
        <v>93</v>
      </c>
    </row>
    <row r="3310" spans="1:17" x14ac:dyDescent="0.25">
      <c r="A3310" s="247" t="s">
        <v>646</v>
      </c>
      <c r="B3310" s="247" t="s">
        <v>265</v>
      </c>
      <c r="C3310" s="247" t="s">
        <v>1492</v>
      </c>
      <c r="D3310" s="247" t="s">
        <v>509</v>
      </c>
      <c r="E3310" s="247" t="s">
        <v>946</v>
      </c>
      <c r="F3310" s="247" t="s">
        <v>2372</v>
      </c>
      <c r="G3310" s="247" t="s">
        <v>1551</v>
      </c>
      <c r="H3310" s="247" t="s">
        <v>403</v>
      </c>
      <c r="I3310" s="247" t="s">
        <v>2373</v>
      </c>
      <c r="J3310" s="247">
        <v>61</v>
      </c>
      <c r="K3310" s="247">
        <v>61</v>
      </c>
      <c r="L3310" s="249" t="s">
        <v>940</v>
      </c>
      <c r="M3310" s="249" t="s">
        <v>929</v>
      </c>
      <c r="N3310" s="248">
        <v>0</v>
      </c>
      <c r="O3310" s="248">
        <v>5930.46</v>
      </c>
      <c r="P3310" s="247" t="s">
        <v>1552</v>
      </c>
      <c r="Q3310" s="247" t="s">
        <v>94</v>
      </c>
    </row>
    <row r="3311" spans="1:17" x14ac:dyDescent="0.25">
      <c r="A3311" s="247" t="s">
        <v>646</v>
      </c>
      <c r="B3311" s="247" t="s">
        <v>265</v>
      </c>
      <c r="C3311" s="247" t="s">
        <v>1492</v>
      </c>
      <c r="D3311" s="247" t="s">
        <v>509</v>
      </c>
      <c r="E3311" s="247" t="s">
        <v>946</v>
      </c>
      <c r="F3311" s="247" t="s">
        <v>2372</v>
      </c>
      <c r="G3311" s="247" t="s">
        <v>1551</v>
      </c>
      <c r="H3311" s="247" t="s">
        <v>403</v>
      </c>
      <c r="I3311" s="247" t="s">
        <v>2373</v>
      </c>
      <c r="J3311" s="247">
        <v>61</v>
      </c>
      <c r="K3311" s="247">
        <v>61</v>
      </c>
      <c r="L3311" s="249" t="s">
        <v>642</v>
      </c>
      <c r="M3311" s="249" t="s">
        <v>929</v>
      </c>
      <c r="N3311" s="248">
        <v>0</v>
      </c>
      <c r="O3311" s="248">
        <v>5930.46</v>
      </c>
      <c r="P3311" s="247" t="s">
        <v>1552</v>
      </c>
      <c r="Q3311" s="247" t="s">
        <v>95</v>
      </c>
    </row>
    <row r="3312" spans="1:17" x14ac:dyDescent="0.25">
      <c r="A3312" s="247" t="s">
        <v>646</v>
      </c>
      <c r="B3312" s="247" t="s">
        <v>265</v>
      </c>
      <c r="C3312" s="247" t="s">
        <v>1492</v>
      </c>
      <c r="D3312" s="247" t="s">
        <v>1049</v>
      </c>
      <c r="E3312" s="247" t="s">
        <v>926</v>
      </c>
      <c r="F3312" s="247" t="s">
        <v>2374</v>
      </c>
      <c r="G3312" s="247" t="s">
        <v>1553</v>
      </c>
      <c r="H3312" s="247"/>
      <c r="I3312" s="247" t="s">
        <v>2375</v>
      </c>
      <c r="J3312" s="247">
        <v>65</v>
      </c>
      <c r="K3312" s="247">
        <v>65</v>
      </c>
      <c r="L3312" s="249" t="s">
        <v>646</v>
      </c>
      <c r="M3312" s="249" t="s">
        <v>933</v>
      </c>
      <c r="N3312" s="248">
        <v>17986.990000000002</v>
      </c>
      <c r="O3312" s="248">
        <v>167985.19</v>
      </c>
      <c r="P3312" s="247" t="s">
        <v>1554</v>
      </c>
      <c r="Q3312" s="247" t="s">
        <v>84</v>
      </c>
    </row>
    <row r="3313" spans="1:17" x14ac:dyDescent="0.25">
      <c r="A3313" s="247" t="s">
        <v>646</v>
      </c>
      <c r="B3313" s="247" t="s">
        <v>265</v>
      </c>
      <c r="C3313" s="247" t="s">
        <v>1492</v>
      </c>
      <c r="D3313" s="247" t="s">
        <v>1049</v>
      </c>
      <c r="E3313" s="247" t="s">
        <v>926</v>
      </c>
      <c r="F3313" s="247" t="s">
        <v>2374</v>
      </c>
      <c r="G3313" s="247" t="s">
        <v>1553</v>
      </c>
      <c r="H3313" s="247"/>
      <c r="I3313" s="247" t="s">
        <v>2375</v>
      </c>
      <c r="J3313" s="247">
        <v>65</v>
      </c>
      <c r="K3313" s="247">
        <v>65</v>
      </c>
      <c r="L3313" s="249" t="s">
        <v>650</v>
      </c>
      <c r="M3313" s="249" t="s">
        <v>933</v>
      </c>
      <c r="N3313" s="248">
        <v>17094.71</v>
      </c>
      <c r="O3313" s="248">
        <v>185079.9</v>
      </c>
      <c r="P3313" s="247" t="s">
        <v>1554</v>
      </c>
      <c r="Q3313" s="247" t="s">
        <v>85</v>
      </c>
    </row>
    <row r="3314" spans="1:17" x14ac:dyDescent="0.25">
      <c r="A3314" s="247" t="s">
        <v>646</v>
      </c>
      <c r="B3314" s="247" t="s">
        <v>265</v>
      </c>
      <c r="C3314" s="247" t="s">
        <v>1492</v>
      </c>
      <c r="D3314" s="247" t="s">
        <v>1049</v>
      </c>
      <c r="E3314" s="247" t="s">
        <v>926</v>
      </c>
      <c r="F3314" s="247" t="s">
        <v>2374</v>
      </c>
      <c r="G3314" s="247" t="s">
        <v>1553</v>
      </c>
      <c r="H3314" s="247"/>
      <c r="I3314" s="247" t="s">
        <v>2375</v>
      </c>
      <c r="J3314" s="247">
        <v>65</v>
      </c>
      <c r="K3314" s="247">
        <v>65</v>
      </c>
      <c r="L3314" s="249" t="s">
        <v>652</v>
      </c>
      <c r="M3314" s="249" t="s">
        <v>933</v>
      </c>
      <c r="N3314" s="248">
        <v>18218.09</v>
      </c>
      <c r="O3314" s="248">
        <v>203297.99</v>
      </c>
      <c r="P3314" s="247" t="s">
        <v>1554</v>
      </c>
      <c r="Q3314" s="247" t="s">
        <v>86</v>
      </c>
    </row>
    <row r="3315" spans="1:17" x14ac:dyDescent="0.25">
      <c r="A3315" s="247" t="s">
        <v>646</v>
      </c>
      <c r="B3315" s="247" t="s">
        <v>265</v>
      </c>
      <c r="C3315" s="247" t="s">
        <v>1492</v>
      </c>
      <c r="D3315" s="247" t="s">
        <v>1049</v>
      </c>
      <c r="E3315" s="247" t="s">
        <v>926</v>
      </c>
      <c r="F3315" s="247" t="s">
        <v>2374</v>
      </c>
      <c r="G3315" s="247" t="s">
        <v>1553</v>
      </c>
      <c r="H3315" s="247"/>
      <c r="I3315" s="247" t="s">
        <v>2375</v>
      </c>
      <c r="J3315" s="247">
        <v>65</v>
      </c>
      <c r="K3315" s="247">
        <v>65</v>
      </c>
      <c r="L3315" s="249" t="s">
        <v>789</v>
      </c>
      <c r="M3315" s="249" t="s">
        <v>929</v>
      </c>
      <c r="N3315" s="248">
        <v>17383.580000000002</v>
      </c>
      <c r="O3315" s="248">
        <v>17383.580000000002</v>
      </c>
      <c r="P3315" s="247" t="s">
        <v>1554</v>
      </c>
      <c r="Q3315" s="247" t="s">
        <v>87</v>
      </c>
    </row>
    <row r="3316" spans="1:17" x14ac:dyDescent="0.25">
      <c r="A3316" s="247" t="s">
        <v>646</v>
      </c>
      <c r="B3316" s="247" t="s">
        <v>265</v>
      </c>
      <c r="C3316" s="247" t="s">
        <v>1492</v>
      </c>
      <c r="D3316" s="247" t="s">
        <v>1049</v>
      </c>
      <c r="E3316" s="247" t="s">
        <v>926</v>
      </c>
      <c r="F3316" s="247" t="s">
        <v>2374</v>
      </c>
      <c r="G3316" s="247" t="s">
        <v>1553</v>
      </c>
      <c r="H3316" s="247"/>
      <c r="I3316" s="247" t="s">
        <v>2375</v>
      </c>
      <c r="J3316" s="247">
        <v>65</v>
      </c>
      <c r="K3316" s="247">
        <v>65</v>
      </c>
      <c r="L3316" s="249" t="s">
        <v>791</v>
      </c>
      <c r="M3316" s="249" t="s">
        <v>929</v>
      </c>
      <c r="N3316" s="248">
        <v>20000</v>
      </c>
      <c r="O3316" s="248">
        <v>37383.58</v>
      </c>
      <c r="P3316" s="247" t="s">
        <v>1554</v>
      </c>
      <c r="Q3316" s="247" t="s">
        <v>88</v>
      </c>
    </row>
    <row r="3317" spans="1:17" x14ac:dyDescent="0.25">
      <c r="A3317" s="247" t="s">
        <v>646</v>
      </c>
      <c r="B3317" s="247" t="s">
        <v>265</v>
      </c>
      <c r="C3317" s="247" t="s">
        <v>1492</v>
      </c>
      <c r="D3317" s="247" t="s">
        <v>1049</v>
      </c>
      <c r="E3317" s="247" t="s">
        <v>926</v>
      </c>
      <c r="F3317" s="247" t="s">
        <v>2374</v>
      </c>
      <c r="G3317" s="247" t="s">
        <v>1553</v>
      </c>
      <c r="H3317" s="247"/>
      <c r="I3317" s="247" t="s">
        <v>2375</v>
      </c>
      <c r="J3317" s="247">
        <v>65</v>
      </c>
      <c r="K3317" s="247">
        <v>65</v>
      </c>
      <c r="L3317" s="249" t="s">
        <v>935</v>
      </c>
      <c r="M3317" s="249" t="s">
        <v>929</v>
      </c>
      <c r="N3317" s="248">
        <v>20077.560000000001</v>
      </c>
      <c r="O3317" s="248">
        <v>57461.14</v>
      </c>
      <c r="P3317" s="247" t="s">
        <v>1554</v>
      </c>
      <c r="Q3317" s="247" t="s">
        <v>89</v>
      </c>
    </row>
    <row r="3318" spans="1:17" x14ac:dyDescent="0.25">
      <c r="A3318" s="247" t="s">
        <v>646</v>
      </c>
      <c r="B3318" s="247" t="s">
        <v>265</v>
      </c>
      <c r="C3318" s="247" t="s">
        <v>1492</v>
      </c>
      <c r="D3318" s="247" t="s">
        <v>1049</v>
      </c>
      <c r="E3318" s="247" t="s">
        <v>926</v>
      </c>
      <c r="F3318" s="247" t="s">
        <v>2374</v>
      </c>
      <c r="G3318" s="247" t="s">
        <v>1553</v>
      </c>
      <c r="H3318" s="247"/>
      <c r="I3318" s="247" t="s">
        <v>2375</v>
      </c>
      <c r="J3318" s="247">
        <v>65</v>
      </c>
      <c r="K3318" s="247">
        <v>65</v>
      </c>
      <c r="L3318" s="249" t="s">
        <v>936</v>
      </c>
      <c r="M3318" s="249" t="s">
        <v>929</v>
      </c>
      <c r="N3318" s="248">
        <v>24188.799999999999</v>
      </c>
      <c r="O3318" s="248">
        <v>81649.94</v>
      </c>
      <c r="P3318" s="247" t="s">
        <v>1554</v>
      </c>
      <c r="Q3318" s="247" t="s">
        <v>90</v>
      </c>
    </row>
    <row r="3319" spans="1:17" x14ac:dyDescent="0.25">
      <c r="A3319" s="247" t="s">
        <v>646</v>
      </c>
      <c r="B3319" s="247" t="s">
        <v>265</v>
      </c>
      <c r="C3319" s="247" t="s">
        <v>1492</v>
      </c>
      <c r="D3319" s="247" t="s">
        <v>1049</v>
      </c>
      <c r="E3319" s="247" t="s">
        <v>926</v>
      </c>
      <c r="F3319" s="247" t="s">
        <v>2374</v>
      </c>
      <c r="G3319" s="247" t="s">
        <v>1553</v>
      </c>
      <c r="H3319" s="247"/>
      <c r="I3319" s="247" t="s">
        <v>2375</v>
      </c>
      <c r="J3319" s="247">
        <v>65</v>
      </c>
      <c r="K3319" s="247">
        <v>65</v>
      </c>
      <c r="L3319" s="249" t="s">
        <v>937</v>
      </c>
      <c r="M3319" s="249" t="s">
        <v>929</v>
      </c>
      <c r="N3319" s="248">
        <v>24468.2</v>
      </c>
      <c r="O3319" s="248">
        <v>106118.14</v>
      </c>
      <c r="P3319" s="247" t="s">
        <v>1554</v>
      </c>
      <c r="Q3319" s="247" t="s">
        <v>91</v>
      </c>
    </row>
    <row r="3320" spans="1:17" x14ac:dyDescent="0.25">
      <c r="A3320" s="247" t="s">
        <v>646</v>
      </c>
      <c r="B3320" s="247" t="s">
        <v>265</v>
      </c>
      <c r="C3320" s="247" t="s">
        <v>1492</v>
      </c>
      <c r="D3320" s="247" t="s">
        <v>1049</v>
      </c>
      <c r="E3320" s="247" t="s">
        <v>926</v>
      </c>
      <c r="F3320" s="247" t="s">
        <v>2374</v>
      </c>
      <c r="G3320" s="247" t="s">
        <v>1553</v>
      </c>
      <c r="H3320" s="247"/>
      <c r="I3320" s="247" t="s">
        <v>2375</v>
      </c>
      <c r="J3320" s="247">
        <v>65</v>
      </c>
      <c r="K3320" s="247">
        <v>65</v>
      </c>
      <c r="L3320" s="249" t="s">
        <v>938</v>
      </c>
      <c r="M3320" s="249" t="s">
        <v>929</v>
      </c>
      <c r="N3320" s="248">
        <v>25213.34</v>
      </c>
      <c r="O3320" s="248">
        <v>131331.48000000001</v>
      </c>
      <c r="P3320" s="247" t="s">
        <v>1554</v>
      </c>
      <c r="Q3320" s="247" t="s">
        <v>92</v>
      </c>
    </row>
    <row r="3321" spans="1:17" x14ac:dyDescent="0.25">
      <c r="A3321" s="247" t="s">
        <v>646</v>
      </c>
      <c r="B3321" s="247" t="s">
        <v>265</v>
      </c>
      <c r="C3321" s="247" t="s">
        <v>1492</v>
      </c>
      <c r="D3321" s="247" t="s">
        <v>1049</v>
      </c>
      <c r="E3321" s="247" t="s">
        <v>926</v>
      </c>
      <c r="F3321" s="247" t="s">
        <v>2374</v>
      </c>
      <c r="G3321" s="247" t="s">
        <v>1553</v>
      </c>
      <c r="H3321" s="247"/>
      <c r="I3321" s="247" t="s">
        <v>2375</v>
      </c>
      <c r="J3321" s="247">
        <v>65</v>
      </c>
      <c r="K3321" s="247">
        <v>65</v>
      </c>
      <c r="L3321" s="249" t="s">
        <v>939</v>
      </c>
      <c r="M3321" s="249" t="s">
        <v>929</v>
      </c>
      <c r="N3321" s="248">
        <v>25344.54</v>
      </c>
      <c r="O3321" s="248">
        <v>156676.01999999999</v>
      </c>
      <c r="P3321" s="247" t="s">
        <v>1554</v>
      </c>
      <c r="Q3321" s="247" t="s">
        <v>93</v>
      </c>
    </row>
    <row r="3322" spans="1:17" x14ac:dyDescent="0.25">
      <c r="A3322" s="247" t="s">
        <v>646</v>
      </c>
      <c r="B3322" s="247" t="s">
        <v>265</v>
      </c>
      <c r="C3322" s="247" t="s">
        <v>1492</v>
      </c>
      <c r="D3322" s="247" t="s">
        <v>1049</v>
      </c>
      <c r="E3322" s="247" t="s">
        <v>926</v>
      </c>
      <c r="F3322" s="247" t="s">
        <v>2374</v>
      </c>
      <c r="G3322" s="247" t="s">
        <v>1553</v>
      </c>
      <c r="H3322" s="247"/>
      <c r="I3322" s="247" t="s">
        <v>2375</v>
      </c>
      <c r="J3322" s="247">
        <v>65</v>
      </c>
      <c r="K3322" s="247">
        <v>65</v>
      </c>
      <c r="L3322" s="249" t="s">
        <v>940</v>
      </c>
      <c r="M3322" s="249" t="s">
        <v>929</v>
      </c>
      <c r="N3322" s="248">
        <v>27896.48</v>
      </c>
      <c r="O3322" s="248">
        <v>184572.5</v>
      </c>
      <c r="P3322" s="247" t="s">
        <v>1554</v>
      </c>
      <c r="Q3322" s="247" t="s">
        <v>94</v>
      </c>
    </row>
    <row r="3323" spans="1:17" x14ac:dyDescent="0.25">
      <c r="A3323" s="247" t="s">
        <v>646</v>
      </c>
      <c r="B3323" s="247" t="s">
        <v>265</v>
      </c>
      <c r="C3323" s="247" t="s">
        <v>1492</v>
      </c>
      <c r="D3323" s="247" t="s">
        <v>1049</v>
      </c>
      <c r="E3323" s="247" t="s">
        <v>926</v>
      </c>
      <c r="F3323" s="247" t="s">
        <v>2374</v>
      </c>
      <c r="G3323" s="247" t="s">
        <v>1553</v>
      </c>
      <c r="H3323" s="247"/>
      <c r="I3323" s="247" t="s">
        <v>2375</v>
      </c>
      <c r="J3323" s="247">
        <v>65</v>
      </c>
      <c r="K3323" s="247">
        <v>65</v>
      </c>
      <c r="L3323" s="249" t="s">
        <v>642</v>
      </c>
      <c r="M3323" s="249" t="s">
        <v>929</v>
      </c>
      <c r="N3323" s="248">
        <v>26928.51</v>
      </c>
      <c r="O3323" s="248">
        <v>211501.01</v>
      </c>
      <c r="P3323" s="247" t="s">
        <v>1554</v>
      </c>
      <c r="Q3323" s="247" t="s">
        <v>95</v>
      </c>
    </row>
    <row r="3324" spans="1:17" x14ac:dyDescent="0.25">
      <c r="A3324" s="247" t="s">
        <v>646</v>
      </c>
      <c r="B3324" s="247" t="s">
        <v>265</v>
      </c>
      <c r="C3324" s="247" t="s">
        <v>1492</v>
      </c>
      <c r="D3324" s="247" t="s">
        <v>1507</v>
      </c>
      <c r="E3324" s="247" t="s">
        <v>946</v>
      </c>
      <c r="F3324" s="247" t="s">
        <v>2376</v>
      </c>
      <c r="G3324" s="247" t="s">
        <v>1508</v>
      </c>
      <c r="H3324" s="247" t="s">
        <v>403</v>
      </c>
      <c r="I3324" s="247" t="s">
        <v>2377</v>
      </c>
      <c r="J3324" s="247">
        <v>58</v>
      </c>
      <c r="K3324" s="247">
        <v>58</v>
      </c>
      <c r="L3324" s="249" t="s">
        <v>646</v>
      </c>
      <c r="M3324" s="249" t="s">
        <v>933</v>
      </c>
      <c r="N3324" s="248">
        <v>608.16</v>
      </c>
      <c r="O3324" s="248">
        <v>608.16</v>
      </c>
      <c r="P3324" s="247" t="s">
        <v>1555</v>
      </c>
      <c r="Q3324" s="247" t="s">
        <v>84</v>
      </c>
    </row>
    <row r="3325" spans="1:17" x14ac:dyDescent="0.25">
      <c r="A3325" s="247" t="s">
        <v>646</v>
      </c>
      <c r="B3325" s="247" t="s">
        <v>265</v>
      </c>
      <c r="C3325" s="247" t="s">
        <v>1492</v>
      </c>
      <c r="D3325" s="247" t="s">
        <v>1507</v>
      </c>
      <c r="E3325" s="247" t="s">
        <v>946</v>
      </c>
      <c r="F3325" s="247" t="s">
        <v>2376</v>
      </c>
      <c r="G3325" s="247" t="s">
        <v>1508</v>
      </c>
      <c r="H3325" s="247" t="s">
        <v>403</v>
      </c>
      <c r="I3325" s="247" t="s">
        <v>2377</v>
      </c>
      <c r="J3325" s="247">
        <v>58</v>
      </c>
      <c r="K3325" s="247">
        <v>58</v>
      </c>
      <c r="L3325" s="249" t="s">
        <v>650</v>
      </c>
      <c r="M3325" s="249" t="s">
        <v>933</v>
      </c>
      <c r="N3325" s="248">
        <v>228.06</v>
      </c>
      <c r="O3325" s="248">
        <v>836.22</v>
      </c>
      <c r="P3325" s="247" t="s">
        <v>1555</v>
      </c>
      <c r="Q3325" s="247" t="s">
        <v>85</v>
      </c>
    </row>
    <row r="3326" spans="1:17" x14ac:dyDescent="0.25">
      <c r="A3326" s="247" t="s">
        <v>646</v>
      </c>
      <c r="B3326" s="247" t="s">
        <v>265</v>
      </c>
      <c r="C3326" s="247" t="s">
        <v>1492</v>
      </c>
      <c r="D3326" s="247" t="s">
        <v>1507</v>
      </c>
      <c r="E3326" s="247" t="s">
        <v>946</v>
      </c>
      <c r="F3326" s="247" t="s">
        <v>2376</v>
      </c>
      <c r="G3326" s="247" t="s">
        <v>1508</v>
      </c>
      <c r="H3326" s="247" t="s">
        <v>403</v>
      </c>
      <c r="I3326" s="247" t="s">
        <v>2377</v>
      </c>
      <c r="J3326" s="247">
        <v>58</v>
      </c>
      <c r="K3326" s="247">
        <v>58</v>
      </c>
      <c r="L3326" s="249" t="s">
        <v>652</v>
      </c>
      <c r="M3326" s="249" t="s">
        <v>933</v>
      </c>
      <c r="N3326" s="248">
        <v>494.13</v>
      </c>
      <c r="O3326" s="248">
        <v>1330.35</v>
      </c>
      <c r="P3326" s="247" t="s">
        <v>1555</v>
      </c>
      <c r="Q3326" s="247" t="s">
        <v>86</v>
      </c>
    </row>
    <row r="3327" spans="1:17" x14ac:dyDescent="0.25">
      <c r="A3327" s="247" t="s">
        <v>646</v>
      </c>
      <c r="B3327" s="247" t="s">
        <v>265</v>
      </c>
      <c r="C3327" s="247" t="s">
        <v>1492</v>
      </c>
      <c r="D3327" s="247" t="s">
        <v>1507</v>
      </c>
      <c r="E3327" s="247" t="s">
        <v>946</v>
      </c>
      <c r="F3327" s="247" t="s">
        <v>2376</v>
      </c>
      <c r="G3327" s="247" t="s">
        <v>1508</v>
      </c>
      <c r="H3327" s="247" t="s">
        <v>403</v>
      </c>
      <c r="I3327" s="247" t="s">
        <v>2377</v>
      </c>
      <c r="J3327" s="247">
        <v>58</v>
      </c>
      <c r="K3327" s="247">
        <v>58</v>
      </c>
      <c r="L3327" s="249" t="s">
        <v>789</v>
      </c>
      <c r="M3327" s="249" t="s">
        <v>929</v>
      </c>
      <c r="N3327" s="248">
        <v>608.16</v>
      </c>
      <c r="O3327" s="248">
        <v>608.16</v>
      </c>
      <c r="P3327" s="247" t="s">
        <v>1555</v>
      </c>
      <c r="Q3327" s="247" t="s">
        <v>87</v>
      </c>
    </row>
    <row r="3328" spans="1:17" x14ac:dyDescent="0.25">
      <c r="A3328" s="247" t="s">
        <v>646</v>
      </c>
      <c r="B3328" s="247" t="s">
        <v>265</v>
      </c>
      <c r="C3328" s="247" t="s">
        <v>1492</v>
      </c>
      <c r="D3328" s="247" t="s">
        <v>1507</v>
      </c>
      <c r="E3328" s="247" t="s">
        <v>946</v>
      </c>
      <c r="F3328" s="247" t="s">
        <v>2376</v>
      </c>
      <c r="G3328" s="247" t="s">
        <v>1508</v>
      </c>
      <c r="H3328" s="247" t="s">
        <v>403</v>
      </c>
      <c r="I3328" s="247" t="s">
        <v>2377</v>
      </c>
      <c r="J3328" s="247">
        <v>58</v>
      </c>
      <c r="K3328" s="247">
        <v>58</v>
      </c>
      <c r="L3328" s="249" t="s">
        <v>791</v>
      </c>
      <c r="M3328" s="249" t="s">
        <v>929</v>
      </c>
      <c r="N3328" s="248">
        <v>532.14</v>
      </c>
      <c r="O3328" s="248">
        <v>1140.3</v>
      </c>
      <c r="P3328" s="247" t="s">
        <v>1555</v>
      </c>
      <c r="Q3328" s="247" t="s">
        <v>88</v>
      </c>
    </row>
    <row r="3329" spans="1:17" x14ac:dyDescent="0.25">
      <c r="A3329" s="247" t="s">
        <v>646</v>
      </c>
      <c r="B3329" s="247" t="s">
        <v>265</v>
      </c>
      <c r="C3329" s="247" t="s">
        <v>1492</v>
      </c>
      <c r="D3329" s="247" t="s">
        <v>1507</v>
      </c>
      <c r="E3329" s="247" t="s">
        <v>946</v>
      </c>
      <c r="F3329" s="247" t="s">
        <v>2376</v>
      </c>
      <c r="G3329" s="247" t="s">
        <v>1508</v>
      </c>
      <c r="H3329" s="247" t="s">
        <v>403</v>
      </c>
      <c r="I3329" s="247" t="s">
        <v>2377</v>
      </c>
      <c r="J3329" s="247">
        <v>58</v>
      </c>
      <c r="K3329" s="247">
        <v>58</v>
      </c>
      <c r="L3329" s="249" t="s">
        <v>935</v>
      </c>
      <c r="M3329" s="249" t="s">
        <v>929</v>
      </c>
      <c r="N3329" s="248">
        <v>228.06</v>
      </c>
      <c r="O3329" s="248">
        <v>1368.36</v>
      </c>
      <c r="P3329" s="247" t="s">
        <v>1555</v>
      </c>
      <c r="Q3329" s="247" t="s">
        <v>89</v>
      </c>
    </row>
    <row r="3330" spans="1:17" x14ac:dyDescent="0.25">
      <c r="A3330" s="247" t="s">
        <v>646</v>
      </c>
      <c r="B3330" s="247" t="s">
        <v>265</v>
      </c>
      <c r="C3330" s="247" t="s">
        <v>1492</v>
      </c>
      <c r="D3330" s="247" t="s">
        <v>1507</v>
      </c>
      <c r="E3330" s="247" t="s">
        <v>946</v>
      </c>
      <c r="F3330" s="247" t="s">
        <v>2376</v>
      </c>
      <c r="G3330" s="247" t="s">
        <v>1508</v>
      </c>
      <c r="H3330" s="247" t="s">
        <v>403</v>
      </c>
      <c r="I3330" s="247" t="s">
        <v>2377</v>
      </c>
      <c r="J3330" s="247">
        <v>58</v>
      </c>
      <c r="K3330" s="247">
        <v>58</v>
      </c>
      <c r="L3330" s="249" t="s">
        <v>936</v>
      </c>
      <c r="M3330" s="249" t="s">
        <v>929</v>
      </c>
      <c r="N3330" s="248">
        <v>532.14</v>
      </c>
      <c r="O3330" s="248">
        <v>1900.5</v>
      </c>
      <c r="P3330" s="247" t="s">
        <v>1555</v>
      </c>
      <c r="Q3330" s="247" t="s">
        <v>90</v>
      </c>
    </row>
    <row r="3331" spans="1:17" x14ac:dyDescent="0.25">
      <c r="A3331" s="247" t="s">
        <v>646</v>
      </c>
      <c r="B3331" s="247" t="s">
        <v>265</v>
      </c>
      <c r="C3331" s="247" t="s">
        <v>1492</v>
      </c>
      <c r="D3331" s="247" t="s">
        <v>1507</v>
      </c>
      <c r="E3331" s="247" t="s">
        <v>946</v>
      </c>
      <c r="F3331" s="247" t="s">
        <v>2376</v>
      </c>
      <c r="G3331" s="247" t="s">
        <v>1508</v>
      </c>
      <c r="H3331" s="247" t="s">
        <v>403</v>
      </c>
      <c r="I3331" s="247" t="s">
        <v>2377</v>
      </c>
      <c r="J3331" s="247">
        <v>58</v>
      </c>
      <c r="K3331" s="247">
        <v>58</v>
      </c>
      <c r="L3331" s="249" t="s">
        <v>937</v>
      </c>
      <c r="M3331" s="249" t="s">
        <v>929</v>
      </c>
      <c r="N3331" s="248">
        <v>760.2</v>
      </c>
      <c r="O3331" s="248">
        <v>2660.7</v>
      </c>
      <c r="P3331" s="247" t="s">
        <v>1555</v>
      </c>
      <c r="Q3331" s="247" t="s">
        <v>91</v>
      </c>
    </row>
    <row r="3332" spans="1:17" x14ac:dyDescent="0.25">
      <c r="A3332" s="247" t="s">
        <v>646</v>
      </c>
      <c r="B3332" s="247" t="s">
        <v>265</v>
      </c>
      <c r="C3332" s="247" t="s">
        <v>1492</v>
      </c>
      <c r="D3332" s="247" t="s">
        <v>1507</v>
      </c>
      <c r="E3332" s="247" t="s">
        <v>946</v>
      </c>
      <c r="F3332" s="247" t="s">
        <v>2376</v>
      </c>
      <c r="G3332" s="247" t="s">
        <v>1508</v>
      </c>
      <c r="H3332" s="247" t="s">
        <v>403</v>
      </c>
      <c r="I3332" s="247" t="s">
        <v>2377</v>
      </c>
      <c r="J3332" s="247">
        <v>58</v>
      </c>
      <c r="K3332" s="247">
        <v>58</v>
      </c>
      <c r="L3332" s="249" t="s">
        <v>938</v>
      </c>
      <c r="M3332" s="249" t="s">
        <v>929</v>
      </c>
      <c r="N3332" s="248">
        <v>380.1</v>
      </c>
      <c r="O3332" s="248">
        <v>3040.8</v>
      </c>
      <c r="P3332" s="247" t="s">
        <v>1555</v>
      </c>
      <c r="Q3332" s="247" t="s">
        <v>92</v>
      </c>
    </row>
    <row r="3333" spans="1:17" x14ac:dyDescent="0.25">
      <c r="A3333" s="247" t="s">
        <v>646</v>
      </c>
      <c r="B3333" s="247" t="s">
        <v>265</v>
      </c>
      <c r="C3333" s="247" t="s">
        <v>1492</v>
      </c>
      <c r="D3333" s="247" t="s">
        <v>1507</v>
      </c>
      <c r="E3333" s="247" t="s">
        <v>946</v>
      </c>
      <c r="F3333" s="247" t="s">
        <v>2376</v>
      </c>
      <c r="G3333" s="247" t="s">
        <v>1508</v>
      </c>
      <c r="H3333" s="247" t="s">
        <v>403</v>
      </c>
      <c r="I3333" s="247" t="s">
        <v>2377</v>
      </c>
      <c r="J3333" s="247">
        <v>58</v>
      </c>
      <c r="K3333" s="247">
        <v>58</v>
      </c>
      <c r="L3333" s="249" t="s">
        <v>939</v>
      </c>
      <c r="M3333" s="249" t="s">
        <v>929</v>
      </c>
      <c r="N3333" s="248">
        <v>152.04</v>
      </c>
      <c r="O3333" s="248">
        <v>3192.84</v>
      </c>
      <c r="P3333" s="247" t="s">
        <v>1555</v>
      </c>
      <c r="Q3333" s="247" t="s">
        <v>93</v>
      </c>
    </row>
    <row r="3334" spans="1:17" x14ac:dyDescent="0.25">
      <c r="A3334" s="247" t="s">
        <v>646</v>
      </c>
      <c r="B3334" s="247" t="s">
        <v>265</v>
      </c>
      <c r="C3334" s="247" t="s">
        <v>1492</v>
      </c>
      <c r="D3334" s="247" t="s">
        <v>1507</v>
      </c>
      <c r="E3334" s="247" t="s">
        <v>946</v>
      </c>
      <c r="F3334" s="247" t="s">
        <v>2376</v>
      </c>
      <c r="G3334" s="247" t="s">
        <v>1508</v>
      </c>
      <c r="H3334" s="247" t="s">
        <v>403</v>
      </c>
      <c r="I3334" s="247" t="s">
        <v>2377</v>
      </c>
      <c r="J3334" s="247">
        <v>58</v>
      </c>
      <c r="K3334" s="247">
        <v>58</v>
      </c>
      <c r="L3334" s="249" t="s">
        <v>940</v>
      </c>
      <c r="M3334" s="249" t="s">
        <v>929</v>
      </c>
      <c r="N3334" s="248">
        <v>152.04</v>
      </c>
      <c r="O3334" s="248">
        <v>3344.88</v>
      </c>
      <c r="P3334" s="247" t="s">
        <v>1555</v>
      </c>
      <c r="Q3334" s="247" t="s">
        <v>94</v>
      </c>
    </row>
    <row r="3335" spans="1:17" x14ac:dyDescent="0.25">
      <c r="A3335" s="247" t="s">
        <v>646</v>
      </c>
      <c r="B3335" s="247" t="s">
        <v>265</v>
      </c>
      <c r="C3335" s="247" t="s">
        <v>1492</v>
      </c>
      <c r="D3335" s="247" t="s">
        <v>1507</v>
      </c>
      <c r="E3335" s="247" t="s">
        <v>946</v>
      </c>
      <c r="F3335" s="247" t="s">
        <v>2376</v>
      </c>
      <c r="G3335" s="247" t="s">
        <v>1508</v>
      </c>
      <c r="H3335" s="247" t="s">
        <v>403</v>
      </c>
      <c r="I3335" s="247" t="s">
        <v>2377</v>
      </c>
      <c r="J3335" s="247">
        <v>58</v>
      </c>
      <c r="K3335" s="247">
        <v>58</v>
      </c>
      <c r="L3335" s="249" t="s">
        <v>642</v>
      </c>
      <c r="M3335" s="249" t="s">
        <v>929</v>
      </c>
      <c r="N3335" s="248">
        <v>114.03</v>
      </c>
      <c r="O3335" s="248">
        <v>3458.91</v>
      </c>
      <c r="P3335" s="247" t="s">
        <v>1555</v>
      </c>
      <c r="Q3335" s="247" t="s">
        <v>95</v>
      </c>
    </row>
    <row r="3336" spans="1:17" x14ac:dyDescent="0.25">
      <c r="A3336" s="247" t="s">
        <v>646</v>
      </c>
      <c r="B3336" s="247" t="s">
        <v>265</v>
      </c>
      <c r="C3336" s="247" t="s">
        <v>1556</v>
      </c>
      <c r="D3336" s="247" t="s">
        <v>926</v>
      </c>
      <c r="E3336" s="247" t="s">
        <v>926</v>
      </c>
      <c r="F3336" s="247" t="s">
        <v>2378</v>
      </c>
      <c r="G3336" s="247" t="s">
        <v>1557</v>
      </c>
      <c r="H3336" s="247"/>
      <c r="I3336" s="247" t="s">
        <v>2379</v>
      </c>
      <c r="J3336" s="247">
        <v>43</v>
      </c>
      <c r="K3336" s="247">
        <v>43</v>
      </c>
      <c r="L3336" s="249" t="s">
        <v>646</v>
      </c>
      <c r="M3336" s="249" t="s">
        <v>933</v>
      </c>
      <c r="N3336" s="248">
        <v>0</v>
      </c>
      <c r="O3336" s="248">
        <v>432262.63</v>
      </c>
      <c r="P3336" s="247" t="s">
        <v>1558</v>
      </c>
      <c r="Q3336" s="247" t="s">
        <v>84</v>
      </c>
    </row>
    <row r="3337" spans="1:17" x14ac:dyDescent="0.25">
      <c r="A3337" s="247" t="s">
        <v>646</v>
      </c>
      <c r="B3337" s="247" t="s">
        <v>265</v>
      </c>
      <c r="C3337" s="247" t="s">
        <v>1556</v>
      </c>
      <c r="D3337" s="247" t="s">
        <v>926</v>
      </c>
      <c r="E3337" s="247" t="s">
        <v>926</v>
      </c>
      <c r="F3337" s="247" t="s">
        <v>2378</v>
      </c>
      <c r="G3337" s="247" t="s">
        <v>1557</v>
      </c>
      <c r="H3337" s="247"/>
      <c r="I3337" s="247" t="s">
        <v>2379</v>
      </c>
      <c r="J3337" s="247">
        <v>43</v>
      </c>
      <c r="K3337" s="247">
        <v>43</v>
      </c>
      <c r="L3337" s="249" t="s">
        <v>650</v>
      </c>
      <c r="M3337" s="249" t="s">
        <v>933</v>
      </c>
      <c r="N3337" s="248">
        <v>0</v>
      </c>
      <c r="O3337" s="248">
        <v>432262.63</v>
      </c>
      <c r="P3337" s="247" t="s">
        <v>1558</v>
      </c>
      <c r="Q3337" s="247" t="s">
        <v>85</v>
      </c>
    </row>
    <row r="3338" spans="1:17" x14ac:dyDescent="0.25">
      <c r="A3338" s="247" t="s">
        <v>646</v>
      </c>
      <c r="B3338" s="247" t="s">
        <v>265</v>
      </c>
      <c r="C3338" s="247" t="s">
        <v>1556</v>
      </c>
      <c r="D3338" s="247" t="s">
        <v>926</v>
      </c>
      <c r="E3338" s="247" t="s">
        <v>926</v>
      </c>
      <c r="F3338" s="247" t="s">
        <v>2378</v>
      </c>
      <c r="G3338" s="247" t="s">
        <v>1557</v>
      </c>
      <c r="H3338" s="247"/>
      <c r="I3338" s="247" t="s">
        <v>2379</v>
      </c>
      <c r="J3338" s="247">
        <v>43</v>
      </c>
      <c r="K3338" s="247">
        <v>43</v>
      </c>
      <c r="L3338" s="249" t="s">
        <v>652</v>
      </c>
      <c r="M3338" s="249" t="s">
        <v>933</v>
      </c>
      <c r="N3338" s="248">
        <v>0</v>
      </c>
      <c r="O3338" s="248">
        <v>432262.63</v>
      </c>
      <c r="P3338" s="247" t="s">
        <v>1558</v>
      </c>
      <c r="Q3338" s="247" t="s">
        <v>86</v>
      </c>
    </row>
    <row r="3339" spans="1:17" x14ac:dyDescent="0.25">
      <c r="A3339" s="247" t="s">
        <v>646</v>
      </c>
      <c r="B3339" s="247" t="s">
        <v>265</v>
      </c>
      <c r="C3339" s="247" t="s">
        <v>1556</v>
      </c>
      <c r="D3339" s="247" t="s">
        <v>926</v>
      </c>
      <c r="E3339" s="247" t="s">
        <v>1324</v>
      </c>
      <c r="F3339" s="247" t="s">
        <v>2380</v>
      </c>
      <c r="G3339" s="247" t="s">
        <v>1559</v>
      </c>
      <c r="H3339" s="247" t="s">
        <v>396</v>
      </c>
      <c r="I3339" s="247" t="s">
        <v>2381</v>
      </c>
      <c r="J3339" s="247">
        <v>43</v>
      </c>
      <c r="K3339" s="247">
        <v>43</v>
      </c>
      <c r="L3339" s="249" t="s">
        <v>646</v>
      </c>
      <c r="M3339" s="249" t="s">
        <v>933</v>
      </c>
      <c r="N3339" s="248">
        <v>1384.35</v>
      </c>
      <c r="O3339" s="248">
        <v>1384.35</v>
      </c>
      <c r="P3339" s="247" t="s">
        <v>1560</v>
      </c>
      <c r="Q3339" s="247" t="s">
        <v>84</v>
      </c>
    </row>
    <row r="3340" spans="1:17" x14ac:dyDescent="0.25">
      <c r="A3340" s="247" t="s">
        <v>646</v>
      </c>
      <c r="B3340" s="247" t="s">
        <v>265</v>
      </c>
      <c r="C3340" s="247" t="s">
        <v>1556</v>
      </c>
      <c r="D3340" s="247" t="s">
        <v>926</v>
      </c>
      <c r="E3340" s="247" t="s">
        <v>1324</v>
      </c>
      <c r="F3340" s="247" t="s">
        <v>2380</v>
      </c>
      <c r="G3340" s="247" t="s">
        <v>1559</v>
      </c>
      <c r="H3340" s="247" t="s">
        <v>396</v>
      </c>
      <c r="I3340" s="247" t="s">
        <v>2381</v>
      </c>
      <c r="J3340" s="247">
        <v>43</v>
      </c>
      <c r="K3340" s="247">
        <v>43</v>
      </c>
      <c r="L3340" s="249" t="s">
        <v>650</v>
      </c>
      <c r="M3340" s="249" t="s">
        <v>933</v>
      </c>
      <c r="N3340" s="248">
        <v>1384.35</v>
      </c>
      <c r="O3340" s="248">
        <v>2768.7</v>
      </c>
      <c r="P3340" s="247" t="s">
        <v>1560</v>
      </c>
      <c r="Q3340" s="247" t="s">
        <v>85</v>
      </c>
    </row>
    <row r="3341" spans="1:17" x14ac:dyDescent="0.25">
      <c r="A3341" s="247" t="s">
        <v>646</v>
      </c>
      <c r="B3341" s="247" t="s">
        <v>265</v>
      </c>
      <c r="C3341" s="247" t="s">
        <v>1556</v>
      </c>
      <c r="D3341" s="247" t="s">
        <v>926</v>
      </c>
      <c r="E3341" s="247" t="s">
        <v>1324</v>
      </c>
      <c r="F3341" s="247" t="s">
        <v>2380</v>
      </c>
      <c r="G3341" s="247" t="s">
        <v>1559</v>
      </c>
      <c r="H3341" s="247" t="s">
        <v>396</v>
      </c>
      <c r="I3341" s="247" t="s">
        <v>2381</v>
      </c>
      <c r="J3341" s="247">
        <v>43</v>
      </c>
      <c r="K3341" s="247">
        <v>43</v>
      </c>
      <c r="L3341" s="249" t="s">
        <v>652</v>
      </c>
      <c r="M3341" s="249" t="s">
        <v>933</v>
      </c>
      <c r="N3341" s="248">
        <v>2925.92</v>
      </c>
      <c r="O3341" s="248">
        <v>5694.62</v>
      </c>
      <c r="P3341" s="247" t="s">
        <v>1560</v>
      </c>
      <c r="Q3341" s="247" t="s">
        <v>86</v>
      </c>
    </row>
    <row r="3342" spans="1:17" x14ac:dyDescent="0.25">
      <c r="A3342" s="247" t="s">
        <v>646</v>
      </c>
      <c r="B3342" s="247" t="s">
        <v>265</v>
      </c>
      <c r="C3342" s="247" t="s">
        <v>1556</v>
      </c>
      <c r="D3342" s="247" t="s">
        <v>926</v>
      </c>
      <c r="E3342" s="247" t="s">
        <v>1324</v>
      </c>
      <c r="F3342" s="247" t="s">
        <v>2380</v>
      </c>
      <c r="G3342" s="247" t="s">
        <v>1559</v>
      </c>
      <c r="H3342" s="247" t="s">
        <v>396</v>
      </c>
      <c r="I3342" s="247" t="s">
        <v>2381</v>
      </c>
      <c r="J3342" s="247">
        <v>43</v>
      </c>
      <c r="K3342" s="247">
        <v>43</v>
      </c>
      <c r="L3342" s="249" t="s">
        <v>789</v>
      </c>
      <c r="M3342" s="249" t="s">
        <v>929</v>
      </c>
      <c r="N3342" s="248">
        <v>2168.1999999999998</v>
      </c>
      <c r="O3342" s="248">
        <v>2168.1999999999998</v>
      </c>
      <c r="P3342" s="247" t="s">
        <v>1560</v>
      </c>
      <c r="Q3342" s="247" t="s">
        <v>87</v>
      </c>
    </row>
    <row r="3343" spans="1:17" x14ac:dyDescent="0.25">
      <c r="A3343" s="247" t="s">
        <v>646</v>
      </c>
      <c r="B3343" s="247" t="s">
        <v>265</v>
      </c>
      <c r="C3343" s="247" t="s">
        <v>1556</v>
      </c>
      <c r="D3343" s="247" t="s">
        <v>926</v>
      </c>
      <c r="E3343" s="247" t="s">
        <v>1324</v>
      </c>
      <c r="F3343" s="247" t="s">
        <v>2380</v>
      </c>
      <c r="G3343" s="247" t="s">
        <v>1559</v>
      </c>
      <c r="H3343" s="247" t="s">
        <v>396</v>
      </c>
      <c r="I3343" s="247" t="s">
        <v>2381</v>
      </c>
      <c r="J3343" s="247">
        <v>43</v>
      </c>
      <c r="K3343" s="247">
        <v>43</v>
      </c>
      <c r="L3343" s="249" t="s">
        <v>791</v>
      </c>
      <c r="M3343" s="249" t="s">
        <v>929</v>
      </c>
      <c r="N3343" s="248">
        <v>2168.1999999999998</v>
      </c>
      <c r="O3343" s="248">
        <v>4336.3999999999996</v>
      </c>
      <c r="P3343" s="247" t="s">
        <v>1560</v>
      </c>
      <c r="Q3343" s="247" t="s">
        <v>88</v>
      </c>
    </row>
    <row r="3344" spans="1:17" x14ac:dyDescent="0.25">
      <c r="A3344" s="247" t="s">
        <v>646</v>
      </c>
      <c r="B3344" s="247" t="s">
        <v>265</v>
      </c>
      <c r="C3344" s="247" t="s">
        <v>1556</v>
      </c>
      <c r="D3344" s="247" t="s">
        <v>926</v>
      </c>
      <c r="E3344" s="247" t="s">
        <v>1324</v>
      </c>
      <c r="F3344" s="247" t="s">
        <v>2380</v>
      </c>
      <c r="G3344" s="247" t="s">
        <v>1559</v>
      </c>
      <c r="H3344" s="247" t="s">
        <v>396</v>
      </c>
      <c r="I3344" s="247" t="s">
        <v>2381</v>
      </c>
      <c r="J3344" s="247">
        <v>43</v>
      </c>
      <c r="K3344" s="247">
        <v>43</v>
      </c>
      <c r="L3344" s="249" t="s">
        <v>935</v>
      </c>
      <c r="M3344" s="249" t="s">
        <v>929</v>
      </c>
      <c r="N3344" s="248">
        <v>2168.1999999999998</v>
      </c>
      <c r="O3344" s="248">
        <v>6504.6</v>
      </c>
      <c r="P3344" s="247" t="s">
        <v>1560</v>
      </c>
      <c r="Q3344" s="247" t="s">
        <v>89</v>
      </c>
    </row>
    <row r="3345" spans="1:17" x14ac:dyDescent="0.25">
      <c r="A3345" s="247" t="s">
        <v>646</v>
      </c>
      <c r="B3345" s="247" t="s">
        <v>265</v>
      </c>
      <c r="C3345" s="247" t="s">
        <v>1556</v>
      </c>
      <c r="D3345" s="247" t="s">
        <v>926</v>
      </c>
      <c r="E3345" s="247" t="s">
        <v>1324</v>
      </c>
      <c r="F3345" s="247" t="s">
        <v>2380</v>
      </c>
      <c r="G3345" s="247" t="s">
        <v>1559</v>
      </c>
      <c r="H3345" s="247" t="s">
        <v>396</v>
      </c>
      <c r="I3345" s="247" t="s">
        <v>2381</v>
      </c>
      <c r="J3345" s="247">
        <v>43</v>
      </c>
      <c r="K3345" s="247">
        <v>43</v>
      </c>
      <c r="L3345" s="249" t="s">
        <v>936</v>
      </c>
      <c r="M3345" s="249" t="s">
        <v>929</v>
      </c>
      <c r="N3345" s="248">
        <v>2168.1999999999998</v>
      </c>
      <c r="O3345" s="248">
        <v>8672.7999999999993</v>
      </c>
      <c r="P3345" s="247" t="s">
        <v>1560</v>
      </c>
      <c r="Q3345" s="247" t="s">
        <v>90</v>
      </c>
    </row>
    <row r="3346" spans="1:17" x14ac:dyDescent="0.25">
      <c r="A3346" s="247" t="s">
        <v>646</v>
      </c>
      <c r="B3346" s="247" t="s">
        <v>265</v>
      </c>
      <c r="C3346" s="247" t="s">
        <v>1556</v>
      </c>
      <c r="D3346" s="247" t="s">
        <v>926</v>
      </c>
      <c r="E3346" s="247" t="s">
        <v>1324</v>
      </c>
      <c r="F3346" s="247" t="s">
        <v>2380</v>
      </c>
      <c r="G3346" s="247" t="s">
        <v>1559</v>
      </c>
      <c r="H3346" s="247" t="s">
        <v>396</v>
      </c>
      <c r="I3346" s="247" t="s">
        <v>2381</v>
      </c>
      <c r="J3346" s="247">
        <v>43</v>
      </c>
      <c r="K3346" s="247">
        <v>43</v>
      </c>
      <c r="L3346" s="249" t="s">
        <v>937</v>
      </c>
      <c r="M3346" s="249" t="s">
        <v>929</v>
      </c>
      <c r="N3346" s="248">
        <v>2168.1999999999998</v>
      </c>
      <c r="O3346" s="248">
        <v>10841</v>
      </c>
      <c r="P3346" s="247" t="s">
        <v>1560</v>
      </c>
      <c r="Q3346" s="247" t="s">
        <v>91</v>
      </c>
    </row>
    <row r="3347" spans="1:17" x14ac:dyDescent="0.25">
      <c r="A3347" s="247" t="s">
        <v>646</v>
      </c>
      <c r="B3347" s="247" t="s">
        <v>265</v>
      </c>
      <c r="C3347" s="247" t="s">
        <v>1556</v>
      </c>
      <c r="D3347" s="247" t="s">
        <v>926</v>
      </c>
      <c r="E3347" s="247" t="s">
        <v>1324</v>
      </c>
      <c r="F3347" s="247" t="s">
        <v>2380</v>
      </c>
      <c r="G3347" s="247" t="s">
        <v>1559</v>
      </c>
      <c r="H3347" s="247" t="s">
        <v>396</v>
      </c>
      <c r="I3347" s="247" t="s">
        <v>2381</v>
      </c>
      <c r="J3347" s="247">
        <v>43</v>
      </c>
      <c r="K3347" s="247">
        <v>43</v>
      </c>
      <c r="L3347" s="249" t="s">
        <v>938</v>
      </c>
      <c r="M3347" s="249" t="s">
        <v>929</v>
      </c>
      <c r="N3347" s="248">
        <v>2168.1999999999998</v>
      </c>
      <c r="O3347" s="248">
        <v>13009.2</v>
      </c>
      <c r="P3347" s="247" t="s">
        <v>1560</v>
      </c>
      <c r="Q3347" s="247" t="s">
        <v>92</v>
      </c>
    </row>
    <row r="3348" spans="1:17" x14ac:dyDescent="0.25">
      <c r="A3348" s="247" t="s">
        <v>646</v>
      </c>
      <c r="B3348" s="247" t="s">
        <v>265</v>
      </c>
      <c r="C3348" s="247" t="s">
        <v>1556</v>
      </c>
      <c r="D3348" s="247" t="s">
        <v>926</v>
      </c>
      <c r="E3348" s="247" t="s">
        <v>1324</v>
      </c>
      <c r="F3348" s="247" t="s">
        <v>2380</v>
      </c>
      <c r="G3348" s="247" t="s">
        <v>1559</v>
      </c>
      <c r="H3348" s="247" t="s">
        <v>396</v>
      </c>
      <c r="I3348" s="247" t="s">
        <v>2381</v>
      </c>
      <c r="J3348" s="247">
        <v>43</v>
      </c>
      <c r="K3348" s="247">
        <v>43</v>
      </c>
      <c r="L3348" s="249" t="s">
        <v>939</v>
      </c>
      <c r="M3348" s="249" t="s">
        <v>929</v>
      </c>
      <c r="N3348" s="248">
        <v>2168.1999999999998</v>
      </c>
      <c r="O3348" s="248">
        <v>15177.4</v>
      </c>
      <c r="P3348" s="247" t="s">
        <v>1560</v>
      </c>
      <c r="Q3348" s="247" t="s">
        <v>93</v>
      </c>
    </row>
    <row r="3349" spans="1:17" x14ac:dyDescent="0.25">
      <c r="A3349" s="247" t="s">
        <v>646</v>
      </c>
      <c r="B3349" s="247" t="s">
        <v>265</v>
      </c>
      <c r="C3349" s="247" t="s">
        <v>1556</v>
      </c>
      <c r="D3349" s="247" t="s">
        <v>926</v>
      </c>
      <c r="E3349" s="247" t="s">
        <v>1324</v>
      </c>
      <c r="F3349" s="247" t="s">
        <v>2380</v>
      </c>
      <c r="G3349" s="247" t="s">
        <v>1559</v>
      </c>
      <c r="H3349" s="247" t="s">
        <v>396</v>
      </c>
      <c r="I3349" s="247" t="s">
        <v>2381</v>
      </c>
      <c r="J3349" s="247">
        <v>43</v>
      </c>
      <c r="K3349" s="247">
        <v>43</v>
      </c>
      <c r="L3349" s="249" t="s">
        <v>940</v>
      </c>
      <c r="M3349" s="249" t="s">
        <v>929</v>
      </c>
      <c r="N3349" s="248">
        <v>2168.1999999999998</v>
      </c>
      <c r="O3349" s="248">
        <v>17345.599999999999</v>
      </c>
      <c r="P3349" s="247" t="s">
        <v>1560</v>
      </c>
      <c r="Q3349" s="247" t="s">
        <v>94</v>
      </c>
    </row>
    <row r="3350" spans="1:17" x14ac:dyDescent="0.25">
      <c r="A3350" s="247" t="s">
        <v>646</v>
      </c>
      <c r="B3350" s="247" t="s">
        <v>265</v>
      </c>
      <c r="C3350" s="247" t="s">
        <v>1556</v>
      </c>
      <c r="D3350" s="247" t="s">
        <v>926</v>
      </c>
      <c r="E3350" s="247" t="s">
        <v>1324</v>
      </c>
      <c r="F3350" s="247" t="s">
        <v>2380</v>
      </c>
      <c r="G3350" s="247" t="s">
        <v>1559</v>
      </c>
      <c r="H3350" s="247" t="s">
        <v>396</v>
      </c>
      <c r="I3350" s="247" t="s">
        <v>2381</v>
      </c>
      <c r="J3350" s="247">
        <v>43</v>
      </c>
      <c r="K3350" s="247">
        <v>43</v>
      </c>
      <c r="L3350" s="249" t="s">
        <v>642</v>
      </c>
      <c r="M3350" s="249" t="s">
        <v>929</v>
      </c>
      <c r="N3350" s="248">
        <v>2168.1999999999998</v>
      </c>
      <c r="O3350" s="248">
        <v>19513.8</v>
      </c>
      <c r="P3350" s="247" t="s">
        <v>1560</v>
      </c>
      <c r="Q3350" s="247" t="s">
        <v>95</v>
      </c>
    </row>
    <row r="3351" spans="1:17" x14ac:dyDescent="0.25">
      <c r="A3351" s="247" t="s">
        <v>646</v>
      </c>
      <c r="B3351" s="247" t="s">
        <v>265</v>
      </c>
      <c r="C3351" s="247" t="s">
        <v>1556</v>
      </c>
      <c r="D3351" s="247" t="s">
        <v>926</v>
      </c>
      <c r="E3351" s="247" t="s">
        <v>711</v>
      </c>
      <c r="F3351" s="247" t="s">
        <v>2382</v>
      </c>
      <c r="G3351" s="247" t="s">
        <v>1561</v>
      </c>
      <c r="H3351" s="247" t="s">
        <v>392</v>
      </c>
      <c r="I3351" s="247" t="s">
        <v>2383</v>
      </c>
      <c r="J3351" s="247">
        <v>43</v>
      </c>
      <c r="K3351" s="247">
        <v>43</v>
      </c>
      <c r="L3351" s="249" t="s">
        <v>646</v>
      </c>
      <c r="M3351" s="249" t="s">
        <v>933</v>
      </c>
      <c r="N3351" s="248">
        <v>30433.88</v>
      </c>
      <c r="O3351" s="248">
        <v>30433.88</v>
      </c>
      <c r="P3351" s="247" t="s">
        <v>1562</v>
      </c>
      <c r="Q3351" s="247" t="s">
        <v>84</v>
      </c>
    </row>
    <row r="3352" spans="1:17" x14ac:dyDescent="0.25">
      <c r="A3352" s="247" t="s">
        <v>646</v>
      </c>
      <c r="B3352" s="247" t="s">
        <v>265</v>
      </c>
      <c r="C3352" s="247" t="s">
        <v>1556</v>
      </c>
      <c r="D3352" s="247" t="s">
        <v>926</v>
      </c>
      <c r="E3352" s="247" t="s">
        <v>711</v>
      </c>
      <c r="F3352" s="247" t="s">
        <v>2382</v>
      </c>
      <c r="G3352" s="247" t="s">
        <v>1561</v>
      </c>
      <c r="H3352" s="247" t="s">
        <v>392</v>
      </c>
      <c r="I3352" s="247" t="s">
        <v>2383</v>
      </c>
      <c r="J3352" s="247">
        <v>43</v>
      </c>
      <c r="K3352" s="247">
        <v>43</v>
      </c>
      <c r="L3352" s="249" t="s">
        <v>650</v>
      </c>
      <c r="M3352" s="249" t="s">
        <v>933</v>
      </c>
      <c r="N3352" s="248">
        <v>30433.88</v>
      </c>
      <c r="O3352" s="248">
        <v>60867.76</v>
      </c>
      <c r="P3352" s="247" t="s">
        <v>1562</v>
      </c>
      <c r="Q3352" s="247" t="s">
        <v>85</v>
      </c>
    </row>
    <row r="3353" spans="1:17" x14ac:dyDescent="0.25">
      <c r="A3353" s="247" t="s">
        <v>646</v>
      </c>
      <c r="B3353" s="247" t="s">
        <v>265</v>
      </c>
      <c r="C3353" s="247" t="s">
        <v>1556</v>
      </c>
      <c r="D3353" s="247" t="s">
        <v>926</v>
      </c>
      <c r="E3353" s="247" t="s">
        <v>711</v>
      </c>
      <c r="F3353" s="247" t="s">
        <v>2382</v>
      </c>
      <c r="G3353" s="247" t="s">
        <v>1561</v>
      </c>
      <c r="H3353" s="247" t="s">
        <v>392</v>
      </c>
      <c r="I3353" s="247" t="s">
        <v>2383</v>
      </c>
      <c r="J3353" s="247">
        <v>43</v>
      </c>
      <c r="K3353" s="247">
        <v>43</v>
      </c>
      <c r="L3353" s="249" t="s">
        <v>652</v>
      </c>
      <c r="M3353" s="249" t="s">
        <v>933</v>
      </c>
      <c r="N3353" s="248">
        <v>30433.81</v>
      </c>
      <c r="O3353" s="248">
        <v>91301.57</v>
      </c>
      <c r="P3353" s="247" t="s">
        <v>1562</v>
      </c>
      <c r="Q3353" s="247" t="s">
        <v>86</v>
      </c>
    </row>
    <row r="3354" spans="1:17" x14ac:dyDescent="0.25">
      <c r="A3354" s="247" t="s">
        <v>646</v>
      </c>
      <c r="B3354" s="247" t="s">
        <v>265</v>
      </c>
      <c r="C3354" s="247" t="s">
        <v>1556</v>
      </c>
      <c r="D3354" s="247" t="s">
        <v>926</v>
      </c>
      <c r="E3354" s="247" t="s">
        <v>711</v>
      </c>
      <c r="F3354" s="247" t="s">
        <v>2382</v>
      </c>
      <c r="G3354" s="247" t="s">
        <v>1561</v>
      </c>
      <c r="H3354" s="247" t="s">
        <v>392</v>
      </c>
      <c r="I3354" s="247" t="s">
        <v>2383</v>
      </c>
      <c r="J3354" s="247">
        <v>43</v>
      </c>
      <c r="K3354" s="247">
        <v>43</v>
      </c>
      <c r="L3354" s="249" t="s">
        <v>789</v>
      </c>
      <c r="M3354" s="249" t="s">
        <v>929</v>
      </c>
      <c r="N3354" s="248">
        <v>30433.88</v>
      </c>
      <c r="O3354" s="248">
        <v>30433.88</v>
      </c>
      <c r="P3354" s="247" t="s">
        <v>1562</v>
      </c>
      <c r="Q3354" s="247" t="s">
        <v>87</v>
      </c>
    </row>
    <row r="3355" spans="1:17" x14ac:dyDescent="0.25">
      <c r="A3355" s="247" t="s">
        <v>646</v>
      </c>
      <c r="B3355" s="247" t="s">
        <v>265</v>
      </c>
      <c r="C3355" s="247" t="s">
        <v>1556</v>
      </c>
      <c r="D3355" s="247" t="s">
        <v>926</v>
      </c>
      <c r="E3355" s="247" t="s">
        <v>711</v>
      </c>
      <c r="F3355" s="247" t="s">
        <v>2382</v>
      </c>
      <c r="G3355" s="247" t="s">
        <v>1561</v>
      </c>
      <c r="H3355" s="247" t="s">
        <v>392</v>
      </c>
      <c r="I3355" s="247" t="s">
        <v>2383</v>
      </c>
      <c r="J3355" s="247">
        <v>43</v>
      </c>
      <c r="K3355" s="247">
        <v>43</v>
      </c>
      <c r="L3355" s="249" t="s">
        <v>791</v>
      </c>
      <c r="M3355" s="249" t="s">
        <v>929</v>
      </c>
      <c r="N3355" s="248">
        <v>30433.88</v>
      </c>
      <c r="O3355" s="248">
        <v>60867.76</v>
      </c>
      <c r="P3355" s="247" t="s">
        <v>1562</v>
      </c>
      <c r="Q3355" s="247" t="s">
        <v>88</v>
      </c>
    </row>
    <row r="3356" spans="1:17" x14ac:dyDescent="0.25">
      <c r="A3356" s="247" t="s">
        <v>646</v>
      </c>
      <c r="B3356" s="247" t="s">
        <v>265</v>
      </c>
      <c r="C3356" s="247" t="s">
        <v>1556</v>
      </c>
      <c r="D3356" s="247" t="s">
        <v>926</v>
      </c>
      <c r="E3356" s="247" t="s">
        <v>711</v>
      </c>
      <c r="F3356" s="247" t="s">
        <v>2382</v>
      </c>
      <c r="G3356" s="247" t="s">
        <v>1561</v>
      </c>
      <c r="H3356" s="247" t="s">
        <v>392</v>
      </c>
      <c r="I3356" s="247" t="s">
        <v>2383</v>
      </c>
      <c r="J3356" s="247">
        <v>43</v>
      </c>
      <c r="K3356" s="247">
        <v>43</v>
      </c>
      <c r="L3356" s="249" t="s">
        <v>935</v>
      </c>
      <c r="M3356" s="249" t="s">
        <v>929</v>
      </c>
      <c r="N3356" s="248">
        <v>30433.88</v>
      </c>
      <c r="O3356" s="248">
        <v>91301.64</v>
      </c>
      <c r="P3356" s="247" t="s">
        <v>1562</v>
      </c>
      <c r="Q3356" s="247" t="s">
        <v>89</v>
      </c>
    </row>
    <row r="3357" spans="1:17" x14ac:dyDescent="0.25">
      <c r="A3357" s="247" t="s">
        <v>646</v>
      </c>
      <c r="B3357" s="247" t="s">
        <v>265</v>
      </c>
      <c r="C3357" s="247" t="s">
        <v>1556</v>
      </c>
      <c r="D3357" s="247" t="s">
        <v>926</v>
      </c>
      <c r="E3357" s="247" t="s">
        <v>711</v>
      </c>
      <c r="F3357" s="247" t="s">
        <v>2382</v>
      </c>
      <c r="G3357" s="247" t="s">
        <v>1561</v>
      </c>
      <c r="H3357" s="247" t="s">
        <v>392</v>
      </c>
      <c r="I3357" s="247" t="s">
        <v>2383</v>
      </c>
      <c r="J3357" s="247">
        <v>43</v>
      </c>
      <c r="K3357" s="247">
        <v>43</v>
      </c>
      <c r="L3357" s="249" t="s">
        <v>936</v>
      </c>
      <c r="M3357" s="249" t="s">
        <v>929</v>
      </c>
      <c r="N3357" s="248">
        <v>30433.88</v>
      </c>
      <c r="O3357" s="248">
        <v>121735.52</v>
      </c>
      <c r="P3357" s="247" t="s">
        <v>1562</v>
      </c>
      <c r="Q3357" s="247" t="s">
        <v>90</v>
      </c>
    </row>
    <row r="3358" spans="1:17" x14ac:dyDescent="0.25">
      <c r="A3358" s="247" t="s">
        <v>646</v>
      </c>
      <c r="B3358" s="247" t="s">
        <v>265</v>
      </c>
      <c r="C3358" s="247" t="s">
        <v>1556</v>
      </c>
      <c r="D3358" s="247" t="s">
        <v>926</v>
      </c>
      <c r="E3358" s="247" t="s">
        <v>711</v>
      </c>
      <c r="F3358" s="247" t="s">
        <v>2382</v>
      </c>
      <c r="G3358" s="247" t="s">
        <v>1561</v>
      </c>
      <c r="H3358" s="247" t="s">
        <v>392</v>
      </c>
      <c r="I3358" s="247" t="s">
        <v>2383</v>
      </c>
      <c r="J3358" s="247">
        <v>43</v>
      </c>
      <c r="K3358" s="247">
        <v>43</v>
      </c>
      <c r="L3358" s="249" t="s">
        <v>937</v>
      </c>
      <c r="M3358" s="249" t="s">
        <v>929</v>
      </c>
      <c r="N3358" s="248">
        <v>30433.88</v>
      </c>
      <c r="O3358" s="248">
        <v>152169.4</v>
      </c>
      <c r="P3358" s="247" t="s">
        <v>1562</v>
      </c>
      <c r="Q3358" s="247" t="s">
        <v>91</v>
      </c>
    </row>
    <row r="3359" spans="1:17" x14ac:dyDescent="0.25">
      <c r="A3359" s="247" t="s">
        <v>646</v>
      </c>
      <c r="B3359" s="247" t="s">
        <v>265</v>
      </c>
      <c r="C3359" s="247" t="s">
        <v>1556</v>
      </c>
      <c r="D3359" s="247" t="s">
        <v>926</v>
      </c>
      <c r="E3359" s="247" t="s">
        <v>711</v>
      </c>
      <c r="F3359" s="247" t="s">
        <v>2382</v>
      </c>
      <c r="G3359" s="247" t="s">
        <v>1561</v>
      </c>
      <c r="H3359" s="247" t="s">
        <v>392</v>
      </c>
      <c r="I3359" s="247" t="s">
        <v>2383</v>
      </c>
      <c r="J3359" s="247">
        <v>43</v>
      </c>
      <c r="K3359" s="247">
        <v>43</v>
      </c>
      <c r="L3359" s="249" t="s">
        <v>938</v>
      </c>
      <c r="M3359" s="249" t="s">
        <v>929</v>
      </c>
      <c r="N3359" s="248">
        <v>30433.89</v>
      </c>
      <c r="O3359" s="248">
        <v>182603.29</v>
      </c>
      <c r="P3359" s="247" t="s">
        <v>1562</v>
      </c>
      <c r="Q3359" s="247" t="s">
        <v>92</v>
      </c>
    </row>
    <row r="3360" spans="1:17" x14ac:dyDescent="0.25">
      <c r="A3360" s="247" t="s">
        <v>646</v>
      </c>
      <c r="B3360" s="247" t="s">
        <v>265</v>
      </c>
      <c r="C3360" s="247" t="s">
        <v>1556</v>
      </c>
      <c r="D3360" s="247" t="s">
        <v>926</v>
      </c>
      <c r="E3360" s="247" t="s">
        <v>711</v>
      </c>
      <c r="F3360" s="247" t="s">
        <v>2382</v>
      </c>
      <c r="G3360" s="247" t="s">
        <v>1561</v>
      </c>
      <c r="H3360" s="247" t="s">
        <v>392</v>
      </c>
      <c r="I3360" s="247" t="s">
        <v>2383</v>
      </c>
      <c r="J3360" s="247">
        <v>43</v>
      </c>
      <c r="K3360" s="247">
        <v>43</v>
      </c>
      <c r="L3360" s="249" t="s">
        <v>939</v>
      </c>
      <c r="M3360" s="249" t="s">
        <v>929</v>
      </c>
      <c r="N3360" s="248">
        <v>30433.89</v>
      </c>
      <c r="O3360" s="248">
        <v>213037.18</v>
      </c>
      <c r="P3360" s="247" t="s">
        <v>1562</v>
      </c>
      <c r="Q3360" s="247" t="s">
        <v>93</v>
      </c>
    </row>
    <row r="3361" spans="1:17" x14ac:dyDescent="0.25">
      <c r="A3361" s="247" t="s">
        <v>646</v>
      </c>
      <c r="B3361" s="247" t="s">
        <v>265</v>
      </c>
      <c r="C3361" s="247" t="s">
        <v>1556</v>
      </c>
      <c r="D3361" s="247" t="s">
        <v>926</v>
      </c>
      <c r="E3361" s="247" t="s">
        <v>711</v>
      </c>
      <c r="F3361" s="247" t="s">
        <v>2382</v>
      </c>
      <c r="G3361" s="247" t="s">
        <v>1561</v>
      </c>
      <c r="H3361" s="247" t="s">
        <v>392</v>
      </c>
      <c r="I3361" s="247" t="s">
        <v>2383</v>
      </c>
      <c r="J3361" s="247">
        <v>43</v>
      </c>
      <c r="K3361" s="247">
        <v>43</v>
      </c>
      <c r="L3361" s="249" t="s">
        <v>940</v>
      </c>
      <c r="M3361" s="249" t="s">
        <v>929</v>
      </c>
      <c r="N3361" s="248">
        <v>30433.89</v>
      </c>
      <c r="O3361" s="248">
        <v>243471.07</v>
      </c>
      <c r="P3361" s="247" t="s">
        <v>1562</v>
      </c>
      <c r="Q3361" s="247" t="s">
        <v>94</v>
      </c>
    </row>
    <row r="3362" spans="1:17" x14ac:dyDescent="0.25">
      <c r="A3362" s="247" t="s">
        <v>646</v>
      </c>
      <c r="B3362" s="247" t="s">
        <v>265</v>
      </c>
      <c r="C3362" s="247" t="s">
        <v>1556</v>
      </c>
      <c r="D3362" s="247" t="s">
        <v>926</v>
      </c>
      <c r="E3362" s="247" t="s">
        <v>711</v>
      </c>
      <c r="F3362" s="247" t="s">
        <v>2382</v>
      </c>
      <c r="G3362" s="247" t="s">
        <v>1561</v>
      </c>
      <c r="H3362" s="247" t="s">
        <v>392</v>
      </c>
      <c r="I3362" s="247" t="s">
        <v>2383</v>
      </c>
      <c r="J3362" s="247">
        <v>43</v>
      </c>
      <c r="K3362" s="247">
        <v>43</v>
      </c>
      <c r="L3362" s="249" t="s">
        <v>642</v>
      </c>
      <c r="M3362" s="249" t="s">
        <v>929</v>
      </c>
      <c r="N3362" s="248">
        <v>29121.64</v>
      </c>
      <c r="O3362" s="248">
        <v>272592.71000000002</v>
      </c>
      <c r="P3362" s="247" t="s">
        <v>1562</v>
      </c>
      <c r="Q3362" s="247" t="s">
        <v>95</v>
      </c>
    </row>
    <row r="3363" spans="1:17" x14ac:dyDescent="0.25">
      <c r="A3363" s="247" t="s">
        <v>646</v>
      </c>
      <c r="B3363" s="247" t="s">
        <v>265</v>
      </c>
      <c r="C3363" s="247" t="s">
        <v>1556</v>
      </c>
      <c r="D3363" s="247" t="s">
        <v>926</v>
      </c>
      <c r="E3363" s="247" t="s">
        <v>569</v>
      </c>
      <c r="F3363" s="247" t="s">
        <v>2384</v>
      </c>
      <c r="G3363" s="247" t="s">
        <v>1563</v>
      </c>
      <c r="H3363" s="247" t="s">
        <v>397</v>
      </c>
      <c r="I3363" s="247" t="s">
        <v>2385</v>
      </c>
      <c r="J3363" s="247">
        <v>43</v>
      </c>
      <c r="K3363" s="247">
        <v>43</v>
      </c>
      <c r="L3363" s="249" t="s">
        <v>646</v>
      </c>
      <c r="M3363" s="249" t="s">
        <v>933</v>
      </c>
      <c r="N3363" s="248">
        <v>10292.75</v>
      </c>
      <c r="O3363" s="248">
        <v>10292.75</v>
      </c>
      <c r="P3363" s="247" t="s">
        <v>1564</v>
      </c>
      <c r="Q3363" s="247" t="s">
        <v>84</v>
      </c>
    </row>
    <row r="3364" spans="1:17" x14ac:dyDescent="0.25">
      <c r="A3364" s="247" t="s">
        <v>646</v>
      </c>
      <c r="B3364" s="247" t="s">
        <v>265</v>
      </c>
      <c r="C3364" s="247" t="s">
        <v>1556</v>
      </c>
      <c r="D3364" s="247" t="s">
        <v>926</v>
      </c>
      <c r="E3364" s="247" t="s">
        <v>569</v>
      </c>
      <c r="F3364" s="247" t="s">
        <v>2384</v>
      </c>
      <c r="G3364" s="247" t="s">
        <v>1563</v>
      </c>
      <c r="H3364" s="247" t="s">
        <v>397</v>
      </c>
      <c r="I3364" s="247" t="s">
        <v>2385</v>
      </c>
      <c r="J3364" s="247">
        <v>43</v>
      </c>
      <c r="K3364" s="247">
        <v>43</v>
      </c>
      <c r="L3364" s="249" t="s">
        <v>650</v>
      </c>
      <c r="M3364" s="249" t="s">
        <v>933</v>
      </c>
      <c r="N3364" s="248">
        <v>10292.75</v>
      </c>
      <c r="O3364" s="248">
        <v>20585.5</v>
      </c>
      <c r="P3364" s="247" t="s">
        <v>1564</v>
      </c>
      <c r="Q3364" s="247" t="s">
        <v>85</v>
      </c>
    </row>
    <row r="3365" spans="1:17" x14ac:dyDescent="0.25">
      <c r="A3365" s="247" t="s">
        <v>646</v>
      </c>
      <c r="B3365" s="247" t="s">
        <v>265</v>
      </c>
      <c r="C3365" s="247" t="s">
        <v>1556</v>
      </c>
      <c r="D3365" s="247" t="s">
        <v>926</v>
      </c>
      <c r="E3365" s="247" t="s">
        <v>569</v>
      </c>
      <c r="F3365" s="247" t="s">
        <v>2384</v>
      </c>
      <c r="G3365" s="247" t="s">
        <v>1563</v>
      </c>
      <c r="H3365" s="247" t="s">
        <v>397</v>
      </c>
      <c r="I3365" s="247" t="s">
        <v>2385</v>
      </c>
      <c r="J3365" s="247">
        <v>43</v>
      </c>
      <c r="K3365" s="247">
        <v>43</v>
      </c>
      <c r="L3365" s="249" t="s">
        <v>652</v>
      </c>
      <c r="M3365" s="249" t="s">
        <v>933</v>
      </c>
      <c r="N3365" s="248">
        <v>10292.629999999999</v>
      </c>
      <c r="O3365" s="248">
        <v>30878.13</v>
      </c>
      <c r="P3365" s="247" t="s">
        <v>1564</v>
      </c>
      <c r="Q3365" s="247" t="s">
        <v>86</v>
      </c>
    </row>
    <row r="3366" spans="1:17" x14ac:dyDescent="0.25">
      <c r="A3366" s="247" t="s">
        <v>646</v>
      </c>
      <c r="B3366" s="247" t="s">
        <v>265</v>
      </c>
      <c r="C3366" s="247" t="s">
        <v>1556</v>
      </c>
      <c r="D3366" s="247" t="s">
        <v>926</v>
      </c>
      <c r="E3366" s="247" t="s">
        <v>569</v>
      </c>
      <c r="F3366" s="247" t="s">
        <v>2384</v>
      </c>
      <c r="G3366" s="247" t="s">
        <v>1563</v>
      </c>
      <c r="H3366" s="247" t="s">
        <v>397</v>
      </c>
      <c r="I3366" s="247" t="s">
        <v>2385</v>
      </c>
      <c r="J3366" s="247">
        <v>43</v>
      </c>
      <c r="K3366" s="247">
        <v>43</v>
      </c>
      <c r="L3366" s="249" t="s">
        <v>789</v>
      </c>
      <c r="M3366" s="249" t="s">
        <v>929</v>
      </c>
      <c r="N3366" s="248">
        <v>10292.75</v>
      </c>
      <c r="O3366" s="248">
        <v>10292.75</v>
      </c>
      <c r="P3366" s="247" t="s">
        <v>1564</v>
      </c>
      <c r="Q3366" s="247" t="s">
        <v>87</v>
      </c>
    </row>
    <row r="3367" spans="1:17" x14ac:dyDescent="0.25">
      <c r="A3367" s="247" t="s">
        <v>646</v>
      </c>
      <c r="B3367" s="247" t="s">
        <v>265</v>
      </c>
      <c r="C3367" s="247" t="s">
        <v>1556</v>
      </c>
      <c r="D3367" s="247" t="s">
        <v>926</v>
      </c>
      <c r="E3367" s="247" t="s">
        <v>569</v>
      </c>
      <c r="F3367" s="247" t="s">
        <v>2384</v>
      </c>
      <c r="G3367" s="247" t="s">
        <v>1563</v>
      </c>
      <c r="H3367" s="247" t="s">
        <v>397</v>
      </c>
      <c r="I3367" s="247" t="s">
        <v>2385</v>
      </c>
      <c r="J3367" s="247">
        <v>43</v>
      </c>
      <c r="K3367" s="247">
        <v>43</v>
      </c>
      <c r="L3367" s="249" t="s">
        <v>791</v>
      </c>
      <c r="M3367" s="249" t="s">
        <v>929</v>
      </c>
      <c r="N3367" s="248">
        <v>10292.75</v>
      </c>
      <c r="O3367" s="248">
        <v>20585.5</v>
      </c>
      <c r="P3367" s="247" t="s">
        <v>1564</v>
      </c>
      <c r="Q3367" s="247" t="s">
        <v>88</v>
      </c>
    </row>
    <row r="3368" spans="1:17" x14ac:dyDescent="0.25">
      <c r="A3368" s="247" t="s">
        <v>646</v>
      </c>
      <c r="B3368" s="247" t="s">
        <v>265</v>
      </c>
      <c r="C3368" s="247" t="s">
        <v>1556</v>
      </c>
      <c r="D3368" s="247" t="s">
        <v>926</v>
      </c>
      <c r="E3368" s="247" t="s">
        <v>569</v>
      </c>
      <c r="F3368" s="247" t="s">
        <v>2384</v>
      </c>
      <c r="G3368" s="247" t="s">
        <v>1563</v>
      </c>
      <c r="H3368" s="247" t="s">
        <v>397</v>
      </c>
      <c r="I3368" s="247" t="s">
        <v>2385</v>
      </c>
      <c r="J3368" s="247">
        <v>43</v>
      </c>
      <c r="K3368" s="247">
        <v>43</v>
      </c>
      <c r="L3368" s="249" t="s">
        <v>935</v>
      </c>
      <c r="M3368" s="249" t="s">
        <v>929</v>
      </c>
      <c r="N3368" s="248">
        <v>10292.75</v>
      </c>
      <c r="O3368" s="248">
        <v>30878.25</v>
      </c>
      <c r="P3368" s="247" t="s">
        <v>1564</v>
      </c>
      <c r="Q3368" s="247" t="s">
        <v>89</v>
      </c>
    </row>
    <row r="3369" spans="1:17" x14ac:dyDescent="0.25">
      <c r="A3369" s="247" t="s">
        <v>646</v>
      </c>
      <c r="B3369" s="247" t="s">
        <v>265</v>
      </c>
      <c r="C3369" s="247" t="s">
        <v>1556</v>
      </c>
      <c r="D3369" s="247" t="s">
        <v>926</v>
      </c>
      <c r="E3369" s="247" t="s">
        <v>569</v>
      </c>
      <c r="F3369" s="247" t="s">
        <v>2384</v>
      </c>
      <c r="G3369" s="247" t="s">
        <v>1563</v>
      </c>
      <c r="H3369" s="247" t="s">
        <v>397</v>
      </c>
      <c r="I3369" s="247" t="s">
        <v>2385</v>
      </c>
      <c r="J3369" s="247">
        <v>43</v>
      </c>
      <c r="K3369" s="247">
        <v>43</v>
      </c>
      <c r="L3369" s="249" t="s">
        <v>936</v>
      </c>
      <c r="M3369" s="249" t="s">
        <v>929</v>
      </c>
      <c r="N3369" s="248">
        <v>10292.75</v>
      </c>
      <c r="O3369" s="248">
        <v>41171</v>
      </c>
      <c r="P3369" s="247" t="s">
        <v>1564</v>
      </c>
      <c r="Q3369" s="247" t="s">
        <v>90</v>
      </c>
    </row>
    <row r="3370" spans="1:17" x14ac:dyDescent="0.25">
      <c r="A3370" s="247" t="s">
        <v>646</v>
      </c>
      <c r="B3370" s="247" t="s">
        <v>265</v>
      </c>
      <c r="C3370" s="247" t="s">
        <v>1556</v>
      </c>
      <c r="D3370" s="247" t="s">
        <v>926</v>
      </c>
      <c r="E3370" s="247" t="s">
        <v>569</v>
      </c>
      <c r="F3370" s="247" t="s">
        <v>2384</v>
      </c>
      <c r="G3370" s="247" t="s">
        <v>1563</v>
      </c>
      <c r="H3370" s="247" t="s">
        <v>397</v>
      </c>
      <c r="I3370" s="247" t="s">
        <v>2385</v>
      </c>
      <c r="J3370" s="247">
        <v>43</v>
      </c>
      <c r="K3370" s="247">
        <v>43</v>
      </c>
      <c r="L3370" s="249" t="s">
        <v>937</v>
      </c>
      <c r="M3370" s="249" t="s">
        <v>929</v>
      </c>
      <c r="N3370" s="248">
        <v>10292.75</v>
      </c>
      <c r="O3370" s="248">
        <v>51463.75</v>
      </c>
      <c r="P3370" s="247" t="s">
        <v>1564</v>
      </c>
      <c r="Q3370" s="247" t="s">
        <v>91</v>
      </c>
    </row>
    <row r="3371" spans="1:17" x14ac:dyDescent="0.25">
      <c r="A3371" s="247" t="s">
        <v>646</v>
      </c>
      <c r="B3371" s="247" t="s">
        <v>265</v>
      </c>
      <c r="C3371" s="247" t="s">
        <v>1556</v>
      </c>
      <c r="D3371" s="247" t="s">
        <v>926</v>
      </c>
      <c r="E3371" s="247" t="s">
        <v>569</v>
      </c>
      <c r="F3371" s="247" t="s">
        <v>2384</v>
      </c>
      <c r="G3371" s="247" t="s">
        <v>1563</v>
      </c>
      <c r="H3371" s="247" t="s">
        <v>397</v>
      </c>
      <c r="I3371" s="247" t="s">
        <v>2385</v>
      </c>
      <c r="J3371" s="247">
        <v>43</v>
      </c>
      <c r="K3371" s="247">
        <v>43</v>
      </c>
      <c r="L3371" s="249" t="s">
        <v>938</v>
      </c>
      <c r="M3371" s="249" t="s">
        <v>929</v>
      </c>
      <c r="N3371" s="248">
        <v>10292.75</v>
      </c>
      <c r="O3371" s="248">
        <v>61756.5</v>
      </c>
      <c r="P3371" s="247" t="s">
        <v>1564</v>
      </c>
      <c r="Q3371" s="247" t="s">
        <v>92</v>
      </c>
    </row>
    <row r="3372" spans="1:17" x14ac:dyDescent="0.25">
      <c r="A3372" s="247" t="s">
        <v>646</v>
      </c>
      <c r="B3372" s="247" t="s">
        <v>265</v>
      </c>
      <c r="C3372" s="247" t="s">
        <v>1556</v>
      </c>
      <c r="D3372" s="247" t="s">
        <v>926</v>
      </c>
      <c r="E3372" s="247" t="s">
        <v>569</v>
      </c>
      <c r="F3372" s="247" t="s">
        <v>2384</v>
      </c>
      <c r="G3372" s="247" t="s">
        <v>1563</v>
      </c>
      <c r="H3372" s="247" t="s">
        <v>397</v>
      </c>
      <c r="I3372" s="247" t="s">
        <v>2385</v>
      </c>
      <c r="J3372" s="247">
        <v>43</v>
      </c>
      <c r="K3372" s="247">
        <v>43</v>
      </c>
      <c r="L3372" s="249" t="s">
        <v>939</v>
      </c>
      <c r="M3372" s="249" t="s">
        <v>929</v>
      </c>
      <c r="N3372" s="248">
        <v>10292.75</v>
      </c>
      <c r="O3372" s="248">
        <v>72049.25</v>
      </c>
      <c r="P3372" s="247" t="s">
        <v>1564</v>
      </c>
      <c r="Q3372" s="247" t="s">
        <v>93</v>
      </c>
    </row>
    <row r="3373" spans="1:17" x14ac:dyDescent="0.25">
      <c r="A3373" s="247" t="s">
        <v>646</v>
      </c>
      <c r="B3373" s="247" t="s">
        <v>265</v>
      </c>
      <c r="C3373" s="247" t="s">
        <v>1556</v>
      </c>
      <c r="D3373" s="247" t="s">
        <v>926</v>
      </c>
      <c r="E3373" s="247" t="s">
        <v>569</v>
      </c>
      <c r="F3373" s="247" t="s">
        <v>2384</v>
      </c>
      <c r="G3373" s="247" t="s">
        <v>1563</v>
      </c>
      <c r="H3373" s="247" t="s">
        <v>397</v>
      </c>
      <c r="I3373" s="247" t="s">
        <v>2385</v>
      </c>
      <c r="J3373" s="247">
        <v>43</v>
      </c>
      <c r="K3373" s="247">
        <v>43</v>
      </c>
      <c r="L3373" s="249" t="s">
        <v>940</v>
      </c>
      <c r="M3373" s="249" t="s">
        <v>929</v>
      </c>
      <c r="N3373" s="248">
        <v>14987.94</v>
      </c>
      <c r="O3373" s="248">
        <v>87037.19</v>
      </c>
      <c r="P3373" s="247" t="s">
        <v>1564</v>
      </c>
      <c r="Q3373" s="247" t="s">
        <v>94</v>
      </c>
    </row>
    <row r="3374" spans="1:17" x14ac:dyDescent="0.25">
      <c r="A3374" s="247" t="s">
        <v>646</v>
      </c>
      <c r="B3374" s="247" t="s">
        <v>265</v>
      </c>
      <c r="C3374" s="247" t="s">
        <v>1556</v>
      </c>
      <c r="D3374" s="247" t="s">
        <v>926</v>
      </c>
      <c r="E3374" s="247" t="s">
        <v>569</v>
      </c>
      <c r="F3374" s="247" t="s">
        <v>2384</v>
      </c>
      <c r="G3374" s="247" t="s">
        <v>1563</v>
      </c>
      <c r="H3374" s="247" t="s">
        <v>397</v>
      </c>
      <c r="I3374" s="247" t="s">
        <v>2385</v>
      </c>
      <c r="J3374" s="247">
        <v>43</v>
      </c>
      <c r="K3374" s="247">
        <v>43</v>
      </c>
      <c r="L3374" s="249" t="s">
        <v>642</v>
      </c>
      <c r="M3374" s="249" t="s">
        <v>929</v>
      </c>
      <c r="N3374" s="248">
        <v>19683.13</v>
      </c>
      <c r="O3374" s="248">
        <v>106720.32000000001</v>
      </c>
      <c r="P3374" s="247" t="s">
        <v>1564</v>
      </c>
      <c r="Q3374" s="247" t="s">
        <v>95</v>
      </c>
    </row>
    <row r="3375" spans="1:17" x14ac:dyDescent="0.25">
      <c r="A3375" s="247" t="s">
        <v>646</v>
      </c>
      <c r="B3375" s="247" t="s">
        <v>265</v>
      </c>
      <c r="C3375" s="247" t="s">
        <v>1556</v>
      </c>
      <c r="D3375" s="247" t="s">
        <v>926</v>
      </c>
      <c r="E3375" s="247" t="s">
        <v>946</v>
      </c>
      <c r="F3375" s="247" t="s">
        <v>2386</v>
      </c>
      <c r="G3375" s="247" t="s">
        <v>1565</v>
      </c>
      <c r="H3375" s="247" t="s">
        <v>403</v>
      </c>
      <c r="I3375" s="247" t="s">
        <v>2387</v>
      </c>
      <c r="J3375" s="247">
        <v>43</v>
      </c>
      <c r="K3375" s="247">
        <v>43</v>
      </c>
      <c r="L3375" s="249" t="s">
        <v>646</v>
      </c>
      <c r="M3375" s="249" t="s">
        <v>933</v>
      </c>
      <c r="N3375" s="248">
        <v>6288.93</v>
      </c>
      <c r="O3375" s="248">
        <v>6288.93</v>
      </c>
      <c r="P3375" s="247" t="s">
        <v>1566</v>
      </c>
      <c r="Q3375" s="247" t="s">
        <v>84</v>
      </c>
    </row>
    <row r="3376" spans="1:17" x14ac:dyDescent="0.25">
      <c r="A3376" s="247" t="s">
        <v>646</v>
      </c>
      <c r="B3376" s="247" t="s">
        <v>265</v>
      </c>
      <c r="C3376" s="247" t="s">
        <v>1556</v>
      </c>
      <c r="D3376" s="247" t="s">
        <v>926</v>
      </c>
      <c r="E3376" s="247" t="s">
        <v>946</v>
      </c>
      <c r="F3376" s="247" t="s">
        <v>2386</v>
      </c>
      <c r="G3376" s="247" t="s">
        <v>1565</v>
      </c>
      <c r="H3376" s="247" t="s">
        <v>403</v>
      </c>
      <c r="I3376" s="247" t="s">
        <v>2387</v>
      </c>
      <c r="J3376" s="247">
        <v>43</v>
      </c>
      <c r="K3376" s="247">
        <v>43</v>
      </c>
      <c r="L3376" s="249" t="s">
        <v>650</v>
      </c>
      <c r="M3376" s="249" t="s">
        <v>933</v>
      </c>
      <c r="N3376" s="248">
        <v>6288.93</v>
      </c>
      <c r="O3376" s="248">
        <v>12577.86</v>
      </c>
      <c r="P3376" s="247" t="s">
        <v>1566</v>
      </c>
      <c r="Q3376" s="247" t="s">
        <v>85</v>
      </c>
    </row>
    <row r="3377" spans="1:17" x14ac:dyDescent="0.25">
      <c r="A3377" s="247" t="s">
        <v>646</v>
      </c>
      <c r="B3377" s="247" t="s">
        <v>265</v>
      </c>
      <c r="C3377" s="247" t="s">
        <v>1556</v>
      </c>
      <c r="D3377" s="247" t="s">
        <v>926</v>
      </c>
      <c r="E3377" s="247" t="s">
        <v>946</v>
      </c>
      <c r="F3377" s="247" t="s">
        <v>2386</v>
      </c>
      <c r="G3377" s="247" t="s">
        <v>1565</v>
      </c>
      <c r="H3377" s="247" t="s">
        <v>403</v>
      </c>
      <c r="I3377" s="247" t="s">
        <v>2387</v>
      </c>
      <c r="J3377" s="247">
        <v>43</v>
      </c>
      <c r="K3377" s="247">
        <v>43</v>
      </c>
      <c r="L3377" s="249" t="s">
        <v>652</v>
      </c>
      <c r="M3377" s="249" t="s">
        <v>933</v>
      </c>
      <c r="N3377" s="248">
        <v>6288.89</v>
      </c>
      <c r="O3377" s="248">
        <v>18866.75</v>
      </c>
      <c r="P3377" s="247" t="s">
        <v>1566</v>
      </c>
      <c r="Q3377" s="247" t="s">
        <v>86</v>
      </c>
    </row>
    <row r="3378" spans="1:17" x14ac:dyDescent="0.25">
      <c r="A3378" s="247" t="s">
        <v>646</v>
      </c>
      <c r="B3378" s="247" t="s">
        <v>265</v>
      </c>
      <c r="C3378" s="247" t="s">
        <v>1556</v>
      </c>
      <c r="D3378" s="247" t="s">
        <v>926</v>
      </c>
      <c r="E3378" s="247" t="s">
        <v>946</v>
      </c>
      <c r="F3378" s="247" t="s">
        <v>2386</v>
      </c>
      <c r="G3378" s="247" t="s">
        <v>1565</v>
      </c>
      <c r="H3378" s="247" t="s">
        <v>403</v>
      </c>
      <c r="I3378" s="247" t="s">
        <v>2387</v>
      </c>
      <c r="J3378" s="247">
        <v>43</v>
      </c>
      <c r="K3378" s="247">
        <v>43</v>
      </c>
      <c r="L3378" s="249" t="s">
        <v>789</v>
      </c>
      <c r="M3378" s="249" t="s">
        <v>929</v>
      </c>
      <c r="N3378" s="248">
        <v>9438.1</v>
      </c>
      <c r="O3378" s="248">
        <v>9438.1</v>
      </c>
      <c r="P3378" s="247" t="s">
        <v>1566</v>
      </c>
      <c r="Q3378" s="247" t="s">
        <v>87</v>
      </c>
    </row>
    <row r="3379" spans="1:17" x14ac:dyDescent="0.25">
      <c r="A3379" s="247" t="s">
        <v>646</v>
      </c>
      <c r="B3379" s="247" t="s">
        <v>265</v>
      </c>
      <c r="C3379" s="247" t="s">
        <v>1556</v>
      </c>
      <c r="D3379" s="247" t="s">
        <v>926</v>
      </c>
      <c r="E3379" s="247" t="s">
        <v>946</v>
      </c>
      <c r="F3379" s="247" t="s">
        <v>2386</v>
      </c>
      <c r="G3379" s="247" t="s">
        <v>1565</v>
      </c>
      <c r="H3379" s="247" t="s">
        <v>403</v>
      </c>
      <c r="I3379" s="247" t="s">
        <v>2387</v>
      </c>
      <c r="J3379" s="247">
        <v>43</v>
      </c>
      <c r="K3379" s="247">
        <v>43</v>
      </c>
      <c r="L3379" s="249" t="s">
        <v>791</v>
      </c>
      <c r="M3379" s="249" t="s">
        <v>929</v>
      </c>
      <c r="N3379" s="248">
        <v>12573.13</v>
      </c>
      <c r="O3379" s="248">
        <v>22011.23</v>
      </c>
      <c r="P3379" s="247" t="s">
        <v>1566</v>
      </c>
      <c r="Q3379" s="247" t="s">
        <v>88</v>
      </c>
    </row>
    <row r="3380" spans="1:17" x14ac:dyDescent="0.25">
      <c r="A3380" s="247" t="s">
        <v>646</v>
      </c>
      <c r="B3380" s="247" t="s">
        <v>265</v>
      </c>
      <c r="C3380" s="247" t="s">
        <v>1556</v>
      </c>
      <c r="D3380" s="247" t="s">
        <v>926</v>
      </c>
      <c r="E3380" s="247" t="s">
        <v>946</v>
      </c>
      <c r="F3380" s="247" t="s">
        <v>2386</v>
      </c>
      <c r="G3380" s="247" t="s">
        <v>1565</v>
      </c>
      <c r="H3380" s="247" t="s">
        <v>403</v>
      </c>
      <c r="I3380" s="247" t="s">
        <v>2387</v>
      </c>
      <c r="J3380" s="247">
        <v>43</v>
      </c>
      <c r="K3380" s="247">
        <v>43</v>
      </c>
      <c r="L3380" s="249" t="s">
        <v>935</v>
      </c>
      <c r="M3380" s="249" t="s">
        <v>929</v>
      </c>
      <c r="N3380" s="248">
        <v>12573.13</v>
      </c>
      <c r="O3380" s="248">
        <v>34584.36</v>
      </c>
      <c r="P3380" s="247" t="s">
        <v>1566</v>
      </c>
      <c r="Q3380" s="247" t="s">
        <v>89</v>
      </c>
    </row>
    <row r="3381" spans="1:17" x14ac:dyDescent="0.25">
      <c r="A3381" s="247" t="s">
        <v>646</v>
      </c>
      <c r="B3381" s="247" t="s">
        <v>265</v>
      </c>
      <c r="C3381" s="247" t="s">
        <v>1556</v>
      </c>
      <c r="D3381" s="247" t="s">
        <v>926</v>
      </c>
      <c r="E3381" s="247" t="s">
        <v>946</v>
      </c>
      <c r="F3381" s="247" t="s">
        <v>2386</v>
      </c>
      <c r="G3381" s="247" t="s">
        <v>1565</v>
      </c>
      <c r="H3381" s="247" t="s">
        <v>403</v>
      </c>
      <c r="I3381" s="247" t="s">
        <v>2387</v>
      </c>
      <c r="J3381" s="247">
        <v>43</v>
      </c>
      <c r="K3381" s="247">
        <v>43</v>
      </c>
      <c r="L3381" s="249" t="s">
        <v>936</v>
      </c>
      <c r="M3381" s="249" t="s">
        <v>929</v>
      </c>
      <c r="N3381" s="248">
        <v>12573.13</v>
      </c>
      <c r="O3381" s="248">
        <v>47157.49</v>
      </c>
      <c r="P3381" s="247" t="s">
        <v>1566</v>
      </c>
      <c r="Q3381" s="247" t="s">
        <v>90</v>
      </c>
    </row>
    <row r="3382" spans="1:17" x14ac:dyDescent="0.25">
      <c r="A3382" s="247" t="s">
        <v>646</v>
      </c>
      <c r="B3382" s="247" t="s">
        <v>265</v>
      </c>
      <c r="C3382" s="247" t="s">
        <v>1556</v>
      </c>
      <c r="D3382" s="247" t="s">
        <v>926</v>
      </c>
      <c r="E3382" s="247" t="s">
        <v>946</v>
      </c>
      <c r="F3382" s="247" t="s">
        <v>2386</v>
      </c>
      <c r="G3382" s="247" t="s">
        <v>1565</v>
      </c>
      <c r="H3382" s="247" t="s">
        <v>403</v>
      </c>
      <c r="I3382" s="247" t="s">
        <v>2387</v>
      </c>
      <c r="J3382" s="247">
        <v>43</v>
      </c>
      <c r="K3382" s="247">
        <v>43</v>
      </c>
      <c r="L3382" s="249" t="s">
        <v>937</v>
      </c>
      <c r="M3382" s="249" t="s">
        <v>929</v>
      </c>
      <c r="N3382" s="248">
        <v>12573.13</v>
      </c>
      <c r="O3382" s="248">
        <v>59730.62</v>
      </c>
      <c r="P3382" s="247" t="s">
        <v>1566</v>
      </c>
      <c r="Q3382" s="247" t="s">
        <v>91</v>
      </c>
    </row>
    <row r="3383" spans="1:17" x14ac:dyDescent="0.25">
      <c r="A3383" s="247" t="s">
        <v>646</v>
      </c>
      <c r="B3383" s="247" t="s">
        <v>265</v>
      </c>
      <c r="C3383" s="247" t="s">
        <v>1556</v>
      </c>
      <c r="D3383" s="247" t="s">
        <v>926</v>
      </c>
      <c r="E3383" s="247" t="s">
        <v>946</v>
      </c>
      <c r="F3383" s="247" t="s">
        <v>2386</v>
      </c>
      <c r="G3383" s="247" t="s">
        <v>1565</v>
      </c>
      <c r="H3383" s="247" t="s">
        <v>403</v>
      </c>
      <c r="I3383" s="247" t="s">
        <v>2387</v>
      </c>
      <c r="J3383" s="247">
        <v>43</v>
      </c>
      <c r="K3383" s="247">
        <v>43</v>
      </c>
      <c r="L3383" s="249" t="s">
        <v>938</v>
      </c>
      <c r="M3383" s="249" t="s">
        <v>929</v>
      </c>
      <c r="N3383" s="248">
        <v>12573.14</v>
      </c>
      <c r="O3383" s="248">
        <v>72303.759999999995</v>
      </c>
      <c r="P3383" s="247" t="s">
        <v>1566</v>
      </c>
      <c r="Q3383" s="247" t="s">
        <v>92</v>
      </c>
    </row>
    <row r="3384" spans="1:17" x14ac:dyDescent="0.25">
      <c r="A3384" s="247" t="s">
        <v>646</v>
      </c>
      <c r="B3384" s="247" t="s">
        <v>265</v>
      </c>
      <c r="C3384" s="247" t="s">
        <v>1556</v>
      </c>
      <c r="D3384" s="247" t="s">
        <v>926</v>
      </c>
      <c r="E3384" s="247" t="s">
        <v>946</v>
      </c>
      <c r="F3384" s="247" t="s">
        <v>2386</v>
      </c>
      <c r="G3384" s="247" t="s">
        <v>1565</v>
      </c>
      <c r="H3384" s="247" t="s">
        <v>403</v>
      </c>
      <c r="I3384" s="247" t="s">
        <v>2387</v>
      </c>
      <c r="J3384" s="247">
        <v>43</v>
      </c>
      <c r="K3384" s="247">
        <v>43</v>
      </c>
      <c r="L3384" s="249" t="s">
        <v>939</v>
      </c>
      <c r="M3384" s="249" t="s">
        <v>929</v>
      </c>
      <c r="N3384" s="248">
        <v>12573.14</v>
      </c>
      <c r="O3384" s="248">
        <v>84876.9</v>
      </c>
      <c r="P3384" s="247" t="s">
        <v>1566</v>
      </c>
      <c r="Q3384" s="247" t="s">
        <v>93</v>
      </c>
    </row>
    <row r="3385" spans="1:17" x14ac:dyDescent="0.25">
      <c r="A3385" s="247" t="s">
        <v>646</v>
      </c>
      <c r="B3385" s="247" t="s">
        <v>265</v>
      </c>
      <c r="C3385" s="247" t="s">
        <v>1556</v>
      </c>
      <c r="D3385" s="247" t="s">
        <v>926</v>
      </c>
      <c r="E3385" s="247" t="s">
        <v>946</v>
      </c>
      <c r="F3385" s="247" t="s">
        <v>2386</v>
      </c>
      <c r="G3385" s="247" t="s">
        <v>1565</v>
      </c>
      <c r="H3385" s="247" t="s">
        <v>403</v>
      </c>
      <c r="I3385" s="247" t="s">
        <v>2387</v>
      </c>
      <c r="J3385" s="247">
        <v>43</v>
      </c>
      <c r="K3385" s="247">
        <v>43</v>
      </c>
      <c r="L3385" s="249" t="s">
        <v>940</v>
      </c>
      <c r="M3385" s="249" t="s">
        <v>929</v>
      </c>
      <c r="N3385" s="248">
        <v>12573.14</v>
      </c>
      <c r="O3385" s="248">
        <v>97450.04</v>
      </c>
      <c r="P3385" s="247" t="s">
        <v>1566</v>
      </c>
      <c r="Q3385" s="247" t="s">
        <v>94</v>
      </c>
    </row>
    <row r="3386" spans="1:17" x14ac:dyDescent="0.25">
      <c r="A3386" s="247" t="s">
        <v>646</v>
      </c>
      <c r="B3386" s="247" t="s">
        <v>265</v>
      </c>
      <c r="C3386" s="247" t="s">
        <v>1556</v>
      </c>
      <c r="D3386" s="247" t="s">
        <v>926</v>
      </c>
      <c r="E3386" s="247" t="s">
        <v>946</v>
      </c>
      <c r="F3386" s="247" t="s">
        <v>2386</v>
      </c>
      <c r="G3386" s="247" t="s">
        <v>1565</v>
      </c>
      <c r="H3386" s="247" t="s">
        <v>403</v>
      </c>
      <c r="I3386" s="247" t="s">
        <v>2387</v>
      </c>
      <c r="J3386" s="247">
        <v>43</v>
      </c>
      <c r="K3386" s="247">
        <v>43</v>
      </c>
      <c r="L3386" s="249" t="s">
        <v>642</v>
      </c>
      <c r="M3386" s="249" t="s">
        <v>929</v>
      </c>
      <c r="N3386" s="248">
        <v>12573.14</v>
      </c>
      <c r="O3386" s="248">
        <v>110023.18</v>
      </c>
      <c r="P3386" s="247" t="s">
        <v>1566</v>
      </c>
      <c r="Q3386" s="247" t="s">
        <v>95</v>
      </c>
    </row>
    <row r="3387" spans="1:17" x14ac:dyDescent="0.25">
      <c r="A3387" s="247" t="s">
        <v>646</v>
      </c>
      <c r="B3387" s="247" t="s">
        <v>265</v>
      </c>
      <c r="C3387" s="247" t="s">
        <v>1567</v>
      </c>
      <c r="D3387" s="247" t="s">
        <v>926</v>
      </c>
      <c r="E3387" s="247" t="s">
        <v>926</v>
      </c>
      <c r="F3387" s="247" t="s">
        <v>2388</v>
      </c>
      <c r="G3387" s="247" t="s">
        <v>1568</v>
      </c>
      <c r="H3387" s="247"/>
      <c r="I3387" s="247" t="s">
        <v>2389</v>
      </c>
      <c r="J3387" s="247">
        <v>42</v>
      </c>
      <c r="K3387" s="247">
        <v>42</v>
      </c>
      <c r="L3387" s="249" t="s">
        <v>646</v>
      </c>
      <c r="M3387" s="249" t="s">
        <v>933</v>
      </c>
      <c r="N3387" s="248">
        <v>5824.34</v>
      </c>
      <c r="O3387" s="248">
        <v>55925.72</v>
      </c>
      <c r="P3387" s="247" t="s">
        <v>1569</v>
      </c>
      <c r="Q3387" s="247" t="s">
        <v>84</v>
      </c>
    </row>
    <row r="3388" spans="1:17" x14ac:dyDescent="0.25">
      <c r="A3388" s="247" t="s">
        <v>646</v>
      </c>
      <c r="B3388" s="247" t="s">
        <v>265</v>
      </c>
      <c r="C3388" s="247" t="s">
        <v>1567</v>
      </c>
      <c r="D3388" s="247" t="s">
        <v>926</v>
      </c>
      <c r="E3388" s="247" t="s">
        <v>926</v>
      </c>
      <c r="F3388" s="247" t="s">
        <v>2388</v>
      </c>
      <c r="G3388" s="247" t="s">
        <v>1568</v>
      </c>
      <c r="H3388" s="247"/>
      <c r="I3388" s="247" t="s">
        <v>2389</v>
      </c>
      <c r="J3388" s="247">
        <v>42</v>
      </c>
      <c r="K3388" s="247">
        <v>42</v>
      </c>
      <c r="L3388" s="249" t="s">
        <v>650</v>
      </c>
      <c r="M3388" s="249" t="s">
        <v>933</v>
      </c>
      <c r="N3388" s="248">
        <v>6076.6</v>
      </c>
      <c r="O3388" s="248">
        <v>62002.32</v>
      </c>
      <c r="P3388" s="247" t="s">
        <v>1569</v>
      </c>
      <c r="Q3388" s="247" t="s">
        <v>85</v>
      </c>
    </row>
    <row r="3389" spans="1:17" x14ac:dyDescent="0.25">
      <c r="A3389" s="247" t="s">
        <v>646</v>
      </c>
      <c r="B3389" s="247" t="s">
        <v>265</v>
      </c>
      <c r="C3389" s="247" t="s">
        <v>1567</v>
      </c>
      <c r="D3389" s="247" t="s">
        <v>926</v>
      </c>
      <c r="E3389" s="247" t="s">
        <v>926</v>
      </c>
      <c r="F3389" s="247" t="s">
        <v>2388</v>
      </c>
      <c r="G3389" s="247" t="s">
        <v>1568</v>
      </c>
      <c r="H3389" s="247"/>
      <c r="I3389" s="247" t="s">
        <v>2389</v>
      </c>
      <c r="J3389" s="247">
        <v>42</v>
      </c>
      <c r="K3389" s="247">
        <v>42</v>
      </c>
      <c r="L3389" s="249" t="s">
        <v>652</v>
      </c>
      <c r="M3389" s="249" t="s">
        <v>933</v>
      </c>
      <c r="N3389" s="248">
        <v>5943.05</v>
      </c>
      <c r="O3389" s="248">
        <v>67945.37</v>
      </c>
      <c r="P3389" s="247" t="s">
        <v>1569</v>
      </c>
      <c r="Q3389" s="247" t="s">
        <v>86</v>
      </c>
    </row>
    <row r="3390" spans="1:17" x14ac:dyDescent="0.25">
      <c r="A3390" s="247" t="s">
        <v>646</v>
      </c>
      <c r="B3390" s="247" t="s">
        <v>265</v>
      </c>
      <c r="C3390" s="247" t="s">
        <v>1567</v>
      </c>
      <c r="D3390" s="247" t="s">
        <v>926</v>
      </c>
      <c r="E3390" s="247" t="s">
        <v>926</v>
      </c>
      <c r="F3390" s="247" t="s">
        <v>2388</v>
      </c>
      <c r="G3390" s="247" t="s">
        <v>1568</v>
      </c>
      <c r="H3390" s="247"/>
      <c r="I3390" s="247" t="s">
        <v>2389</v>
      </c>
      <c r="J3390" s="247">
        <v>42</v>
      </c>
      <c r="K3390" s="247">
        <v>42</v>
      </c>
      <c r="L3390" s="249" t="s">
        <v>789</v>
      </c>
      <c r="M3390" s="249" t="s">
        <v>929</v>
      </c>
      <c r="N3390" s="248">
        <v>6074.84</v>
      </c>
      <c r="O3390" s="248">
        <v>6074.84</v>
      </c>
      <c r="P3390" s="247" t="s">
        <v>1569</v>
      </c>
      <c r="Q3390" s="247" t="s">
        <v>87</v>
      </c>
    </row>
    <row r="3391" spans="1:17" x14ac:dyDescent="0.25">
      <c r="A3391" s="247" t="s">
        <v>646</v>
      </c>
      <c r="B3391" s="247" t="s">
        <v>265</v>
      </c>
      <c r="C3391" s="247" t="s">
        <v>1567</v>
      </c>
      <c r="D3391" s="247" t="s">
        <v>926</v>
      </c>
      <c r="E3391" s="247" t="s">
        <v>926</v>
      </c>
      <c r="F3391" s="247" t="s">
        <v>2388</v>
      </c>
      <c r="G3391" s="247" t="s">
        <v>1568</v>
      </c>
      <c r="H3391" s="247"/>
      <c r="I3391" s="247" t="s">
        <v>2389</v>
      </c>
      <c r="J3391" s="247">
        <v>42</v>
      </c>
      <c r="K3391" s="247">
        <v>42</v>
      </c>
      <c r="L3391" s="249" t="s">
        <v>791</v>
      </c>
      <c r="M3391" s="249" t="s">
        <v>929</v>
      </c>
      <c r="N3391" s="248">
        <v>6130.31</v>
      </c>
      <c r="O3391" s="248">
        <v>12205.15</v>
      </c>
      <c r="P3391" s="247" t="s">
        <v>1569</v>
      </c>
      <c r="Q3391" s="247" t="s">
        <v>88</v>
      </c>
    </row>
    <row r="3392" spans="1:17" x14ac:dyDescent="0.25">
      <c r="A3392" s="247" t="s">
        <v>646</v>
      </c>
      <c r="B3392" s="247" t="s">
        <v>265</v>
      </c>
      <c r="C3392" s="247" t="s">
        <v>1567</v>
      </c>
      <c r="D3392" s="247" t="s">
        <v>926</v>
      </c>
      <c r="E3392" s="247" t="s">
        <v>926</v>
      </c>
      <c r="F3392" s="247" t="s">
        <v>2388</v>
      </c>
      <c r="G3392" s="247" t="s">
        <v>1568</v>
      </c>
      <c r="H3392" s="247"/>
      <c r="I3392" s="247" t="s">
        <v>2389</v>
      </c>
      <c r="J3392" s="247">
        <v>42</v>
      </c>
      <c r="K3392" s="247">
        <v>42</v>
      </c>
      <c r="L3392" s="249" t="s">
        <v>935</v>
      </c>
      <c r="M3392" s="249" t="s">
        <v>929</v>
      </c>
      <c r="N3392" s="248">
        <v>6228.34</v>
      </c>
      <c r="O3392" s="248">
        <v>18433.490000000002</v>
      </c>
      <c r="P3392" s="247" t="s">
        <v>1569</v>
      </c>
      <c r="Q3392" s="247" t="s">
        <v>89</v>
      </c>
    </row>
    <row r="3393" spans="1:17" x14ac:dyDescent="0.25">
      <c r="A3393" s="247" t="s">
        <v>646</v>
      </c>
      <c r="B3393" s="247" t="s">
        <v>265</v>
      </c>
      <c r="C3393" s="247" t="s">
        <v>1567</v>
      </c>
      <c r="D3393" s="247" t="s">
        <v>926</v>
      </c>
      <c r="E3393" s="247" t="s">
        <v>926</v>
      </c>
      <c r="F3393" s="247" t="s">
        <v>2388</v>
      </c>
      <c r="G3393" s="247" t="s">
        <v>1568</v>
      </c>
      <c r="H3393" s="247"/>
      <c r="I3393" s="247" t="s">
        <v>2389</v>
      </c>
      <c r="J3393" s="247">
        <v>42</v>
      </c>
      <c r="K3393" s="247">
        <v>42</v>
      </c>
      <c r="L3393" s="249" t="s">
        <v>936</v>
      </c>
      <c r="M3393" s="249" t="s">
        <v>929</v>
      </c>
      <c r="N3393" s="248">
        <v>6228.34</v>
      </c>
      <c r="O3393" s="248">
        <v>24661.83</v>
      </c>
      <c r="P3393" s="247" t="s">
        <v>1569</v>
      </c>
      <c r="Q3393" s="247" t="s">
        <v>90</v>
      </c>
    </row>
    <row r="3394" spans="1:17" x14ac:dyDescent="0.25">
      <c r="A3394" s="247" t="s">
        <v>646</v>
      </c>
      <c r="B3394" s="247" t="s">
        <v>265</v>
      </c>
      <c r="C3394" s="247" t="s">
        <v>1567</v>
      </c>
      <c r="D3394" s="247" t="s">
        <v>926</v>
      </c>
      <c r="E3394" s="247" t="s">
        <v>926</v>
      </c>
      <c r="F3394" s="247" t="s">
        <v>2388</v>
      </c>
      <c r="G3394" s="247" t="s">
        <v>1568</v>
      </c>
      <c r="H3394" s="247"/>
      <c r="I3394" s="247" t="s">
        <v>2389</v>
      </c>
      <c r="J3394" s="247">
        <v>42</v>
      </c>
      <c r="K3394" s="247">
        <v>42</v>
      </c>
      <c r="L3394" s="249" t="s">
        <v>937</v>
      </c>
      <c r="M3394" s="249" t="s">
        <v>929</v>
      </c>
      <c r="N3394" s="248">
        <v>6392.67</v>
      </c>
      <c r="O3394" s="248">
        <v>31054.5</v>
      </c>
      <c r="P3394" s="247" t="s">
        <v>1569</v>
      </c>
      <c r="Q3394" s="247" t="s">
        <v>91</v>
      </c>
    </row>
    <row r="3395" spans="1:17" x14ac:dyDescent="0.25">
      <c r="A3395" s="247" t="s">
        <v>646</v>
      </c>
      <c r="B3395" s="247" t="s">
        <v>265</v>
      </c>
      <c r="C3395" s="247" t="s">
        <v>1567</v>
      </c>
      <c r="D3395" s="247" t="s">
        <v>926</v>
      </c>
      <c r="E3395" s="247" t="s">
        <v>926</v>
      </c>
      <c r="F3395" s="247" t="s">
        <v>2388</v>
      </c>
      <c r="G3395" s="247" t="s">
        <v>1568</v>
      </c>
      <c r="H3395" s="247"/>
      <c r="I3395" s="247" t="s">
        <v>2389</v>
      </c>
      <c r="J3395" s="247">
        <v>42</v>
      </c>
      <c r="K3395" s="247">
        <v>42</v>
      </c>
      <c r="L3395" s="249" t="s">
        <v>938</v>
      </c>
      <c r="M3395" s="249" t="s">
        <v>929</v>
      </c>
      <c r="N3395" s="248">
        <v>6427.1</v>
      </c>
      <c r="O3395" s="248">
        <v>37481.599999999999</v>
      </c>
      <c r="P3395" s="247" t="s">
        <v>1569</v>
      </c>
      <c r="Q3395" s="247" t="s">
        <v>92</v>
      </c>
    </row>
    <row r="3396" spans="1:17" x14ac:dyDescent="0.25">
      <c r="A3396" s="247" t="s">
        <v>646</v>
      </c>
      <c r="B3396" s="247" t="s">
        <v>265</v>
      </c>
      <c r="C3396" s="247" t="s">
        <v>1567</v>
      </c>
      <c r="D3396" s="247" t="s">
        <v>926</v>
      </c>
      <c r="E3396" s="247" t="s">
        <v>926</v>
      </c>
      <c r="F3396" s="247" t="s">
        <v>2388</v>
      </c>
      <c r="G3396" s="247" t="s">
        <v>1568</v>
      </c>
      <c r="H3396" s="247"/>
      <c r="I3396" s="247" t="s">
        <v>2389</v>
      </c>
      <c r="J3396" s="247">
        <v>42</v>
      </c>
      <c r="K3396" s="247">
        <v>42</v>
      </c>
      <c r="L3396" s="249" t="s">
        <v>939</v>
      </c>
      <c r="M3396" s="249" t="s">
        <v>929</v>
      </c>
      <c r="N3396" s="248">
        <v>3905.78</v>
      </c>
      <c r="O3396" s="248">
        <v>41387.379999999997</v>
      </c>
      <c r="P3396" s="247" t="s">
        <v>1569</v>
      </c>
      <c r="Q3396" s="247" t="s">
        <v>93</v>
      </c>
    </row>
    <row r="3397" spans="1:17" x14ac:dyDescent="0.25">
      <c r="A3397" s="247" t="s">
        <v>646</v>
      </c>
      <c r="B3397" s="247" t="s">
        <v>265</v>
      </c>
      <c r="C3397" s="247" t="s">
        <v>1567</v>
      </c>
      <c r="D3397" s="247" t="s">
        <v>926</v>
      </c>
      <c r="E3397" s="247" t="s">
        <v>926</v>
      </c>
      <c r="F3397" s="247" t="s">
        <v>2388</v>
      </c>
      <c r="G3397" s="247" t="s">
        <v>1568</v>
      </c>
      <c r="H3397" s="247"/>
      <c r="I3397" s="247" t="s">
        <v>2389</v>
      </c>
      <c r="J3397" s="247">
        <v>42</v>
      </c>
      <c r="K3397" s="247">
        <v>42</v>
      </c>
      <c r="L3397" s="249" t="s">
        <v>940</v>
      </c>
      <c r="M3397" s="249" t="s">
        <v>929</v>
      </c>
      <c r="N3397" s="248">
        <v>3906.75</v>
      </c>
      <c r="O3397" s="248">
        <v>45294.13</v>
      </c>
      <c r="P3397" s="247" t="s">
        <v>1569</v>
      </c>
      <c r="Q3397" s="247" t="s">
        <v>94</v>
      </c>
    </row>
    <row r="3398" spans="1:17" x14ac:dyDescent="0.25">
      <c r="A3398" s="247" t="s">
        <v>646</v>
      </c>
      <c r="B3398" s="247" t="s">
        <v>265</v>
      </c>
      <c r="C3398" s="247" t="s">
        <v>1567</v>
      </c>
      <c r="D3398" s="247" t="s">
        <v>926</v>
      </c>
      <c r="E3398" s="247" t="s">
        <v>926</v>
      </c>
      <c r="F3398" s="247" t="s">
        <v>2388</v>
      </c>
      <c r="G3398" s="247" t="s">
        <v>1568</v>
      </c>
      <c r="H3398" s="247"/>
      <c r="I3398" s="247" t="s">
        <v>2389</v>
      </c>
      <c r="J3398" s="247">
        <v>42</v>
      </c>
      <c r="K3398" s="247">
        <v>42</v>
      </c>
      <c r="L3398" s="249" t="s">
        <v>642</v>
      </c>
      <c r="M3398" s="249" t="s">
        <v>929</v>
      </c>
      <c r="N3398" s="248">
        <v>3906.07</v>
      </c>
      <c r="O3398" s="248">
        <v>49200.2</v>
      </c>
      <c r="P3398" s="247" t="s">
        <v>1569</v>
      </c>
      <c r="Q3398" s="247" t="s">
        <v>95</v>
      </c>
    </row>
    <row r="3399" spans="1:17" x14ac:dyDescent="0.25">
      <c r="A3399" s="247" t="s">
        <v>646</v>
      </c>
      <c r="B3399" s="247" t="s">
        <v>265</v>
      </c>
      <c r="C3399" s="247" t="s">
        <v>1570</v>
      </c>
      <c r="D3399" s="247" t="s">
        <v>926</v>
      </c>
      <c r="E3399" s="247" t="s">
        <v>926</v>
      </c>
      <c r="F3399" s="247" t="s">
        <v>2390</v>
      </c>
      <c r="G3399" s="247" t="s">
        <v>1571</v>
      </c>
      <c r="H3399" s="247"/>
      <c r="I3399" s="247" t="s">
        <v>2391</v>
      </c>
      <c r="J3399" s="247">
        <v>47</v>
      </c>
      <c r="K3399" s="247">
        <v>47</v>
      </c>
      <c r="L3399" s="249" t="s">
        <v>646</v>
      </c>
      <c r="M3399" s="249" t="s">
        <v>933</v>
      </c>
      <c r="N3399" s="248">
        <v>5033.5</v>
      </c>
      <c r="O3399" s="248">
        <v>29658</v>
      </c>
      <c r="P3399" s="247" t="s">
        <v>1572</v>
      </c>
      <c r="Q3399" s="247" t="s">
        <v>84</v>
      </c>
    </row>
    <row r="3400" spans="1:17" x14ac:dyDescent="0.25">
      <c r="A3400" s="247" t="s">
        <v>646</v>
      </c>
      <c r="B3400" s="247" t="s">
        <v>265</v>
      </c>
      <c r="C3400" s="247" t="s">
        <v>1570</v>
      </c>
      <c r="D3400" s="247" t="s">
        <v>926</v>
      </c>
      <c r="E3400" s="247" t="s">
        <v>926</v>
      </c>
      <c r="F3400" s="247" t="s">
        <v>2390</v>
      </c>
      <c r="G3400" s="247" t="s">
        <v>1571</v>
      </c>
      <c r="H3400" s="247"/>
      <c r="I3400" s="247" t="s">
        <v>2391</v>
      </c>
      <c r="J3400" s="247">
        <v>47</v>
      </c>
      <c r="K3400" s="247">
        <v>47</v>
      </c>
      <c r="L3400" s="249" t="s">
        <v>650</v>
      </c>
      <c r="M3400" s="249" t="s">
        <v>933</v>
      </c>
      <c r="N3400" s="248">
        <v>781</v>
      </c>
      <c r="O3400" s="248">
        <v>30439</v>
      </c>
      <c r="P3400" s="247" t="s">
        <v>1572</v>
      </c>
      <c r="Q3400" s="247" t="s">
        <v>85</v>
      </c>
    </row>
    <row r="3401" spans="1:17" x14ac:dyDescent="0.25">
      <c r="A3401" s="247" t="s">
        <v>646</v>
      </c>
      <c r="B3401" s="247" t="s">
        <v>265</v>
      </c>
      <c r="C3401" s="247" t="s">
        <v>1570</v>
      </c>
      <c r="D3401" s="247" t="s">
        <v>926</v>
      </c>
      <c r="E3401" s="247" t="s">
        <v>926</v>
      </c>
      <c r="F3401" s="247" t="s">
        <v>2390</v>
      </c>
      <c r="G3401" s="247" t="s">
        <v>1571</v>
      </c>
      <c r="H3401" s="247"/>
      <c r="I3401" s="247" t="s">
        <v>2391</v>
      </c>
      <c r="J3401" s="247">
        <v>47</v>
      </c>
      <c r="K3401" s="247">
        <v>47</v>
      </c>
      <c r="L3401" s="249" t="s">
        <v>652</v>
      </c>
      <c r="M3401" s="249" t="s">
        <v>933</v>
      </c>
      <c r="N3401" s="248">
        <v>2426</v>
      </c>
      <c r="O3401" s="248">
        <v>32865</v>
      </c>
      <c r="P3401" s="247" t="s">
        <v>1572</v>
      </c>
      <c r="Q3401" s="247" t="s">
        <v>86</v>
      </c>
    </row>
    <row r="3402" spans="1:17" x14ac:dyDescent="0.25">
      <c r="A3402" s="247" t="s">
        <v>646</v>
      </c>
      <c r="B3402" s="247" t="s">
        <v>265</v>
      </c>
      <c r="C3402" s="247" t="s">
        <v>1570</v>
      </c>
      <c r="D3402" s="247" t="s">
        <v>926</v>
      </c>
      <c r="E3402" s="247" t="s">
        <v>926</v>
      </c>
      <c r="F3402" s="247" t="s">
        <v>2390</v>
      </c>
      <c r="G3402" s="247" t="s">
        <v>1571</v>
      </c>
      <c r="H3402" s="247"/>
      <c r="I3402" s="247" t="s">
        <v>2391</v>
      </c>
      <c r="J3402" s="247">
        <v>47</v>
      </c>
      <c r="K3402" s="247">
        <v>47</v>
      </c>
      <c r="L3402" s="249" t="s">
        <v>789</v>
      </c>
      <c r="M3402" s="249" t="s">
        <v>929</v>
      </c>
      <c r="N3402" s="248">
        <v>6189.75</v>
      </c>
      <c r="O3402" s="248">
        <v>6189.75</v>
      </c>
      <c r="P3402" s="247" t="s">
        <v>1572</v>
      </c>
      <c r="Q3402" s="247" t="s">
        <v>87</v>
      </c>
    </row>
    <row r="3403" spans="1:17" x14ac:dyDescent="0.25">
      <c r="A3403" s="247" t="s">
        <v>646</v>
      </c>
      <c r="B3403" s="247" t="s">
        <v>265</v>
      </c>
      <c r="C3403" s="247" t="s">
        <v>1570</v>
      </c>
      <c r="D3403" s="247" t="s">
        <v>926</v>
      </c>
      <c r="E3403" s="247" t="s">
        <v>926</v>
      </c>
      <c r="F3403" s="247" t="s">
        <v>2390</v>
      </c>
      <c r="G3403" s="247" t="s">
        <v>1571</v>
      </c>
      <c r="H3403" s="247"/>
      <c r="I3403" s="247" t="s">
        <v>2391</v>
      </c>
      <c r="J3403" s="247">
        <v>47</v>
      </c>
      <c r="K3403" s="247">
        <v>47</v>
      </c>
      <c r="L3403" s="249" t="s">
        <v>791</v>
      </c>
      <c r="M3403" s="249" t="s">
        <v>929</v>
      </c>
      <c r="N3403" s="248">
        <v>2868.25</v>
      </c>
      <c r="O3403" s="248">
        <v>9058</v>
      </c>
      <c r="P3403" s="247" t="s">
        <v>1572</v>
      </c>
      <c r="Q3403" s="247" t="s">
        <v>88</v>
      </c>
    </row>
    <row r="3404" spans="1:17" x14ac:dyDescent="0.25">
      <c r="A3404" s="247" t="s">
        <v>646</v>
      </c>
      <c r="B3404" s="247" t="s">
        <v>265</v>
      </c>
      <c r="C3404" s="247" t="s">
        <v>1570</v>
      </c>
      <c r="D3404" s="247" t="s">
        <v>926</v>
      </c>
      <c r="E3404" s="247" t="s">
        <v>926</v>
      </c>
      <c r="F3404" s="247" t="s">
        <v>2390</v>
      </c>
      <c r="G3404" s="247" t="s">
        <v>1571</v>
      </c>
      <c r="H3404" s="247"/>
      <c r="I3404" s="247" t="s">
        <v>2391</v>
      </c>
      <c r="J3404" s="247">
        <v>47</v>
      </c>
      <c r="K3404" s="247">
        <v>47</v>
      </c>
      <c r="L3404" s="249" t="s">
        <v>935</v>
      </c>
      <c r="M3404" s="249" t="s">
        <v>929</v>
      </c>
      <c r="N3404" s="248">
        <v>0</v>
      </c>
      <c r="O3404" s="248">
        <v>9058</v>
      </c>
      <c r="P3404" s="247" t="s">
        <v>1572</v>
      </c>
      <c r="Q3404" s="247" t="s">
        <v>89</v>
      </c>
    </row>
    <row r="3405" spans="1:17" x14ac:dyDescent="0.25">
      <c r="A3405" s="247" t="s">
        <v>646</v>
      </c>
      <c r="B3405" s="247" t="s">
        <v>265</v>
      </c>
      <c r="C3405" s="247" t="s">
        <v>1570</v>
      </c>
      <c r="D3405" s="247" t="s">
        <v>926</v>
      </c>
      <c r="E3405" s="247" t="s">
        <v>926</v>
      </c>
      <c r="F3405" s="247" t="s">
        <v>2390</v>
      </c>
      <c r="G3405" s="247" t="s">
        <v>1571</v>
      </c>
      <c r="H3405" s="247"/>
      <c r="I3405" s="247" t="s">
        <v>2391</v>
      </c>
      <c r="J3405" s="247">
        <v>47</v>
      </c>
      <c r="K3405" s="247">
        <v>47</v>
      </c>
      <c r="L3405" s="249" t="s">
        <v>936</v>
      </c>
      <c r="M3405" s="249" t="s">
        <v>929</v>
      </c>
      <c r="N3405" s="248">
        <v>3528</v>
      </c>
      <c r="O3405" s="248">
        <v>12586</v>
      </c>
      <c r="P3405" s="247" t="s">
        <v>1572</v>
      </c>
      <c r="Q3405" s="247" t="s">
        <v>90</v>
      </c>
    </row>
    <row r="3406" spans="1:17" x14ac:dyDescent="0.25">
      <c r="A3406" s="247" t="s">
        <v>646</v>
      </c>
      <c r="B3406" s="247" t="s">
        <v>265</v>
      </c>
      <c r="C3406" s="247" t="s">
        <v>1570</v>
      </c>
      <c r="D3406" s="247" t="s">
        <v>926</v>
      </c>
      <c r="E3406" s="247" t="s">
        <v>926</v>
      </c>
      <c r="F3406" s="247" t="s">
        <v>2390</v>
      </c>
      <c r="G3406" s="247" t="s">
        <v>1571</v>
      </c>
      <c r="H3406" s="247"/>
      <c r="I3406" s="247" t="s">
        <v>2391</v>
      </c>
      <c r="J3406" s="247">
        <v>47</v>
      </c>
      <c r="K3406" s="247">
        <v>47</v>
      </c>
      <c r="L3406" s="249" t="s">
        <v>937</v>
      </c>
      <c r="M3406" s="249" t="s">
        <v>929</v>
      </c>
      <c r="N3406" s="248">
        <v>7874</v>
      </c>
      <c r="O3406" s="248">
        <v>20460</v>
      </c>
      <c r="P3406" s="247" t="s">
        <v>1572</v>
      </c>
      <c r="Q3406" s="247" t="s">
        <v>91</v>
      </c>
    </row>
    <row r="3407" spans="1:17" x14ac:dyDescent="0.25">
      <c r="A3407" s="247" t="s">
        <v>646</v>
      </c>
      <c r="B3407" s="247" t="s">
        <v>265</v>
      </c>
      <c r="C3407" s="247" t="s">
        <v>1570</v>
      </c>
      <c r="D3407" s="247" t="s">
        <v>926</v>
      </c>
      <c r="E3407" s="247" t="s">
        <v>926</v>
      </c>
      <c r="F3407" s="247" t="s">
        <v>2390</v>
      </c>
      <c r="G3407" s="247" t="s">
        <v>1571</v>
      </c>
      <c r="H3407" s="247"/>
      <c r="I3407" s="247" t="s">
        <v>2391</v>
      </c>
      <c r="J3407" s="247">
        <v>47</v>
      </c>
      <c r="K3407" s="247">
        <v>47</v>
      </c>
      <c r="L3407" s="249" t="s">
        <v>938</v>
      </c>
      <c r="M3407" s="249" t="s">
        <v>929</v>
      </c>
      <c r="N3407" s="248">
        <v>2870</v>
      </c>
      <c r="O3407" s="248">
        <v>23330</v>
      </c>
      <c r="P3407" s="247" t="s">
        <v>1572</v>
      </c>
      <c r="Q3407" s="247" t="s">
        <v>92</v>
      </c>
    </row>
    <row r="3408" spans="1:17" x14ac:dyDescent="0.25">
      <c r="A3408" s="247" t="s">
        <v>646</v>
      </c>
      <c r="B3408" s="247" t="s">
        <v>265</v>
      </c>
      <c r="C3408" s="247" t="s">
        <v>1570</v>
      </c>
      <c r="D3408" s="247" t="s">
        <v>926</v>
      </c>
      <c r="E3408" s="247" t="s">
        <v>926</v>
      </c>
      <c r="F3408" s="247" t="s">
        <v>2390</v>
      </c>
      <c r="G3408" s="247" t="s">
        <v>1571</v>
      </c>
      <c r="H3408" s="247"/>
      <c r="I3408" s="247" t="s">
        <v>2391</v>
      </c>
      <c r="J3408" s="247">
        <v>47</v>
      </c>
      <c r="K3408" s="247">
        <v>47</v>
      </c>
      <c r="L3408" s="249" t="s">
        <v>939</v>
      </c>
      <c r="M3408" s="249" t="s">
        <v>929</v>
      </c>
      <c r="N3408" s="248">
        <v>1006</v>
      </c>
      <c r="O3408" s="248">
        <v>24336</v>
      </c>
      <c r="P3408" s="247" t="s">
        <v>1572</v>
      </c>
      <c r="Q3408" s="247" t="s">
        <v>93</v>
      </c>
    </row>
    <row r="3409" spans="1:17" x14ac:dyDescent="0.25">
      <c r="A3409" s="247" t="s">
        <v>646</v>
      </c>
      <c r="B3409" s="247" t="s">
        <v>265</v>
      </c>
      <c r="C3409" s="247" t="s">
        <v>1570</v>
      </c>
      <c r="D3409" s="247" t="s">
        <v>926</v>
      </c>
      <c r="E3409" s="247" t="s">
        <v>926</v>
      </c>
      <c r="F3409" s="247" t="s">
        <v>2390</v>
      </c>
      <c r="G3409" s="247" t="s">
        <v>1571</v>
      </c>
      <c r="H3409" s="247"/>
      <c r="I3409" s="247" t="s">
        <v>2391</v>
      </c>
      <c r="J3409" s="247">
        <v>47</v>
      </c>
      <c r="K3409" s="247">
        <v>47</v>
      </c>
      <c r="L3409" s="249" t="s">
        <v>940</v>
      </c>
      <c r="M3409" s="249" t="s">
        <v>929</v>
      </c>
      <c r="N3409" s="248">
        <v>8144</v>
      </c>
      <c r="O3409" s="248">
        <v>32480</v>
      </c>
      <c r="P3409" s="247" t="s">
        <v>1572</v>
      </c>
      <c r="Q3409" s="247" t="s">
        <v>94</v>
      </c>
    </row>
    <row r="3410" spans="1:17" x14ac:dyDescent="0.25">
      <c r="A3410" s="247" t="s">
        <v>646</v>
      </c>
      <c r="B3410" s="247" t="s">
        <v>265</v>
      </c>
      <c r="C3410" s="247" t="s">
        <v>1570</v>
      </c>
      <c r="D3410" s="247" t="s">
        <v>926</v>
      </c>
      <c r="E3410" s="247" t="s">
        <v>926</v>
      </c>
      <c r="F3410" s="247" t="s">
        <v>2390</v>
      </c>
      <c r="G3410" s="247" t="s">
        <v>1571</v>
      </c>
      <c r="H3410" s="247"/>
      <c r="I3410" s="247" t="s">
        <v>2391</v>
      </c>
      <c r="J3410" s="247">
        <v>47</v>
      </c>
      <c r="K3410" s="247">
        <v>47</v>
      </c>
      <c r="L3410" s="249" t="s">
        <v>642</v>
      </c>
      <c r="M3410" s="249" t="s">
        <v>929</v>
      </c>
      <c r="N3410" s="248">
        <v>3328.24</v>
      </c>
      <c r="O3410" s="248">
        <v>35808.239999999998</v>
      </c>
      <c r="P3410" s="247" t="s">
        <v>1572</v>
      </c>
      <c r="Q3410" s="247" t="s">
        <v>95</v>
      </c>
    </row>
    <row r="3411" spans="1:17" x14ac:dyDescent="0.25">
      <c r="A3411" s="247" t="s">
        <v>646</v>
      </c>
      <c r="B3411" s="247" t="s">
        <v>265</v>
      </c>
      <c r="C3411" s="247" t="s">
        <v>1573</v>
      </c>
      <c r="D3411" s="247" t="s">
        <v>926</v>
      </c>
      <c r="E3411" s="247" t="s">
        <v>926</v>
      </c>
      <c r="F3411" s="247" t="s">
        <v>2392</v>
      </c>
      <c r="G3411" s="247" t="s">
        <v>1574</v>
      </c>
      <c r="H3411" s="247"/>
      <c r="I3411" s="247" t="s">
        <v>2393</v>
      </c>
      <c r="J3411" s="247">
        <v>45</v>
      </c>
      <c r="K3411" s="247">
        <v>45</v>
      </c>
      <c r="L3411" s="249" t="s">
        <v>646</v>
      </c>
      <c r="M3411" s="249" t="s">
        <v>933</v>
      </c>
      <c r="N3411" s="248">
        <v>3900</v>
      </c>
      <c r="O3411" s="248">
        <v>42900</v>
      </c>
      <c r="P3411" s="247" t="s">
        <v>1575</v>
      </c>
      <c r="Q3411" s="247" t="s">
        <v>84</v>
      </c>
    </row>
    <row r="3412" spans="1:17" x14ac:dyDescent="0.25">
      <c r="A3412" s="247" t="s">
        <v>646</v>
      </c>
      <c r="B3412" s="247" t="s">
        <v>265</v>
      </c>
      <c r="C3412" s="247" t="s">
        <v>1573</v>
      </c>
      <c r="D3412" s="247" t="s">
        <v>926</v>
      </c>
      <c r="E3412" s="247" t="s">
        <v>926</v>
      </c>
      <c r="F3412" s="247" t="s">
        <v>2392</v>
      </c>
      <c r="G3412" s="247" t="s">
        <v>1574</v>
      </c>
      <c r="H3412" s="247"/>
      <c r="I3412" s="247" t="s">
        <v>2393</v>
      </c>
      <c r="J3412" s="247">
        <v>45</v>
      </c>
      <c r="K3412" s="247">
        <v>45</v>
      </c>
      <c r="L3412" s="249" t="s">
        <v>650</v>
      </c>
      <c r="M3412" s="249" t="s">
        <v>933</v>
      </c>
      <c r="N3412" s="248">
        <v>3900</v>
      </c>
      <c r="O3412" s="248">
        <v>46800</v>
      </c>
      <c r="P3412" s="247" t="s">
        <v>1575</v>
      </c>
      <c r="Q3412" s="247" t="s">
        <v>85</v>
      </c>
    </row>
    <row r="3413" spans="1:17" x14ac:dyDescent="0.25">
      <c r="A3413" s="247" t="s">
        <v>646</v>
      </c>
      <c r="B3413" s="247" t="s">
        <v>265</v>
      </c>
      <c r="C3413" s="247" t="s">
        <v>1573</v>
      </c>
      <c r="D3413" s="247" t="s">
        <v>926</v>
      </c>
      <c r="E3413" s="247" t="s">
        <v>926</v>
      </c>
      <c r="F3413" s="247" t="s">
        <v>2392</v>
      </c>
      <c r="G3413" s="247" t="s">
        <v>1574</v>
      </c>
      <c r="H3413" s="247"/>
      <c r="I3413" s="247" t="s">
        <v>2393</v>
      </c>
      <c r="J3413" s="247">
        <v>45</v>
      </c>
      <c r="K3413" s="247">
        <v>45</v>
      </c>
      <c r="L3413" s="249" t="s">
        <v>652</v>
      </c>
      <c r="M3413" s="249" t="s">
        <v>933</v>
      </c>
      <c r="N3413" s="248">
        <v>3900</v>
      </c>
      <c r="O3413" s="248">
        <v>50700</v>
      </c>
      <c r="P3413" s="247" t="s">
        <v>1575</v>
      </c>
      <c r="Q3413" s="247" t="s">
        <v>86</v>
      </c>
    </row>
    <row r="3414" spans="1:17" x14ac:dyDescent="0.25">
      <c r="A3414" s="247" t="s">
        <v>646</v>
      </c>
      <c r="B3414" s="247" t="s">
        <v>265</v>
      </c>
      <c r="C3414" s="247" t="s">
        <v>1573</v>
      </c>
      <c r="D3414" s="247" t="s">
        <v>926</v>
      </c>
      <c r="E3414" s="247" t="s">
        <v>926</v>
      </c>
      <c r="F3414" s="247" t="s">
        <v>2392</v>
      </c>
      <c r="G3414" s="247" t="s">
        <v>1574</v>
      </c>
      <c r="H3414" s="247"/>
      <c r="I3414" s="247" t="s">
        <v>2393</v>
      </c>
      <c r="J3414" s="247">
        <v>45</v>
      </c>
      <c r="K3414" s="247">
        <v>45</v>
      </c>
      <c r="L3414" s="249" t="s">
        <v>789</v>
      </c>
      <c r="M3414" s="249" t="s">
        <v>929</v>
      </c>
      <c r="N3414" s="248">
        <v>3900</v>
      </c>
      <c r="O3414" s="248">
        <v>3900</v>
      </c>
      <c r="P3414" s="247" t="s">
        <v>1575</v>
      </c>
      <c r="Q3414" s="247" t="s">
        <v>87</v>
      </c>
    </row>
    <row r="3415" spans="1:17" x14ac:dyDescent="0.25">
      <c r="A3415" s="247" t="s">
        <v>646</v>
      </c>
      <c r="B3415" s="247" t="s">
        <v>265</v>
      </c>
      <c r="C3415" s="247" t="s">
        <v>1573</v>
      </c>
      <c r="D3415" s="247" t="s">
        <v>926</v>
      </c>
      <c r="E3415" s="247" t="s">
        <v>926</v>
      </c>
      <c r="F3415" s="247" t="s">
        <v>2392</v>
      </c>
      <c r="G3415" s="247" t="s">
        <v>1574</v>
      </c>
      <c r="H3415" s="247"/>
      <c r="I3415" s="247" t="s">
        <v>2393</v>
      </c>
      <c r="J3415" s="247">
        <v>45</v>
      </c>
      <c r="K3415" s="247">
        <v>45</v>
      </c>
      <c r="L3415" s="249" t="s">
        <v>791</v>
      </c>
      <c r="M3415" s="249" t="s">
        <v>929</v>
      </c>
      <c r="N3415" s="248">
        <v>3900</v>
      </c>
      <c r="O3415" s="248">
        <v>7800</v>
      </c>
      <c r="P3415" s="247" t="s">
        <v>1575</v>
      </c>
      <c r="Q3415" s="247" t="s">
        <v>88</v>
      </c>
    </row>
    <row r="3416" spans="1:17" x14ac:dyDescent="0.25">
      <c r="A3416" s="247" t="s">
        <v>646</v>
      </c>
      <c r="B3416" s="247" t="s">
        <v>265</v>
      </c>
      <c r="C3416" s="247" t="s">
        <v>1573</v>
      </c>
      <c r="D3416" s="247" t="s">
        <v>926</v>
      </c>
      <c r="E3416" s="247" t="s">
        <v>926</v>
      </c>
      <c r="F3416" s="247" t="s">
        <v>2392</v>
      </c>
      <c r="G3416" s="247" t="s">
        <v>1574</v>
      </c>
      <c r="H3416" s="247"/>
      <c r="I3416" s="247" t="s">
        <v>2393</v>
      </c>
      <c r="J3416" s="247">
        <v>45</v>
      </c>
      <c r="K3416" s="247">
        <v>45</v>
      </c>
      <c r="L3416" s="249" t="s">
        <v>935</v>
      </c>
      <c r="M3416" s="249" t="s">
        <v>929</v>
      </c>
      <c r="N3416" s="248">
        <v>3900</v>
      </c>
      <c r="O3416" s="248">
        <v>11700</v>
      </c>
      <c r="P3416" s="247" t="s">
        <v>1575</v>
      </c>
      <c r="Q3416" s="247" t="s">
        <v>89</v>
      </c>
    </row>
    <row r="3417" spans="1:17" x14ac:dyDescent="0.25">
      <c r="A3417" s="247" t="s">
        <v>646</v>
      </c>
      <c r="B3417" s="247" t="s">
        <v>265</v>
      </c>
      <c r="C3417" s="247" t="s">
        <v>1573</v>
      </c>
      <c r="D3417" s="247" t="s">
        <v>926</v>
      </c>
      <c r="E3417" s="247" t="s">
        <v>926</v>
      </c>
      <c r="F3417" s="247" t="s">
        <v>2392</v>
      </c>
      <c r="G3417" s="247" t="s">
        <v>1574</v>
      </c>
      <c r="H3417" s="247"/>
      <c r="I3417" s="247" t="s">
        <v>2393</v>
      </c>
      <c r="J3417" s="247">
        <v>45</v>
      </c>
      <c r="K3417" s="247">
        <v>45</v>
      </c>
      <c r="L3417" s="249" t="s">
        <v>936</v>
      </c>
      <c r="M3417" s="249" t="s">
        <v>929</v>
      </c>
      <c r="N3417" s="248">
        <v>3900</v>
      </c>
      <c r="O3417" s="248">
        <v>15600</v>
      </c>
      <c r="P3417" s="247" t="s">
        <v>1575</v>
      </c>
      <c r="Q3417" s="247" t="s">
        <v>90</v>
      </c>
    </row>
    <row r="3418" spans="1:17" x14ac:dyDescent="0.25">
      <c r="A3418" s="247" t="s">
        <v>646</v>
      </c>
      <c r="B3418" s="247" t="s">
        <v>265</v>
      </c>
      <c r="C3418" s="247" t="s">
        <v>1573</v>
      </c>
      <c r="D3418" s="247" t="s">
        <v>926</v>
      </c>
      <c r="E3418" s="247" t="s">
        <v>926</v>
      </c>
      <c r="F3418" s="247" t="s">
        <v>2392</v>
      </c>
      <c r="G3418" s="247" t="s">
        <v>1574</v>
      </c>
      <c r="H3418" s="247"/>
      <c r="I3418" s="247" t="s">
        <v>2393</v>
      </c>
      <c r="J3418" s="247">
        <v>45</v>
      </c>
      <c r="K3418" s="247">
        <v>45</v>
      </c>
      <c r="L3418" s="249" t="s">
        <v>937</v>
      </c>
      <c r="M3418" s="249" t="s">
        <v>929</v>
      </c>
      <c r="N3418" s="248">
        <v>3900</v>
      </c>
      <c r="O3418" s="248">
        <v>19500</v>
      </c>
      <c r="P3418" s="247" t="s">
        <v>1575</v>
      </c>
      <c r="Q3418" s="247" t="s">
        <v>91</v>
      </c>
    </row>
    <row r="3419" spans="1:17" x14ac:dyDescent="0.25">
      <c r="A3419" s="247" t="s">
        <v>646</v>
      </c>
      <c r="B3419" s="247" t="s">
        <v>265</v>
      </c>
      <c r="C3419" s="247" t="s">
        <v>1573</v>
      </c>
      <c r="D3419" s="247" t="s">
        <v>926</v>
      </c>
      <c r="E3419" s="247" t="s">
        <v>926</v>
      </c>
      <c r="F3419" s="247" t="s">
        <v>2392</v>
      </c>
      <c r="G3419" s="247" t="s">
        <v>1574</v>
      </c>
      <c r="H3419" s="247"/>
      <c r="I3419" s="247" t="s">
        <v>2393</v>
      </c>
      <c r="J3419" s="247">
        <v>45</v>
      </c>
      <c r="K3419" s="247">
        <v>45</v>
      </c>
      <c r="L3419" s="249" t="s">
        <v>938</v>
      </c>
      <c r="M3419" s="249" t="s">
        <v>929</v>
      </c>
      <c r="N3419" s="248">
        <v>3900</v>
      </c>
      <c r="O3419" s="248">
        <v>23400</v>
      </c>
      <c r="P3419" s="247" t="s">
        <v>1575</v>
      </c>
      <c r="Q3419" s="247" t="s">
        <v>92</v>
      </c>
    </row>
    <row r="3420" spans="1:17" x14ac:dyDescent="0.25">
      <c r="A3420" s="247" t="s">
        <v>646</v>
      </c>
      <c r="B3420" s="247" t="s">
        <v>265</v>
      </c>
      <c r="C3420" s="247" t="s">
        <v>1573</v>
      </c>
      <c r="D3420" s="247" t="s">
        <v>926</v>
      </c>
      <c r="E3420" s="247" t="s">
        <v>926</v>
      </c>
      <c r="F3420" s="247" t="s">
        <v>2392</v>
      </c>
      <c r="G3420" s="247" t="s">
        <v>1574</v>
      </c>
      <c r="H3420" s="247"/>
      <c r="I3420" s="247" t="s">
        <v>2393</v>
      </c>
      <c r="J3420" s="247">
        <v>45</v>
      </c>
      <c r="K3420" s="247">
        <v>45</v>
      </c>
      <c r="L3420" s="249" t="s">
        <v>939</v>
      </c>
      <c r="M3420" s="249" t="s">
        <v>929</v>
      </c>
      <c r="N3420" s="248">
        <v>3900</v>
      </c>
      <c r="O3420" s="248">
        <v>27300</v>
      </c>
      <c r="P3420" s="247" t="s">
        <v>1575</v>
      </c>
      <c r="Q3420" s="247" t="s">
        <v>93</v>
      </c>
    </row>
    <row r="3421" spans="1:17" x14ac:dyDescent="0.25">
      <c r="A3421" s="247" t="s">
        <v>646</v>
      </c>
      <c r="B3421" s="247" t="s">
        <v>265</v>
      </c>
      <c r="C3421" s="247" t="s">
        <v>1573</v>
      </c>
      <c r="D3421" s="247" t="s">
        <v>926</v>
      </c>
      <c r="E3421" s="247" t="s">
        <v>926</v>
      </c>
      <c r="F3421" s="247" t="s">
        <v>2392</v>
      </c>
      <c r="G3421" s="247" t="s">
        <v>1574</v>
      </c>
      <c r="H3421" s="247"/>
      <c r="I3421" s="247" t="s">
        <v>2393</v>
      </c>
      <c r="J3421" s="247">
        <v>45</v>
      </c>
      <c r="K3421" s="247">
        <v>45</v>
      </c>
      <c r="L3421" s="249" t="s">
        <v>940</v>
      </c>
      <c r="M3421" s="249" t="s">
        <v>929</v>
      </c>
      <c r="N3421" s="248">
        <v>3900</v>
      </c>
      <c r="O3421" s="248">
        <v>31200</v>
      </c>
      <c r="P3421" s="247" t="s">
        <v>1575</v>
      </c>
      <c r="Q3421" s="247" t="s">
        <v>94</v>
      </c>
    </row>
    <row r="3422" spans="1:17" x14ac:dyDescent="0.25">
      <c r="A3422" s="247" t="s">
        <v>646</v>
      </c>
      <c r="B3422" s="247" t="s">
        <v>265</v>
      </c>
      <c r="C3422" s="247" t="s">
        <v>1573</v>
      </c>
      <c r="D3422" s="247" t="s">
        <v>926</v>
      </c>
      <c r="E3422" s="247" t="s">
        <v>926</v>
      </c>
      <c r="F3422" s="247" t="s">
        <v>2392</v>
      </c>
      <c r="G3422" s="247" t="s">
        <v>1574</v>
      </c>
      <c r="H3422" s="247"/>
      <c r="I3422" s="247" t="s">
        <v>2393</v>
      </c>
      <c r="J3422" s="247">
        <v>45</v>
      </c>
      <c r="K3422" s="247">
        <v>45</v>
      </c>
      <c r="L3422" s="249" t="s">
        <v>642</v>
      </c>
      <c r="M3422" s="249" t="s">
        <v>929</v>
      </c>
      <c r="N3422" s="248">
        <v>3900</v>
      </c>
      <c r="O3422" s="248">
        <v>35100</v>
      </c>
      <c r="P3422" s="247" t="s">
        <v>1575</v>
      </c>
      <c r="Q3422" s="247" t="s">
        <v>95</v>
      </c>
    </row>
    <row r="3423" spans="1:17" x14ac:dyDescent="0.25">
      <c r="A3423" s="247" t="s">
        <v>646</v>
      </c>
      <c r="B3423" s="247" t="s">
        <v>265</v>
      </c>
      <c r="C3423" s="247" t="s">
        <v>1576</v>
      </c>
      <c r="D3423" s="247" t="s">
        <v>926</v>
      </c>
      <c r="E3423" s="247" t="s">
        <v>926</v>
      </c>
      <c r="F3423" s="247" t="s">
        <v>2394</v>
      </c>
      <c r="G3423" s="247" t="s">
        <v>1577</v>
      </c>
      <c r="H3423" s="247"/>
      <c r="I3423" s="247" t="s">
        <v>2395</v>
      </c>
      <c r="J3423" s="247">
        <v>70</v>
      </c>
      <c r="K3423" s="247">
        <v>70</v>
      </c>
      <c r="L3423" s="249" t="s">
        <v>646</v>
      </c>
      <c r="M3423" s="249" t="s">
        <v>933</v>
      </c>
      <c r="N3423" s="248">
        <v>1918.26</v>
      </c>
      <c r="O3423" s="248">
        <v>25506.11</v>
      </c>
      <c r="P3423" s="247" t="s">
        <v>1578</v>
      </c>
      <c r="Q3423" s="247" t="s">
        <v>84</v>
      </c>
    </row>
    <row r="3424" spans="1:17" x14ac:dyDescent="0.25">
      <c r="A3424" s="247" t="s">
        <v>646</v>
      </c>
      <c r="B3424" s="247" t="s">
        <v>265</v>
      </c>
      <c r="C3424" s="247" t="s">
        <v>1576</v>
      </c>
      <c r="D3424" s="247" t="s">
        <v>926</v>
      </c>
      <c r="E3424" s="247" t="s">
        <v>926</v>
      </c>
      <c r="F3424" s="247" t="s">
        <v>2394</v>
      </c>
      <c r="G3424" s="247" t="s">
        <v>1577</v>
      </c>
      <c r="H3424" s="247"/>
      <c r="I3424" s="247" t="s">
        <v>2395</v>
      </c>
      <c r="J3424" s="247">
        <v>70</v>
      </c>
      <c r="K3424" s="247">
        <v>70</v>
      </c>
      <c r="L3424" s="249" t="s">
        <v>650</v>
      </c>
      <c r="M3424" s="249" t="s">
        <v>933</v>
      </c>
      <c r="N3424" s="248">
        <v>569.33000000000004</v>
      </c>
      <c r="O3424" s="248">
        <v>26075.439999999999</v>
      </c>
      <c r="P3424" s="247" t="s">
        <v>1578</v>
      </c>
      <c r="Q3424" s="247" t="s">
        <v>85</v>
      </c>
    </row>
    <row r="3425" spans="1:17" x14ac:dyDescent="0.25">
      <c r="A3425" s="247" t="s">
        <v>646</v>
      </c>
      <c r="B3425" s="247" t="s">
        <v>265</v>
      </c>
      <c r="C3425" s="247" t="s">
        <v>1576</v>
      </c>
      <c r="D3425" s="247" t="s">
        <v>926</v>
      </c>
      <c r="E3425" s="247" t="s">
        <v>926</v>
      </c>
      <c r="F3425" s="247" t="s">
        <v>2394</v>
      </c>
      <c r="G3425" s="247" t="s">
        <v>1577</v>
      </c>
      <c r="H3425" s="247"/>
      <c r="I3425" s="247" t="s">
        <v>2395</v>
      </c>
      <c r="J3425" s="247">
        <v>70</v>
      </c>
      <c r="K3425" s="247">
        <v>70</v>
      </c>
      <c r="L3425" s="249" t="s">
        <v>652</v>
      </c>
      <c r="M3425" s="249" t="s">
        <v>933</v>
      </c>
      <c r="N3425" s="248">
        <v>173.36</v>
      </c>
      <c r="O3425" s="248">
        <v>26248.799999999999</v>
      </c>
      <c r="P3425" s="247" t="s">
        <v>1578</v>
      </c>
      <c r="Q3425" s="247" t="s">
        <v>86</v>
      </c>
    </row>
    <row r="3426" spans="1:17" x14ac:dyDescent="0.25">
      <c r="A3426" s="247" t="s">
        <v>646</v>
      </c>
      <c r="B3426" s="247" t="s">
        <v>265</v>
      </c>
      <c r="C3426" s="247" t="s">
        <v>1576</v>
      </c>
      <c r="D3426" s="247" t="s">
        <v>926</v>
      </c>
      <c r="E3426" s="247" t="s">
        <v>926</v>
      </c>
      <c r="F3426" s="247" t="s">
        <v>2394</v>
      </c>
      <c r="G3426" s="247" t="s">
        <v>1577</v>
      </c>
      <c r="H3426" s="247"/>
      <c r="I3426" s="247" t="s">
        <v>2395</v>
      </c>
      <c r="J3426" s="247">
        <v>70</v>
      </c>
      <c r="K3426" s="247">
        <v>70</v>
      </c>
      <c r="L3426" s="249" t="s">
        <v>789</v>
      </c>
      <c r="M3426" s="249" t="s">
        <v>929</v>
      </c>
      <c r="N3426" s="248">
        <v>729.18</v>
      </c>
      <c r="O3426" s="248">
        <v>729.18</v>
      </c>
      <c r="P3426" s="247" t="s">
        <v>1578</v>
      </c>
      <c r="Q3426" s="247" t="s">
        <v>87</v>
      </c>
    </row>
    <row r="3427" spans="1:17" x14ac:dyDescent="0.25">
      <c r="A3427" s="247" t="s">
        <v>646</v>
      </c>
      <c r="B3427" s="247" t="s">
        <v>265</v>
      </c>
      <c r="C3427" s="247" t="s">
        <v>1576</v>
      </c>
      <c r="D3427" s="247" t="s">
        <v>926</v>
      </c>
      <c r="E3427" s="247" t="s">
        <v>926</v>
      </c>
      <c r="F3427" s="247" t="s">
        <v>2394</v>
      </c>
      <c r="G3427" s="247" t="s">
        <v>1577</v>
      </c>
      <c r="H3427" s="247"/>
      <c r="I3427" s="247" t="s">
        <v>2395</v>
      </c>
      <c r="J3427" s="247">
        <v>70</v>
      </c>
      <c r="K3427" s="247">
        <v>70</v>
      </c>
      <c r="L3427" s="249" t="s">
        <v>791</v>
      </c>
      <c r="M3427" s="249" t="s">
        <v>929</v>
      </c>
      <c r="N3427" s="248">
        <v>9490.0400000000009</v>
      </c>
      <c r="O3427" s="248">
        <v>10219.219999999999</v>
      </c>
      <c r="P3427" s="247" t="s">
        <v>1578</v>
      </c>
      <c r="Q3427" s="247" t="s">
        <v>88</v>
      </c>
    </row>
    <row r="3428" spans="1:17" x14ac:dyDescent="0.25">
      <c r="A3428" s="247" t="s">
        <v>646</v>
      </c>
      <c r="B3428" s="247" t="s">
        <v>265</v>
      </c>
      <c r="C3428" s="247" t="s">
        <v>1576</v>
      </c>
      <c r="D3428" s="247" t="s">
        <v>926</v>
      </c>
      <c r="E3428" s="247" t="s">
        <v>926</v>
      </c>
      <c r="F3428" s="247" t="s">
        <v>2394</v>
      </c>
      <c r="G3428" s="247" t="s">
        <v>1577</v>
      </c>
      <c r="H3428" s="247"/>
      <c r="I3428" s="247" t="s">
        <v>2395</v>
      </c>
      <c r="J3428" s="247">
        <v>70</v>
      </c>
      <c r="K3428" s="247">
        <v>70</v>
      </c>
      <c r="L3428" s="249" t="s">
        <v>935</v>
      </c>
      <c r="M3428" s="249" t="s">
        <v>929</v>
      </c>
      <c r="N3428" s="248">
        <v>1214.73</v>
      </c>
      <c r="O3428" s="248">
        <v>11433.95</v>
      </c>
      <c r="P3428" s="247" t="s">
        <v>1578</v>
      </c>
      <c r="Q3428" s="247" t="s">
        <v>89</v>
      </c>
    </row>
    <row r="3429" spans="1:17" x14ac:dyDescent="0.25">
      <c r="A3429" s="247" t="s">
        <v>646</v>
      </c>
      <c r="B3429" s="247" t="s">
        <v>265</v>
      </c>
      <c r="C3429" s="247" t="s">
        <v>1576</v>
      </c>
      <c r="D3429" s="247" t="s">
        <v>926</v>
      </c>
      <c r="E3429" s="247" t="s">
        <v>926</v>
      </c>
      <c r="F3429" s="247" t="s">
        <v>2394</v>
      </c>
      <c r="G3429" s="247" t="s">
        <v>1577</v>
      </c>
      <c r="H3429" s="247"/>
      <c r="I3429" s="247" t="s">
        <v>2395</v>
      </c>
      <c r="J3429" s="247">
        <v>70</v>
      </c>
      <c r="K3429" s="247">
        <v>70</v>
      </c>
      <c r="L3429" s="249" t="s">
        <v>936</v>
      </c>
      <c r="M3429" s="249" t="s">
        <v>929</v>
      </c>
      <c r="N3429" s="248">
        <v>759.11</v>
      </c>
      <c r="O3429" s="248">
        <v>12193.06</v>
      </c>
      <c r="P3429" s="247" t="s">
        <v>1578</v>
      </c>
      <c r="Q3429" s="247" t="s">
        <v>90</v>
      </c>
    </row>
    <row r="3430" spans="1:17" x14ac:dyDescent="0.25">
      <c r="A3430" s="247" t="s">
        <v>646</v>
      </c>
      <c r="B3430" s="247" t="s">
        <v>265</v>
      </c>
      <c r="C3430" s="247" t="s">
        <v>1576</v>
      </c>
      <c r="D3430" s="247" t="s">
        <v>926</v>
      </c>
      <c r="E3430" s="247" t="s">
        <v>926</v>
      </c>
      <c r="F3430" s="247" t="s">
        <v>2394</v>
      </c>
      <c r="G3430" s="247" t="s">
        <v>1577</v>
      </c>
      <c r="H3430" s="247"/>
      <c r="I3430" s="247" t="s">
        <v>2395</v>
      </c>
      <c r="J3430" s="247">
        <v>70</v>
      </c>
      <c r="K3430" s="247">
        <v>70</v>
      </c>
      <c r="L3430" s="249" t="s">
        <v>937</v>
      </c>
      <c r="M3430" s="249" t="s">
        <v>929</v>
      </c>
      <c r="N3430" s="248">
        <v>2170.77</v>
      </c>
      <c r="O3430" s="248">
        <v>14363.83</v>
      </c>
      <c r="P3430" s="247" t="s">
        <v>1578</v>
      </c>
      <c r="Q3430" s="247" t="s">
        <v>91</v>
      </c>
    </row>
    <row r="3431" spans="1:17" x14ac:dyDescent="0.25">
      <c r="A3431" s="247" t="s">
        <v>646</v>
      </c>
      <c r="B3431" s="247" t="s">
        <v>265</v>
      </c>
      <c r="C3431" s="247" t="s">
        <v>1576</v>
      </c>
      <c r="D3431" s="247" t="s">
        <v>926</v>
      </c>
      <c r="E3431" s="247" t="s">
        <v>926</v>
      </c>
      <c r="F3431" s="247" t="s">
        <v>2394</v>
      </c>
      <c r="G3431" s="247" t="s">
        <v>1577</v>
      </c>
      <c r="H3431" s="247"/>
      <c r="I3431" s="247" t="s">
        <v>2395</v>
      </c>
      <c r="J3431" s="247">
        <v>70</v>
      </c>
      <c r="K3431" s="247">
        <v>70</v>
      </c>
      <c r="L3431" s="249" t="s">
        <v>938</v>
      </c>
      <c r="M3431" s="249" t="s">
        <v>929</v>
      </c>
      <c r="N3431" s="248">
        <v>4892.3599999999997</v>
      </c>
      <c r="O3431" s="248">
        <v>19256.189999999999</v>
      </c>
      <c r="P3431" s="247" t="s">
        <v>1578</v>
      </c>
      <c r="Q3431" s="247" t="s">
        <v>92</v>
      </c>
    </row>
    <row r="3432" spans="1:17" x14ac:dyDescent="0.25">
      <c r="A3432" s="247" t="s">
        <v>646</v>
      </c>
      <c r="B3432" s="247" t="s">
        <v>265</v>
      </c>
      <c r="C3432" s="247" t="s">
        <v>1576</v>
      </c>
      <c r="D3432" s="247" t="s">
        <v>926</v>
      </c>
      <c r="E3432" s="247" t="s">
        <v>926</v>
      </c>
      <c r="F3432" s="247" t="s">
        <v>2394</v>
      </c>
      <c r="G3432" s="247" t="s">
        <v>1577</v>
      </c>
      <c r="H3432" s="247"/>
      <c r="I3432" s="247" t="s">
        <v>2395</v>
      </c>
      <c r="J3432" s="247">
        <v>70</v>
      </c>
      <c r="K3432" s="247">
        <v>70</v>
      </c>
      <c r="L3432" s="249" t="s">
        <v>939</v>
      </c>
      <c r="M3432" s="249" t="s">
        <v>929</v>
      </c>
      <c r="N3432" s="248">
        <v>0</v>
      </c>
      <c r="O3432" s="248">
        <v>19256.189999999999</v>
      </c>
      <c r="P3432" s="247" t="s">
        <v>1578</v>
      </c>
      <c r="Q3432" s="247" t="s">
        <v>93</v>
      </c>
    </row>
    <row r="3433" spans="1:17" x14ac:dyDescent="0.25">
      <c r="A3433" s="247" t="s">
        <v>646</v>
      </c>
      <c r="B3433" s="247" t="s">
        <v>265</v>
      </c>
      <c r="C3433" s="247" t="s">
        <v>1576</v>
      </c>
      <c r="D3433" s="247" t="s">
        <v>926</v>
      </c>
      <c r="E3433" s="247" t="s">
        <v>926</v>
      </c>
      <c r="F3433" s="247" t="s">
        <v>2394</v>
      </c>
      <c r="G3433" s="247" t="s">
        <v>1577</v>
      </c>
      <c r="H3433" s="247"/>
      <c r="I3433" s="247" t="s">
        <v>2395</v>
      </c>
      <c r="J3433" s="247">
        <v>70</v>
      </c>
      <c r="K3433" s="247">
        <v>70</v>
      </c>
      <c r="L3433" s="249" t="s">
        <v>940</v>
      </c>
      <c r="M3433" s="249" t="s">
        <v>929</v>
      </c>
      <c r="N3433" s="248">
        <v>2475.6799999999998</v>
      </c>
      <c r="O3433" s="248">
        <v>21731.87</v>
      </c>
      <c r="P3433" s="247" t="s">
        <v>1578</v>
      </c>
      <c r="Q3433" s="247" t="s">
        <v>94</v>
      </c>
    </row>
    <row r="3434" spans="1:17" x14ac:dyDescent="0.25">
      <c r="A3434" s="247" t="s">
        <v>646</v>
      </c>
      <c r="B3434" s="247" t="s">
        <v>265</v>
      </c>
      <c r="C3434" s="247" t="s">
        <v>1576</v>
      </c>
      <c r="D3434" s="247" t="s">
        <v>926</v>
      </c>
      <c r="E3434" s="247" t="s">
        <v>926</v>
      </c>
      <c r="F3434" s="247" t="s">
        <v>2394</v>
      </c>
      <c r="G3434" s="247" t="s">
        <v>1577</v>
      </c>
      <c r="H3434" s="247"/>
      <c r="I3434" s="247" t="s">
        <v>2395</v>
      </c>
      <c r="J3434" s="247">
        <v>70</v>
      </c>
      <c r="K3434" s="247">
        <v>70</v>
      </c>
      <c r="L3434" s="249" t="s">
        <v>642</v>
      </c>
      <c r="M3434" s="249" t="s">
        <v>929</v>
      </c>
      <c r="N3434" s="248">
        <v>1036.82</v>
      </c>
      <c r="O3434" s="248">
        <v>22768.69</v>
      </c>
      <c r="P3434" s="247" t="s">
        <v>1578</v>
      </c>
      <c r="Q3434" s="247" t="s">
        <v>95</v>
      </c>
    </row>
    <row r="3435" spans="1:17" x14ac:dyDescent="0.25">
      <c r="A3435" s="247" t="s">
        <v>646</v>
      </c>
      <c r="B3435" s="247" t="s">
        <v>265</v>
      </c>
      <c r="C3435" s="247" t="s">
        <v>1579</v>
      </c>
      <c r="D3435" s="247" t="s">
        <v>926</v>
      </c>
      <c r="E3435" s="247" t="s">
        <v>926</v>
      </c>
      <c r="F3435" s="247" t="s">
        <v>2396</v>
      </c>
      <c r="G3435" s="247" t="s">
        <v>1580</v>
      </c>
      <c r="H3435" s="247"/>
      <c r="I3435" s="247" t="s">
        <v>2397</v>
      </c>
      <c r="J3435" s="247">
        <v>67</v>
      </c>
      <c r="K3435" s="247">
        <v>67</v>
      </c>
      <c r="L3435" s="249" t="s">
        <v>646</v>
      </c>
      <c r="M3435" s="249" t="s">
        <v>933</v>
      </c>
      <c r="N3435" s="248">
        <v>-2787.38</v>
      </c>
      <c r="O3435" s="248">
        <v>42911.97</v>
      </c>
      <c r="P3435" s="247" t="s">
        <v>1581</v>
      </c>
      <c r="Q3435" s="247" t="s">
        <v>84</v>
      </c>
    </row>
    <row r="3436" spans="1:17" x14ac:dyDescent="0.25">
      <c r="A3436" s="247" t="s">
        <v>646</v>
      </c>
      <c r="B3436" s="247" t="s">
        <v>265</v>
      </c>
      <c r="C3436" s="247" t="s">
        <v>1579</v>
      </c>
      <c r="D3436" s="247" t="s">
        <v>926</v>
      </c>
      <c r="E3436" s="247" t="s">
        <v>926</v>
      </c>
      <c r="F3436" s="247" t="s">
        <v>2396</v>
      </c>
      <c r="G3436" s="247" t="s">
        <v>1580</v>
      </c>
      <c r="H3436" s="247"/>
      <c r="I3436" s="247" t="s">
        <v>2397</v>
      </c>
      <c r="J3436" s="247">
        <v>67</v>
      </c>
      <c r="K3436" s="247">
        <v>67</v>
      </c>
      <c r="L3436" s="249" t="s">
        <v>650</v>
      </c>
      <c r="M3436" s="249" t="s">
        <v>933</v>
      </c>
      <c r="N3436" s="248">
        <v>-7734.27</v>
      </c>
      <c r="O3436" s="248">
        <v>35177.699999999997</v>
      </c>
      <c r="P3436" s="247" t="s">
        <v>1581</v>
      </c>
      <c r="Q3436" s="247" t="s">
        <v>85</v>
      </c>
    </row>
    <row r="3437" spans="1:17" x14ac:dyDescent="0.25">
      <c r="A3437" s="247" t="s">
        <v>646</v>
      </c>
      <c r="B3437" s="247" t="s">
        <v>265</v>
      </c>
      <c r="C3437" s="247" t="s">
        <v>1579</v>
      </c>
      <c r="D3437" s="247" t="s">
        <v>926</v>
      </c>
      <c r="E3437" s="247" t="s">
        <v>926</v>
      </c>
      <c r="F3437" s="247" t="s">
        <v>2396</v>
      </c>
      <c r="G3437" s="247" t="s">
        <v>1580</v>
      </c>
      <c r="H3437" s="247"/>
      <c r="I3437" s="247" t="s">
        <v>2397</v>
      </c>
      <c r="J3437" s="247">
        <v>67</v>
      </c>
      <c r="K3437" s="247">
        <v>67</v>
      </c>
      <c r="L3437" s="249" t="s">
        <v>652</v>
      </c>
      <c r="M3437" s="249" t="s">
        <v>933</v>
      </c>
      <c r="N3437" s="248">
        <v>-2880.12</v>
      </c>
      <c r="O3437" s="248">
        <v>32297.58</v>
      </c>
      <c r="P3437" s="247" t="s">
        <v>1581</v>
      </c>
      <c r="Q3437" s="247" t="s">
        <v>86</v>
      </c>
    </row>
    <row r="3438" spans="1:17" x14ac:dyDescent="0.25">
      <c r="A3438" s="247" t="s">
        <v>646</v>
      </c>
      <c r="B3438" s="247" t="s">
        <v>265</v>
      </c>
      <c r="C3438" s="247" t="s">
        <v>1579</v>
      </c>
      <c r="D3438" s="247" t="s">
        <v>926</v>
      </c>
      <c r="E3438" s="247" t="s">
        <v>926</v>
      </c>
      <c r="F3438" s="247" t="s">
        <v>2396</v>
      </c>
      <c r="G3438" s="247" t="s">
        <v>1580</v>
      </c>
      <c r="H3438" s="247"/>
      <c r="I3438" s="247" t="s">
        <v>2397</v>
      </c>
      <c r="J3438" s="247">
        <v>67</v>
      </c>
      <c r="K3438" s="247">
        <v>67</v>
      </c>
      <c r="L3438" s="249" t="s">
        <v>940</v>
      </c>
      <c r="M3438" s="249" t="s">
        <v>929</v>
      </c>
      <c r="N3438" s="248">
        <v>334.07</v>
      </c>
      <c r="O3438" s="248">
        <v>334.07</v>
      </c>
      <c r="P3438" s="247" t="s">
        <v>1581</v>
      </c>
      <c r="Q3438" s="247" t="s">
        <v>94</v>
      </c>
    </row>
    <row r="3439" spans="1:17" x14ac:dyDescent="0.25">
      <c r="A3439" s="247" t="s">
        <v>646</v>
      </c>
      <c r="B3439" s="247" t="s">
        <v>265</v>
      </c>
      <c r="C3439" s="247" t="s">
        <v>1579</v>
      </c>
      <c r="D3439" s="247" t="s">
        <v>926</v>
      </c>
      <c r="E3439" s="247" t="s">
        <v>926</v>
      </c>
      <c r="F3439" s="247" t="s">
        <v>2396</v>
      </c>
      <c r="G3439" s="247" t="s">
        <v>1580</v>
      </c>
      <c r="H3439" s="247"/>
      <c r="I3439" s="247" t="s">
        <v>2397</v>
      </c>
      <c r="J3439" s="247">
        <v>67</v>
      </c>
      <c r="K3439" s="247">
        <v>67</v>
      </c>
      <c r="L3439" s="249" t="s">
        <v>642</v>
      </c>
      <c r="M3439" s="249" t="s">
        <v>929</v>
      </c>
      <c r="N3439" s="248">
        <v>0</v>
      </c>
      <c r="O3439" s="248">
        <v>334.07</v>
      </c>
      <c r="P3439" s="247" t="s">
        <v>1581</v>
      </c>
      <c r="Q3439" s="247" t="s">
        <v>95</v>
      </c>
    </row>
    <row r="3440" spans="1:17" x14ac:dyDescent="0.25">
      <c r="A3440" s="247" t="s">
        <v>646</v>
      </c>
      <c r="B3440" s="247" t="s">
        <v>265</v>
      </c>
      <c r="C3440" s="247" t="s">
        <v>1579</v>
      </c>
      <c r="D3440" s="247" t="s">
        <v>926</v>
      </c>
      <c r="E3440" s="247" t="s">
        <v>711</v>
      </c>
      <c r="F3440" s="247" t="s">
        <v>2398</v>
      </c>
      <c r="G3440" s="247" t="s">
        <v>1582</v>
      </c>
      <c r="H3440" s="247" t="s">
        <v>392</v>
      </c>
      <c r="I3440" s="247" t="s">
        <v>2399</v>
      </c>
      <c r="J3440" s="247">
        <v>67</v>
      </c>
      <c r="K3440" s="247">
        <v>67</v>
      </c>
      <c r="L3440" s="249" t="s">
        <v>646</v>
      </c>
      <c r="M3440" s="249" t="s">
        <v>933</v>
      </c>
      <c r="N3440" s="248">
        <v>377.25</v>
      </c>
      <c r="O3440" s="248">
        <v>377.25</v>
      </c>
      <c r="P3440" s="247" t="s">
        <v>1583</v>
      </c>
      <c r="Q3440" s="247" t="s">
        <v>84</v>
      </c>
    </row>
    <row r="3441" spans="1:17" x14ac:dyDescent="0.25">
      <c r="A3441" s="247" t="s">
        <v>646</v>
      </c>
      <c r="B3441" s="247" t="s">
        <v>265</v>
      </c>
      <c r="C3441" s="247" t="s">
        <v>1579</v>
      </c>
      <c r="D3441" s="247" t="s">
        <v>926</v>
      </c>
      <c r="E3441" s="247" t="s">
        <v>711</v>
      </c>
      <c r="F3441" s="247" t="s">
        <v>2398</v>
      </c>
      <c r="G3441" s="247" t="s">
        <v>1582</v>
      </c>
      <c r="H3441" s="247" t="s">
        <v>392</v>
      </c>
      <c r="I3441" s="247" t="s">
        <v>2399</v>
      </c>
      <c r="J3441" s="247">
        <v>67</v>
      </c>
      <c r="K3441" s="247">
        <v>67</v>
      </c>
      <c r="L3441" s="249" t="s">
        <v>650</v>
      </c>
      <c r="M3441" s="249" t="s">
        <v>933</v>
      </c>
      <c r="N3441" s="248">
        <v>377.25</v>
      </c>
      <c r="O3441" s="248">
        <v>754.5</v>
      </c>
      <c r="P3441" s="247" t="s">
        <v>1583</v>
      </c>
      <c r="Q3441" s="247" t="s">
        <v>85</v>
      </c>
    </row>
    <row r="3442" spans="1:17" x14ac:dyDescent="0.25">
      <c r="A3442" s="247" t="s">
        <v>646</v>
      </c>
      <c r="B3442" s="247" t="s">
        <v>265</v>
      </c>
      <c r="C3442" s="247" t="s">
        <v>1579</v>
      </c>
      <c r="D3442" s="247" t="s">
        <v>926</v>
      </c>
      <c r="E3442" s="247" t="s">
        <v>711</v>
      </c>
      <c r="F3442" s="247" t="s">
        <v>2398</v>
      </c>
      <c r="G3442" s="247" t="s">
        <v>1582</v>
      </c>
      <c r="H3442" s="247" t="s">
        <v>392</v>
      </c>
      <c r="I3442" s="247" t="s">
        <v>2399</v>
      </c>
      <c r="J3442" s="247">
        <v>67</v>
      </c>
      <c r="K3442" s="247">
        <v>67</v>
      </c>
      <c r="L3442" s="249" t="s">
        <v>652</v>
      </c>
      <c r="M3442" s="249" t="s">
        <v>933</v>
      </c>
      <c r="N3442" s="248">
        <v>377.26</v>
      </c>
      <c r="O3442" s="248">
        <v>1131.76</v>
      </c>
      <c r="P3442" s="247" t="s">
        <v>1583</v>
      </c>
      <c r="Q3442" s="247" t="s">
        <v>86</v>
      </c>
    </row>
    <row r="3443" spans="1:17" x14ac:dyDescent="0.25">
      <c r="A3443" s="247" t="s">
        <v>646</v>
      </c>
      <c r="B3443" s="247" t="s">
        <v>265</v>
      </c>
      <c r="C3443" s="247" t="s">
        <v>1579</v>
      </c>
      <c r="D3443" s="247" t="s">
        <v>926</v>
      </c>
      <c r="E3443" s="247" t="s">
        <v>711</v>
      </c>
      <c r="F3443" s="247" t="s">
        <v>2398</v>
      </c>
      <c r="G3443" s="247" t="s">
        <v>1582</v>
      </c>
      <c r="H3443" s="247" t="s">
        <v>392</v>
      </c>
      <c r="I3443" s="247" t="s">
        <v>2399</v>
      </c>
      <c r="J3443" s="247">
        <v>67</v>
      </c>
      <c r="K3443" s="247">
        <v>67</v>
      </c>
      <c r="L3443" s="249" t="s">
        <v>789</v>
      </c>
      <c r="M3443" s="249" t="s">
        <v>929</v>
      </c>
      <c r="N3443" s="248">
        <v>377.25</v>
      </c>
      <c r="O3443" s="248">
        <v>377.25</v>
      </c>
      <c r="P3443" s="247" t="s">
        <v>1583</v>
      </c>
      <c r="Q3443" s="247" t="s">
        <v>87</v>
      </c>
    </row>
    <row r="3444" spans="1:17" x14ac:dyDescent="0.25">
      <c r="A3444" s="247" t="s">
        <v>646</v>
      </c>
      <c r="B3444" s="247" t="s">
        <v>265</v>
      </c>
      <c r="C3444" s="247" t="s">
        <v>1579</v>
      </c>
      <c r="D3444" s="247" t="s">
        <v>926</v>
      </c>
      <c r="E3444" s="247" t="s">
        <v>711</v>
      </c>
      <c r="F3444" s="247" t="s">
        <v>2398</v>
      </c>
      <c r="G3444" s="247" t="s">
        <v>1582</v>
      </c>
      <c r="H3444" s="247" t="s">
        <v>392</v>
      </c>
      <c r="I3444" s="247" t="s">
        <v>2399</v>
      </c>
      <c r="J3444" s="247">
        <v>67</v>
      </c>
      <c r="K3444" s="247">
        <v>67</v>
      </c>
      <c r="L3444" s="249" t="s">
        <v>791</v>
      </c>
      <c r="M3444" s="249" t="s">
        <v>929</v>
      </c>
      <c r="N3444" s="248">
        <v>377.25</v>
      </c>
      <c r="O3444" s="248">
        <v>754.5</v>
      </c>
      <c r="P3444" s="247" t="s">
        <v>1583</v>
      </c>
      <c r="Q3444" s="247" t="s">
        <v>88</v>
      </c>
    </row>
    <row r="3445" spans="1:17" x14ac:dyDescent="0.25">
      <c r="A3445" s="247" t="s">
        <v>646</v>
      </c>
      <c r="B3445" s="247" t="s">
        <v>265</v>
      </c>
      <c r="C3445" s="247" t="s">
        <v>1579</v>
      </c>
      <c r="D3445" s="247" t="s">
        <v>926</v>
      </c>
      <c r="E3445" s="247" t="s">
        <v>711</v>
      </c>
      <c r="F3445" s="247" t="s">
        <v>2398</v>
      </c>
      <c r="G3445" s="247" t="s">
        <v>1582</v>
      </c>
      <c r="H3445" s="247" t="s">
        <v>392</v>
      </c>
      <c r="I3445" s="247" t="s">
        <v>2399</v>
      </c>
      <c r="J3445" s="247">
        <v>67</v>
      </c>
      <c r="K3445" s="247">
        <v>67</v>
      </c>
      <c r="L3445" s="249" t="s">
        <v>935</v>
      </c>
      <c r="M3445" s="249" t="s">
        <v>929</v>
      </c>
      <c r="N3445" s="248">
        <v>377.25</v>
      </c>
      <c r="O3445" s="248">
        <v>1131.75</v>
      </c>
      <c r="P3445" s="247" t="s">
        <v>1583</v>
      </c>
      <c r="Q3445" s="247" t="s">
        <v>89</v>
      </c>
    </row>
    <row r="3446" spans="1:17" x14ac:dyDescent="0.25">
      <c r="A3446" s="247" t="s">
        <v>646</v>
      </c>
      <c r="B3446" s="247" t="s">
        <v>265</v>
      </c>
      <c r="C3446" s="247" t="s">
        <v>1579</v>
      </c>
      <c r="D3446" s="247" t="s">
        <v>926</v>
      </c>
      <c r="E3446" s="247" t="s">
        <v>711</v>
      </c>
      <c r="F3446" s="247" t="s">
        <v>2398</v>
      </c>
      <c r="G3446" s="247" t="s">
        <v>1582</v>
      </c>
      <c r="H3446" s="247" t="s">
        <v>392</v>
      </c>
      <c r="I3446" s="247" t="s">
        <v>2399</v>
      </c>
      <c r="J3446" s="247">
        <v>67</v>
      </c>
      <c r="K3446" s="247">
        <v>67</v>
      </c>
      <c r="L3446" s="249" t="s">
        <v>936</v>
      </c>
      <c r="M3446" s="249" t="s">
        <v>929</v>
      </c>
      <c r="N3446" s="248">
        <v>377.25</v>
      </c>
      <c r="O3446" s="248">
        <v>1509</v>
      </c>
      <c r="P3446" s="247" t="s">
        <v>1583</v>
      </c>
      <c r="Q3446" s="247" t="s">
        <v>90</v>
      </c>
    </row>
    <row r="3447" spans="1:17" x14ac:dyDescent="0.25">
      <c r="A3447" s="247" t="s">
        <v>646</v>
      </c>
      <c r="B3447" s="247" t="s">
        <v>265</v>
      </c>
      <c r="C3447" s="247" t="s">
        <v>1579</v>
      </c>
      <c r="D3447" s="247" t="s">
        <v>926</v>
      </c>
      <c r="E3447" s="247" t="s">
        <v>711</v>
      </c>
      <c r="F3447" s="247" t="s">
        <v>2398</v>
      </c>
      <c r="G3447" s="247" t="s">
        <v>1582</v>
      </c>
      <c r="H3447" s="247" t="s">
        <v>392</v>
      </c>
      <c r="I3447" s="247" t="s">
        <v>2399</v>
      </c>
      <c r="J3447" s="247">
        <v>67</v>
      </c>
      <c r="K3447" s="247">
        <v>67</v>
      </c>
      <c r="L3447" s="249" t="s">
        <v>937</v>
      </c>
      <c r="M3447" s="249" t="s">
        <v>929</v>
      </c>
      <c r="N3447" s="248">
        <v>377.25</v>
      </c>
      <c r="O3447" s="248">
        <v>1886.25</v>
      </c>
      <c r="P3447" s="247" t="s">
        <v>1583</v>
      </c>
      <c r="Q3447" s="247" t="s">
        <v>91</v>
      </c>
    </row>
    <row r="3448" spans="1:17" x14ac:dyDescent="0.25">
      <c r="A3448" s="247" t="s">
        <v>646</v>
      </c>
      <c r="B3448" s="247" t="s">
        <v>265</v>
      </c>
      <c r="C3448" s="247" t="s">
        <v>1579</v>
      </c>
      <c r="D3448" s="247" t="s">
        <v>926</v>
      </c>
      <c r="E3448" s="247" t="s">
        <v>711</v>
      </c>
      <c r="F3448" s="247" t="s">
        <v>2398</v>
      </c>
      <c r="G3448" s="247" t="s">
        <v>1582</v>
      </c>
      <c r="H3448" s="247" t="s">
        <v>392</v>
      </c>
      <c r="I3448" s="247" t="s">
        <v>2399</v>
      </c>
      <c r="J3448" s="247">
        <v>67</v>
      </c>
      <c r="K3448" s="247">
        <v>67</v>
      </c>
      <c r="L3448" s="249" t="s">
        <v>938</v>
      </c>
      <c r="M3448" s="249" t="s">
        <v>929</v>
      </c>
      <c r="N3448" s="248">
        <v>645.59</v>
      </c>
      <c r="O3448" s="248">
        <v>2531.84</v>
      </c>
      <c r="P3448" s="247" t="s">
        <v>1583</v>
      </c>
      <c r="Q3448" s="247" t="s">
        <v>92</v>
      </c>
    </row>
    <row r="3449" spans="1:17" x14ac:dyDescent="0.25">
      <c r="A3449" s="247" t="s">
        <v>646</v>
      </c>
      <c r="B3449" s="247" t="s">
        <v>265</v>
      </c>
      <c r="C3449" s="247" t="s">
        <v>1579</v>
      </c>
      <c r="D3449" s="247" t="s">
        <v>926</v>
      </c>
      <c r="E3449" s="247" t="s">
        <v>711</v>
      </c>
      <c r="F3449" s="247" t="s">
        <v>2398</v>
      </c>
      <c r="G3449" s="247" t="s">
        <v>1582</v>
      </c>
      <c r="H3449" s="247" t="s">
        <v>392</v>
      </c>
      <c r="I3449" s="247" t="s">
        <v>2399</v>
      </c>
      <c r="J3449" s="247">
        <v>67</v>
      </c>
      <c r="K3449" s="247">
        <v>67</v>
      </c>
      <c r="L3449" s="249" t="s">
        <v>939</v>
      </c>
      <c r="M3449" s="249" t="s">
        <v>929</v>
      </c>
      <c r="N3449" s="248">
        <v>709.23</v>
      </c>
      <c r="O3449" s="248">
        <v>3241.07</v>
      </c>
      <c r="P3449" s="247" t="s">
        <v>1583</v>
      </c>
      <c r="Q3449" s="247" t="s">
        <v>93</v>
      </c>
    </row>
    <row r="3450" spans="1:17" x14ac:dyDescent="0.25">
      <c r="A3450" s="247" t="s">
        <v>646</v>
      </c>
      <c r="B3450" s="247" t="s">
        <v>265</v>
      </c>
      <c r="C3450" s="247" t="s">
        <v>1579</v>
      </c>
      <c r="D3450" s="247" t="s">
        <v>926</v>
      </c>
      <c r="E3450" s="247" t="s">
        <v>711</v>
      </c>
      <c r="F3450" s="247" t="s">
        <v>2398</v>
      </c>
      <c r="G3450" s="247" t="s">
        <v>1582</v>
      </c>
      <c r="H3450" s="247" t="s">
        <v>392</v>
      </c>
      <c r="I3450" s="247" t="s">
        <v>2399</v>
      </c>
      <c r="J3450" s="247">
        <v>67</v>
      </c>
      <c r="K3450" s="247">
        <v>67</v>
      </c>
      <c r="L3450" s="249" t="s">
        <v>940</v>
      </c>
      <c r="M3450" s="249" t="s">
        <v>929</v>
      </c>
      <c r="N3450" s="248">
        <v>1247.24</v>
      </c>
      <c r="O3450" s="248">
        <v>4488.3100000000004</v>
      </c>
      <c r="P3450" s="247" t="s">
        <v>1583</v>
      </c>
      <c r="Q3450" s="247" t="s">
        <v>94</v>
      </c>
    </row>
    <row r="3451" spans="1:17" x14ac:dyDescent="0.25">
      <c r="A3451" s="247" t="s">
        <v>646</v>
      </c>
      <c r="B3451" s="247" t="s">
        <v>265</v>
      </c>
      <c r="C3451" s="247" t="s">
        <v>1579</v>
      </c>
      <c r="D3451" s="247" t="s">
        <v>926</v>
      </c>
      <c r="E3451" s="247" t="s">
        <v>711</v>
      </c>
      <c r="F3451" s="247" t="s">
        <v>2398</v>
      </c>
      <c r="G3451" s="247" t="s">
        <v>1582</v>
      </c>
      <c r="H3451" s="247" t="s">
        <v>392</v>
      </c>
      <c r="I3451" s="247" t="s">
        <v>2399</v>
      </c>
      <c r="J3451" s="247">
        <v>67</v>
      </c>
      <c r="K3451" s="247">
        <v>67</v>
      </c>
      <c r="L3451" s="249" t="s">
        <v>642</v>
      </c>
      <c r="M3451" s="249" t="s">
        <v>929</v>
      </c>
      <c r="N3451" s="248">
        <v>1247.24</v>
      </c>
      <c r="O3451" s="248">
        <v>5735.55</v>
      </c>
      <c r="P3451" s="247" t="s">
        <v>1583</v>
      </c>
      <c r="Q3451" s="247" t="s">
        <v>95</v>
      </c>
    </row>
    <row r="3452" spans="1:17" x14ac:dyDescent="0.25">
      <c r="A3452" s="247" t="s">
        <v>646</v>
      </c>
      <c r="B3452" s="247" t="s">
        <v>265</v>
      </c>
      <c r="C3452" s="247" t="s">
        <v>1579</v>
      </c>
      <c r="D3452" s="247" t="s">
        <v>926</v>
      </c>
      <c r="E3452" s="247" t="s">
        <v>569</v>
      </c>
      <c r="F3452" s="247" t="s">
        <v>2400</v>
      </c>
      <c r="G3452" s="247" t="s">
        <v>1584</v>
      </c>
      <c r="H3452" s="247" t="s">
        <v>397</v>
      </c>
      <c r="I3452" s="247" t="s">
        <v>2401</v>
      </c>
      <c r="J3452" s="247">
        <v>67</v>
      </c>
      <c r="K3452" s="247">
        <v>67</v>
      </c>
      <c r="L3452" s="249" t="s">
        <v>646</v>
      </c>
      <c r="M3452" s="249" t="s">
        <v>933</v>
      </c>
      <c r="N3452" s="248">
        <v>2560.7399999999998</v>
      </c>
      <c r="O3452" s="248">
        <v>2560.7399999999998</v>
      </c>
      <c r="P3452" s="247" t="s">
        <v>1585</v>
      </c>
      <c r="Q3452" s="247" t="s">
        <v>84</v>
      </c>
    </row>
    <row r="3453" spans="1:17" x14ac:dyDescent="0.25">
      <c r="A3453" s="247" t="s">
        <v>646</v>
      </c>
      <c r="B3453" s="247" t="s">
        <v>265</v>
      </c>
      <c r="C3453" s="247" t="s">
        <v>1579</v>
      </c>
      <c r="D3453" s="247" t="s">
        <v>926</v>
      </c>
      <c r="E3453" s="247" t="s">
        <v>569</v>
      </c>
      <c r="F3453" s="247" t="s">
        <v>2400</v>
      </c>
      <c r="G3453" s="247" t="s">
        <v>1584</v>
      </c>
      <c r="H3453" s="247" t="s">
        <v>397</v>
      </c>
      <c r="I3453" s="247" t="s">
        <v>2401</v>
      </c>
      <c r="J3453" s="247">
        <v>67</v>
      </c>
      <c r="K3453" s="247">
        <v>67</v>
      </c>
      <c r="L3453" s="249" t="s">
        <v>650</v>
      </c>
      <c r="M3453" s="249" t="s">
        <v>933</v>
      </c>
      <c r="N3453" s="248">
        <v>2560.7399999999998</v>
      </c>
      <c r="O3453" s="248">
        <v>5121.4799999999996</v>
      </c>
      <c r="P3453" s="247" t="s">
        <v>1585</v>
      </c>
      <c r="Q3453" s="247" t="s">
        <v>85</v>
      </c>
    </row>
    <row r="3454" spans="1:17" x14ac:dyDescent="0.25">
      <c r="A3454" s="247" t="s">
        <v>646</v>
      </c>
      <c r="B3454" s="247" t="s">
        <v>265</v>
      </c>
      <c r="C3454" s="247" t="s">
        <v>1579</v>
      </c>
      <c r="D3454" s="247" t="s">
        <v>926</v>
      </c>
      <c r="E3454" s="247" t="s">
        <v>569</v>
      </c>
      <c r="F3454" s="247" t="s">
        <v>2400</v>
      </c>
      <c r="G3454" s="247" t="s">
        <v>1584</v>
      </c>
      <c r="H3454" s="247" t="s">
        <v>397</v>
      </c>
      <c r="I3454" s="247" t="s">
        <v>2401</v>
      </c>
      <c r="J3454" s="247">
        <v>67</v>
      </c>
      <c r="K3454" s="247">
        <v>67</v>
      </c>
      <c r="L3454" s="249" t="s">
        <v>652</v>
      </c>
      <c r="M3454" s="249" t="s">
        <v>933</v>
      </c>
      <c r="N3454" s="248">
        <v>2949.22</v>
      </c>
      <c r="O3454" s="248">
        <v>8070.7</v>
      </c>
      <c r="P3454" s="247" t="s">
        <v>1585</v>
      </c>
      <c r="Q3454" s="247" t="s">
        <v>86</v>
      </c>
    </row>
    <row r="3455" spans="1:17" x14ac:dyDescent="0.25">
      <c r="A3455" s="247" t="s">
        <v>646</v>
      </c>
      <c r="B3455" s="247" t="s">
        <v>265</v>
      </c>
      <c r="C3455" s="247" t="s">
        <v>1579</v>
      </c>
      <c r="D3455" s="247" t="s">
        <v>926</v>
      </c>
      <c r="E3455" s="247" t="s">
        <v>569</v>
      </c>
      <c r="F3455" s="247" t="s">
        <v>2400</v>
      </c>
      <c r="G3455" s="247" t="s">
        <v>1584</v>
      </c>
      <c r="H3455" s="247" t="s">
        <v>397</v>
      </c>
      <c r="I3455" s="247" t="s">
        <v>2401</v>
      </c>
      <c r="J3455" s="247">
        <v>67</v>
      </c>
      <c r="K3455" s="247">
        <v>67</v>
      </c>
      <c r="L3455" s="249" t="s">
        <v>789</v>
      </c>
      <c r="M3455" s="249" t="s">
        <v>929</v>
      </c>
      <c r="N3455" s="248">
        <v>2592.7600000000002</v>
      </c>
      <c r="O3455" s="248">
        <v>2592.7600000000002</v>
      </c>
      <c r="P3455" s="247" t="s">
        <v>1585</v>
      </c>
      <c r="Q3455" s="247" t="s">
        <v>87</v>
      </c>
    </row>
    <row r="3456" spans="1:17" x14ac:dyDescent="0.25">
      <c r="A3456" s="247" t="s">
        <v>646</v>
      </c>
      <c r="B3456" s="247" t="s">
        <v>265</v>
      </c>
      <c r="C3456" s="247" t="s">
        <v>1579</v>
      </c>
      <c r="D3456" s="247" t="s">
        <v>926</v>
      </c>
      <c r="E3456" s="247" t="s">
        <v>569</v>
      </c>
      <c r="F3456" s="247" t="s">
        <v>2400</v>
      </c>
      <c r="G3456" s="247" t="s">
        <v>1584</v>
      </c>
      <c r="H3456" s="247" t="s">
        <v>397</v>
      </c>
      <c r="I3456" s="247" t="s">
        <v>2401</v>
      </c>
      <c r="J3456" s="247">
        <v>67</v>
      </c>
      <c r="K3456" s="247">
        <v>67</v>
      </c>
      <c r="L3456" s="249" t="s">
        <v>791</v>
      </c>
      <c r="M3456" s="249" t="s">
        <v>929</v>
      </c>
      <c r="N3456" s="248">
        <v>2592.7600000000002</v>
      </c>
      <c r="O3456" s="248">
        <v>5185.5200000000004</v>
      </c>
      <c r="P3456" s="247" t="s">
        <v>1585</v>
      </c>
      <c r="Q3456" s="247" t="s">
        <v>88</v>
      </c>
    </row>
    <row r="3457" spans="1:17" x14ac:dyDescent="0.25">
      <c r="A3457" s="247" t="s">
        <v>646</v>
      </c>
      <c r="B3457" s="247" t="s">
        <v>265</v>
      </c>
      <c r="C3457" s="247" t="s">
        <v>1579</v>
      </c>
      <c r="D3457" s="247" t="s">
        <v>926</v>
      </c>
      <c r="E3457" s="247" t="s">
        <v>569</v>
      </c>
      <c r="F3457" s="247" t="s">
        <v>2400</v>
      </c>
      <c r="G3457" s="247" t="s">
        <v>1584</v>
      </c>
      <c r="H3457" s="247" t="s">
        <v>397</v>
      </c>
      <c r="I3457" s="247" t="s">
        <v>2401</v>
      </c>
      <c r="J3457" s="247">
        <v>67</v>
      </c>
      <c r="K3457" s="247">
        <v>67</v>
      </c>
      <c r="L3457" s="249" t="s">
        <v>935</v>
      </c>
      <c r="M3457" s="249" t="s">
        <v>929</v>
      </c>
      <c r="N3457" s="248">
        <v>2592.7600000000002</v>
      </c>
      <c r="O3457" s="248">
        <v>7778.28</v>
      </c>
      <c r="P3457" s="247" t="s">
        <v>1585</v>
      </c>
      <c r="Q3457" s="247" t="s">
        <v>89</v>
      </c>
    </row>
    <row r="3458" spans="1:17" x14ac:dyDescent="0.25">
      <c r="A3458" s="247" t="s">
        <v>646</v>
      </c>
      <c r="B3458" s="247" t="s">
        <v>265</v>
      </c>
      <c r="C3458" s="247" t="s">
        <v>1579</v>
      </c>
      <c r="D3458" s="247" t="s">
        <v>926</v>
      </c>
      <c r="E3458" s="247" t="s">
        <v>569</v>
      </c>
      <c r="F3458" s="247" t="s">
        <v>2400</v>
      </c>
      <c r="G3458" s="247" t="s">
        <v>1584</v>
      </c>
      <c r="H3458" s="247" t="s">
        <v>397</v>
      </c>
      <c r="I3458" s="247" t="s">
        <v>2401</v>
      </c>
      <c r="J3458" s="247">
        <v>67</v>
      </c>
      <c r="K3458" s="247">
        <v>67</v>
      </c>
      <c r="L3458" s="249" t="s">
        <v>936</v>
      </c>
      <c r="M3458" s="249" t="s">
        <v>929</v>
      </c>
      <c r="N3458" s="248">
        <v>2753.85</v>
      </c>
      <c r="O3458" s="248">
        <v>10532.13</v>
      </c>
      <c r="P3458" s="247" t="s">
        <v>1585</v>
      </c>
      <c r="Q3458" s="247" t="s">
        <v>90</v>
      </c>
    </row>
    <row r="3459" spans="1:17" x14ac:dyDescent="0.25">
      <c r="A3459" s="247" t="s">
        <v>646</v>
      </c>
      <c r="B3459" s="247" t="s">
        <v>265</v>
      </c>
      <c r="C3459" s="247" t="s">
        <v>1579</v>
      </c>
      <c r="D3459" s="247" t="s">
        <v>926</v>
      </c>
      <c r="E3459" s="247" t="s">
        <v>569</v>
      </c>
      <c r="F3459" s="247" t="s">
        <v>2400</v>
      </c>
      <c r="G3459" s="247" t="s">
        <v>1584</v>
      </c>
      <c r="H3459" s="247" t="s">
        <v>397</v>
      </c>
      <c r="I3459" s="247" t="s">
        <v>2401</v>
      </c>
      <c r="J3459" s="247">
        <v>67</v>
      </c>
      <c r="K3459" s="247">
        <v>67</v>
      </c>
      <c r="L3459" s="249" t="s">
        <v>937</v>
      </c>
      <c r="M3459" s="249" t="s">
        <v>929</v>
      </c>
      <c r="N3459" s="248">
        <v>2878.93</v>
      </c>
      <c r="O3459" s="248">
        <v>13411.06</v>
      </c>
      <c r="P3459" s="247" t="s">
        <v>1585</v>
      </c>
      <c r="Q3459" s="247" t="s">
        <v>91</v>
      </c>
    </row>
    <row r="3460" spans="1:17" x14ac:dyDescent="0.25">
      <c r="A3460" s="247" t="s">
        <v>646</v>
      </c>
      <c r="B3460" s="247" t="s">
        <v>265</v>
      </c>
      <c r="C3460" s="247" t="s">
        <v>1579</v>
      </c>
      <c r="D3460" s="247" t="s">
        <v>926</v>
      </c>
      <c r="E3460" s="247" t="s">
        <v>569</v>
      </c>
      <c r="F3460" s="247" t="s">
        <v>2400</v>
      </c>
      <c r="G3460" s="247" t="s">
        <v>1584</v>
      </c>
      <c r="H3460" s="247" t="s">
        <v>397</v>
      </c>
      <c r="I3460" s="247" t="s">
        <v>2401</v>
      </c>
      <c r="J3460" s="247">
        <v>67</v>
      </c>
      <c r="K3460" s="247">
        <v>67</v>
      </c>
      <c r="L3460" s="249" t="s">
        <v>938</v>
      </c>
      <c r="M3460" s="249" t="s">
        <v>929</v>
      </c>
      <c r="N3460" s="248">
        <v>3243.69</v>
      </c>
      <c r="O3460" s="248">
        <v>16654.75</v>
      </c>
      <c r="P3460" s="247" t="s">
        <v>1585</v>
      </c>
      <c r="Q3460" s="247" t="s">
        <v>92</v>
      </c>
    </row>
    <row r="3461" spans="1:17" x14ac:dyDescent="0.25">
      <c r="A3461" s="247" t="s">
        <v>646</v>
      </c>
      <c r="B3461" s="247" t="s">
        <v>265</v>
      </c>
      <c r="C3461" s="247" t="s">
        <v>1579</v>
      </c>
      <c r="D3461" s="247" t="s">
        <v>926</v>
      </c>
      <c r="E3461" s="247" t="s">
        <v>569</v>
      </c>
      <c r="F3461" s="247" t="s">
        <v>2400</v>
      </c>
      <c r="G3461" s="247" t="s">
        <v>1584</v>
      </c>
      <c r="H3461" s="247" t="s">
        <v>397</v>
      </c>
      <c r="I3461" s="247" t="s">
        <v>2401</v>
      </c>
      <c r="J3461" s="247">
        <v>67</v>
      </c>
      <c r="K3461" s="247">
        <v>67</v>
      </c>
      <c r="L3461" s="249" t="s">
        <v>939</v>
      </c>
      <c r="M3461" s="249" t="s">
        <v>929</v>
      </c>
      <c r="N3461" s="248">
        <v>3243.69</v>
      </c>
      <c r="O3461" s="248">
        <v>19898.439999999999</v>
      </c>
      <c r="P3461" s="247" t="s">
        <v>1585</v>
      </c>
      <c r="Q3461" s="247" t="s">
        <v>93</v>
      </c>
    </row>
    <row r="3462" spans="1:17" x14ac:dyDescent="0.25">
      <c r="A3462" s="247" t="s">
        <v>646</v>
      </c>
      <c r="B3462" s="247" t="s">
        <v>265</v>
      </c>
      <c r="C3462" s="247" t="s">
        <v>1579</v>
      </c>
      <c r="D3462" s="247" t="s">
        <v>926</v>
      </c>
      <c r="E3462" s="247" t="s">
        <v>569</v>
      </c>
      <c r="F3462" s="247" t="s">
        <v>2400</v>
      </c>
      <c r="G3462" s="247" t="s">
        <v>1584</v>
      </c>
      <c r="H3462" s="247" t="s">
        <v>397</v>
      </c>
      <c r="I3462" s="247" t="s">
        <v>2401</v>
      </c>
      <c r="J3462" s="247">
        <v>67</v>
      </c>
      <c r="K3462" s="247">
        <v>67</v>
      </c>
      <c r="L3462" s="249" t="s">
        <v>940</v>
      </c>
      <c r="M3462" s="249" t="s">
        <v>929</v>
      </c>
      <c r="N3462" s="248">
        <v>3243.69</v>
      </c>
      <c r="O3462" s="248">
        <v>23142.13</v>
      </c>
      <c r="P3462" s="247" t="s">
        <v>1585</v>
      </c>
      <c r="Q3462" s="247" t="s">
        <v>94</v>
      </c>
    </row>
    <row r="3463" spans="1:17" x14ac:dyDescent="0.25">
      <c r="A3463" s="247" t="s">
        <v>646</v>
      </c>
      <c r="B3463" s="247" t="s">
        <v>265</v>
      </c>
      <c r="C3463" s="247" t="s">
        <v>1579</v>
      </c>
      <c r="D3463" s="247" t="s">
        <v>926</v>
      </c>
      <c r="E3463" s="247" t="s">
        <v>569</v>
      </c>
      <c r="F3463" s="247" t="s">
        <v>2400</v>
      </c>
      <c r="G3463" s="247" t="s">
        <v>1584</v>
      </c>
      <c r="H3463" s="247" t="s">
        <v>397</v>
      </c>
      <c r="I3463" s="247" t="s">
        <v>2401</v>
      </c>
      <c r="J3463" s="247">
        <v>67</v>
      </c>
      <c r="K3463" s="247">
        <v>67</v>
      </c>
      <c r="L3463" s="249" t="s">
        <v>642</v>
      </c>
      <c r="M3463" s="249" t="s">
        <v>929</v>
      </c>
      <c r="N3463" s="248">
        <v>3243.69</v>
      </c>
      <c r="O3463" s="248">
        <v>26385.82</v>
      </c>
      <c r="P3463" s="247" t="s">
        <v>1585</v>
      </c>
      <c r="Q3463" s="247" t="s">
        <v>95</v>
      </c>
    </row>
    <row r="3464" spans="1:17" x14ac:dyDescent="0.25">
      <c r="A3464" s="247" t="s">
        <v>646</v>
      </c>
      <c r="B3464" s="247" t="s">
        <v>265</v>
      </c>
      <c r="C3464" s="247" t="s">
        <v>1579</v>
      </c>
      <c r="D3464" s="247" t="s">
        <v>926</v>
      </c>
      <c r="E3464" s="247" t="s">
        <v>946</v>
      </c>
      <c r="F3464" s="247" t="s">
        <v>2402</v>
      </c>
      <c r="G3464" s="247" t="s">
        <v>1586</v>
      </c>
      <c r="H3464" s="247" t="s">
        <v>403</v>
      </c>
      <c r="I3464" s="247" t="s">
        <v>2403</v>
      </c>
      <c r="J3464" s="247">
        <v>67</v>
      </c>
      <c r="K3464" s="247">
        <v>67</v>
      </c>
      <c r="L3464" s="249" t="s">
        <v>646</v>
      </c>
      <c r="M3464" s="249" t="s">
        <v>933</v>
      </c>
      <c r="N3464" s="248">
        <v>1205.5999999999999</v>
      </c>
      <c r="O3464" s="248">
        <v>1205.5999999999999</v>
      </c>
      <c r="P3464" s="247" t="s">
        <v>1587</v>
      </c>
      <c r="Q3464" s="247" t="s">
        <v>84</v>
      </c>
    </row>
    <row r="3465" spans="1:17" x14ac:dyDescent="0.25">
      <c r="A3465" s="247" t="s">
        <v>646</v>
      </c>
      <c r="B3465" s="247" t="s">
        <v>265</v>
      </c>
      <c r="C3465" s="247" t="s">
        <v>1579</v>
      </c>
      <c r="D3465" s="247" t="s">
        <v>926</v>
      </c>
      <c r="E3465" s="247" t="s">
        <v>946</v>
      </c>
      <c r="F3465" s="247" t="s">
        <v>2402</v>
      </c>
      <c r="G3465" s="247" t="s">
        <v>1586</v>
      </c>
      <c r="H3465" s="247" t="s">
        <v>403</v>
      </c>
      <c r="I3465" s="247" t="s">
        <v>2403</v>
      </c>
      <c r="J3465" s="247">
        <v>67</v>
      </c>
      <c r="K3465" s="247">
        <v>67</v>
      </c>
      <c r="L3465" s="249" t="s">
        <v>650</v>
      </c>
      <c r="M3465" s="249" t="s">
        <v>933</v>
      </c>
      <c r="N3465" s="248">
        <v>1381.03</v>
      </c>
      <c r="O3465" s="248">
        <v>2586.63</v>
      </c>
      <c r="P3465" s="247" t="s">
        <v>1587</v>
      </c>
      <c r="Q3465" s="247" t="s">
        <v>85</v>
      </c>
    </row>
    <row r="3466" spans="1:17" x14ac:dyDescent="0.25">
      <c r="A3466" s="247" t="s">
        <v>646</v>
      </c>
      <c r="B3466" s="247" t="s">
        <v>265</v>
      </c>
      <c r="C3466" s="247" t="s">
        <v>1579</v>
      </c>
      <c r="D3466" s="247" t="s">
        <v>926</v>
      </c>
      <c r="E3466" s="247" t="s">
        <v>946</v>
      </c>
      <c r="F3466" s="247" t="s">
        <v>2402</v>
      </c>
      <c r="G3466" s="247" t="s">
        <v>1586</v>
      </c>
      <c r="H3466" s="247" t="s">
        <v>403</v>
      </c>
      <c r="I3466" s="247" t="s">
        <v>2403</v>
      </c>
      <c r="J3466" s="247">
        <v>67</v>
      </c>
      <c r="K3466" s="247">
        <v>67</v>
      </c>
      <c r="L3466" s="249" t="s">
        <v>652</v>
      </c>
      <c r="M3466" s="249" t="s">
        <v>933</v>
      </c>
      <c r="N3466" s="248">
        <v>1550.62</v>
      </c>
      <c r="O3466" s="248">
        <v>4137.25</v>
      </c>
      <c r="P3466" s="247" t="s">
        <v>1587</v>
      </c>
      <c r="Q3466" s="247" t="s">
        <v>86</v>
      </c>
    </row>
    <row r="3467" spans="1:17" x14ac:dyDescent="0.25">
      <c r="A3467" s="247" t="s">
        <v>646</v>
      </c>
      <c r="B3467" s="247" t="s">
        <v>265</v>
      </c>
      <c r="C3467" s="247" t="s">
        <v>1579</v>
      </c>
      <c r="D3467" s="247" t="s">
        <v>926</v>
      </c>
      <c r="E3467" s="247" t="s">
        <v>946</v>
      </c>
      <c r="F3467" s="247" t="s">
        <v>2402</v>
      </c>
      <c r="G3467" s="247" t="s">
        <v>1586</v>
      </c>
      <c r="H3467" s="247" t="s">
        <v>403</v>
      </c>
      <c r="I3467" s="247" t="s">
        <v>2403</v>
      </c>
      <c r="J3467" s="247">
        <v>67</v>
      </c>
      <c r="K3467" s="247">
        <v>67</v>
      </c>
      <c r="L3467" s="249" t="s">
        <v>789</v>
      </c>
      <c r="M3467" s="249" t="s">
        <v>929</v>
      </c>
      <c r="N3467" s="248">
        <v>1231.23</v>
      </c>
      <c r="O3467" s="248">
        <v>1231.23</v>
      </c>
      <c r="P3467" s="247" t="s">
        <v>1587</v>
      </c>
      <c r="Q3467" s="247" t="s">
        <v>87</v>
      </c>
    </row>
    <row r="3468" spans="1:17" x14ac:dyDescent="0.25">
      <c r="A3468" s="247" t="s">
        <v>646</v>
      </c>
      <c r="B3468" s="247" t="s">
        <v>265</v>
      </c>
      <c r="C3468" s="247" t="s">
        <v>1579</v>
      </c>
      <c r="D3468" s="247" t="s">
        <v>926</v>
      </c>
      <c r="E3468" s="247" t="s">
        <v>946</v>
      </c>
      <c r="F3468" s="247" t="s">
        <v>2402</v>
      </c>
      <c r="G3468" s="247" t="s">
        <v>1586</v>
      </c>
      <c r="H3468" s="247" t="s">
        <v>403</v>
      </c>
      <c r="I3468" s="247" t="s">
        <v>2403</v>
      </c>
      <c r="J3468" s="247">
        <v>67</v>
      </c>
      <c r="K3468" s="247">
        <v>67</v>
      </c>
      <c r="L3468" s="249" t="s">
        <v>791</v>
      </c>
      <c r="M3468" s="249" t="s">
        <v>929</v>
      </c>
      <c r="N3468" s="248">
        <v>1231.23</v>
      </c>
      <c r="O3468" s="248">
        <v>2462.46</v>
      </c>
      <c r="P3468" s="247" t="s">
        <v>1587</v>
      </c>
      <c r="Q3468" s="247" t="s">
        <v>88</v>
      </c>
    </row>
    <row r="3469" spans="1:17" x14ac:dyDescent="0.25">
      <c r="A3469" s="247" t="s">
        <v>646</v>
      </c>
      <c r="B3469" s="247" t="s">
        <v>265</v>
      </c>
      <c r="C3469" s="247" t="s">
        <v>1579</v>
      </c>
      <c r="D3469" s="247" t="s">
        <v>926</v>
      </c>
      <c r="E3469" s="247" t="s">
        <v>946</v>
      </c>
      <c r="F3469" s="247" t="s">
        <v>2402</v>
      </c>
      <c r="G3469" s="247" t="s">
        <v>1586</v>
      </c>
      <c r="H3469" s="247" t="s">
        <v>403</v>
      </c>
      <c r="I3469" s="247" t="s">
        <v>2403</v>
      </c>
      <c r="J3469" s="247">
        <v>67</v>
      </c>
      <c r="K3469" s="247">
        <v>67</v>
      </c>
      <c r="L3469" s="249" t="s">
        <v>935</v>
      </c>
      <c r="M3469" s="249" t="s">
        <v>929</v>
      </c>
      <c r="N3469" s="248">
        <v>1231.23</v>
      </c>
      <c r="O3469" s="248">
        <v>3693.69</v>
      </c>
      <c r="P3469" s="247" t="s">
        <v>1587</v>
      </c>
      <c r="Q3469" s="247" t="s">
        <v>89</v>
      </c>
    </row>
    <row r="3470" spans="1:17" x14ac:dyDescent="0.25">
      <c r="A3470" s="247" t="s">
        <v>646</v>
      </c>
      <c r="B3470" s="247" t="s">
        <v>265</v>
      </c>
      <c r="C3470" s="247" t="s">
        <v>1579</v>
      </c>
      <c r="D3470" s="247" t="s">
        <v>926</v>
      </c>
      <c r="E3470" s="247" t="s">
        <v>946</v>
      </c>
      <c r="F3470" s="247" t="s">
        <v>2402</v>
      </c>
      <c r="G3470" s="247" t="s">
        <v>1586</v>
      </c>
      <c r="H3470" s="247" t="s">
        <v>403</v>
      </c>
      <c r="I3470" s="247" t="s">
        <v>2403</v>
      </c>
      <c r="J3470" s="247">
        <v>67</v>
      </c>
      <c r="K3470" s="247">
        <v>67</v>
      </c>
      <c r="L3470" s="249" t="s">
        <v>936</v>
      </c>
      <c r="M3470" s="249" t="s">
        <v>929</v>
      </c>
      <c r="N3470" s="248">
        <v>1231.23</v>
      </c>
      <c r="O3470" s="248">
        <v>4924.92</v>
      </c>
      <c r="P3470" s="247" t="s">
        <v>1587</v>
      </c>
      <c r="Q3470" s="247" t="s">
        <v>90</v>
      </c>
    </row>
    <row r="3471" spans="1:17" x14ac:dyDescent="0.25">
      <c r="A3471" s="247" t="s">
        <v>646</v>
      </c>
      <c r="B3471" s="247" t="s">
        <v>265</v>
      </c>
      <c r="C3471" s="247" t="s">
        <v>1579</v>
      </c>
      <c r="D3471" s="247" t="s">
        <v>926</v>
      </c>
      <c r="E3471" s="247" t="s">
        <v>946</v>
      </c>
      <c r="F3471" s="247" t="s">
        <v>2402</v>
      </c>
      <c r="G3471" s="247" t="s">
        <v>1586</v>
      </c>
      <c r="H3471" s="247" t="s">
        <v>403</v>
      </c>
      <c r="I3471" s="247" t="s">
        <v>2403</v>
      </c>
      <c r="J3471" s="247">
        <v>67</v>
      </c>
      <c r="K3471" s="247">
        <v>67</v>
      </c>
      <c r="L3471" s="249" t="s">
        <v>937</v>
      </c>
      <c r="M3471" s="249" t="s">
        <v>929</v>
      </c>
      <c r="N3471" s="248">
        <v>1231.23</v>
      </c>
      <c r="O3471" s="248">
        <v>6156.15</v>
      </c>
      <c r="P3471" s="247" t="s">
        <v>1587</v>
      </c>
      <c r="Q3471" s="247" t="s">
        <v>91</v>
      </c>
    </row>
    <row r="3472" spans="1:17" x14ac:dyDescent="0.25">
      <c r="A3472" s="247" t="s">
        <v>646</v>
      </c>
      <c r="B3472" s="247" t="s">
        <v>265</v>
      </c>
      <c r="C3472" s="247" t="s">
        <v>1579</v>
      </c>
      <c r="D3472" s="247" t="s">
        <v>926</v>
      </c>
      <c r="E3472" s="247" t="s">
        <v>946</v>
      </c>
      <c r="F3472" s="247" t="s">
        <v>2402</v>
      </c>
      <c r="G3472" s="247" t="s">
        <v>1586</v>
      </c>
      <c r="H3472" s="247" t="s">
        <v>403</v>
      </c>
      <c r="I3472" s="247" t="s">
        <v>2403</v>
      </c>
      <c r="J3472" s="247">
        <v>67</v>
      </c>
      <c r="K3472" s="247">
        <v>67</v>
      </c>
      <c r="L3472" s="249" t="s">
        <v>938</v>
      </c>
      <c r="M3472" s="249" t="s">
        <v>929</v>
      </c>
      <c r="N3472" s="248">
        <v>1698.03</v>
      </c>
      <c r="O3472" s="248">
        <v>7854.18</v>
      </c>
      <c r="P3472" s="247" t="s">
        <v>1587</v>
      </c>
      <c r="Q3472" s="247" t="s">
        <v>92</v>
      </c>
    </row>
    <row r="3473" spans="1:17" x14ac:dyDescent="0.25">
      <c r="A3473" s="247" t="s">
        <v>646</v>
      </c>
      <c r="B3473" s="247" t="s">
        <v>265</v>
      </c>
      <c r="C3473" s="247" t="s">
        <v>1579</v>
      </c>
      <c r="D3473" s="247" t="s">
        <v>926</v>
      </c>
      <c r="E3473" s="247" t="s">
        <v>946</v>
      </c>
      <c r="F3473" s="247" t="s">
        <v>2402</v>
      </c>
      <c r="G3473" s="247" t="s">
        <v>1586</v>
      </c>
      <c r="H3473" s="247" t="s">
        <v>403</v>
      </c>
      <c r="I3473" s="247" t="s">
        <v>2403</v>
      </c>
      <c r="J3473" s="247">
        <v>67</v>
      </c>
      <c r="K3473" s="247">
        <v>67</v>
      </c>
      <c r="L3473" s="249" t="s">
        <v>939</v>
      </c>
      <c r="M3473" s="249" t="s">
        <v>929</v>
      </c>
      <c r="N3473" s="248">
        <v>1972.8</v>
      </c>
      <c r="O3473" s="248">
        <v>9826.98</v>
      </c>
      <c r="P3473" s="247" t="s">
        <v>1587</v>
      </c>
      <c r="Q3473" s="247" t="s">
        <v>93</v>
      </c>
    </row>
    <row r="3474" spans="1:17" x14ac:dyDescent="0.25">
      <c r="A3474" s="247" t="s">
        <v>646</v>
      </c>
      <c r="B3474" s="247" t="s">
        <v>265</v>
      </c>
      <c r="C3474" s="247" t="s">
        <v>1579</v>
      </c>
      <c r="D3474" s="247" t="s">
        <v>926</v>
      </c>
      <c r="E3474" s="247" t="s">
        <v>946</v>
      </c>
      <c r="F3474" s="247" t="s">
        <v>2402</v>
      </c>
      <c r="G3474" s="247" t="s">
        <v>1586</v>
      </c>
      <c r="H3474" s="247" t="s">
        <v>403</v>
      </c>
      <c r="I3474" s="247" t="s">
        <v>2403</v>
      </c>
      <c r="J3474" s="247">
        <v>67</v>
      </c>
      <c r="K3474" s="247">
        <v>67</v>
      </c>
      <c r="L3474" s="249" t="s">
        <v>940</v>
      </c>
      <c r="M3474" s="249" t="s">
        <v>929</v>
      </c>
      <c r="N3474" s="248">
        <v>1972.8</v>
      </c>
      <c r="O3474" s="248">
        <v>11799.78</v>
      </c>
      <c r="P3474" s="247" t="s">
        <v>1587</v>
      </c>
      <c r="Q3474" s="247" t="s">
        <v>94</v>
      </c>
    </row>
    <row r="3475" spans="1:17" x14ac:dyDescent="0.25">
      <c r="A3475" s="247" t="s">
        <v>646</v>
      </c>
      <c r="B3475" s="247" t="s">
        <v>265</v>
      </c>
      <c r="C3475" s="247" t="s">
        <v>1579</v>
      </c>
      <c r="D3475" s="247" t="s">
        <v>926</v>
      </c>
      <c r="E3475" s="247" t="s">
        <v>946</v>
      </c>
      <c r="F3475" s="247" t="s">
        <v>2402</v>
      </c>
      <c r="G3475" s="247" t="s">
        <v>1586</v>
      </c>
      <c r="H3475" s="247" t="s">
        <v>403</v>
      </c>
      <c r="I3475" s="247" t="s">
        <v>2403</v>
      </c>
      <c r="J3475" s="247">
        <v>67</v>
      </c>
      <c r="K3475" s="247">
        <v>67</v>
      </c>
      <c r="L3475" s="249" t="s">
        <v>642</v>
      </c>
      <c r="M3475" s="249" t="s">
        <v>929</v>
      </c>
      <c r="N3475" s="248">
        <v>1972.8</v>
      </c>
      <c r="O3475" s="248">
        <v>13772.58</v>
      </c>
      <c r="P3475" s="247" t="s">
        <v>1587</v>
      </c>
      <c r="Q3475" s="247" t="s">
        <v>95</v>
      </c>
    </row>
    <row r="3476" spans="1:17" x14ac:dyDescent="0.25">
      <c r="A3476" s="247" t="s">
        <v>646</v>
      </c>
      <c r="B3476" s="247" t="s">
        <v>265</v>
      </c>
      <c r="C3476" s="247" t="s">
        <v>1588</v>
      </c>
      <c r="D3476" s="247" t="s">
        <v>926</v>
      </c>
      <c r="E3476" s="247" t="s">
        <v>926</v>
      </c>
      <c r="F3476" s="247" t="s">
        <v>2404</v>
      </c>
      <c r="G3476" s="247" t="s">
        <v>1589</v>
      </c>
      <c r="H3476" s="247"/>
      <c r="I3476" s="247" t="s">
        <v>2405</v>
      </c>
      <c r="J3476" s="247">
        <v>66</v>
      </c>
      <c r="K3476" s="247">
        <v>66</v>
      </c>
      <c r="L3476" s="249" t="s">
        <v>646</v>
      </c>
      <c r="M3476" s="249" t="s">
        <v>933</v>
      </c>
      <c r="N3476" s="248">
        <v>58375.42</v>
      </c>
      <c r="O3476" s="248">
        <v>575973.81999999995</v>
      </c>
      <c r="P3476" s="247" t="s">
        <v>1590</v>
      </c>
      <c r="Q3476" s="247" t="s">
        <v>84</v>
      </c>
    </row>
    <row r="3477" spans="1:17" x14ac:dyDescent="0.25">
      <c r="A3477" s="247" t="s">
        <v>646</v>
      </c>
      <c r="B3477" s="247" t="s">
        <v>265</v>
      </c>
      <c r="C3477" s="247" t="s">
        <v>1588</v>
      </c>
      <c r="D3477" s="247" t="s">
        <v>926</v>
      </c>
      <c r="E3477" s="247" t="s">
        <v>926</v>
      </c>
      <c r="F3477" s="247" t="s">
        <v>2404</v>
      </c>
      <c r="G3477" s="247" t="s">
        <v>1589</v>
      </c>
      <c r="H3477" s="247"/>
      <c r="I3477" s="247" t="s">
        <v>2405</v>
      </c>
      <c r="J3477" s="247">
        <v>66</v>
      </c>
      <c r="K3477" s="247">
        <v>66</v>
      </c>
      <c r="L3477" s="249" t="s">
        <v>650</v>
      </c>
      <c r="M3477" s="249" t="s">
        <v>933</v>
      </c>
      <c r="N3477" s="248">
        <v>58697.33</v>
      </c>
      <c r="O3477" s="248">
        <v>634671.15</v>
      </c>
      <c r="P3477" s="247" t="s">
        <v>1590</v>
      </c>
      <c r="Q3477" s="247" t="s">
        <v>85</v>
      </c>
    </row>
    <row r="3478" spans="1:17" x14ac:dyDescent="0.25">
      <c r="A3478" s="247" t="s">
        <v>646</v>
      </c>
      <c r="B3478" s="247" t="s">
        <v>265</v>
      </c>
      <c r="C3478" s="247" t="s">
        <v>1588</v>
      </c>
      <c r="D3478" s="247" t="s">
        <v>926</v>
      </c>
      <c r="E3478" s="247" t="s">
        <v>926</v>
      </c>
      <c r="F3478" s="247" t="s">
        <v>2404</v>
      </c>
      <c r="G3478" s="247" t="s">
        <v>1589</v>
      </c>
      <c r="H3478" s="247"/>
      <c r="I3478" s="247" t="s">
        <v>2405</v>
      </c>
      <c r="J3478" s="247">
        <v>66</v>
      </c>
      <c r="K3478" s="247">
        <v>66</v>
      </c>
      <c r="L3478" s="249" t="s">
        <v>652</v>
      </c>
      <c r="M3478" s="249" t="s">
        <v>933</v>
      </c>
      <c r="N3478" s="248">
        <v>57738.58</v>
      </c>
      <c r="O3478" s="248">
        <v>692409.73</v>
      </c>
      <c r="P3478" s="247" t="s">
        <v>1590</v>
      </c>
      <c r="Q3478" s="247" t="s">
        <v>86</v>
      </c>
    </row>
    <row r="3479" spans="1:17" x14ac:dyDescent="0.25">
      <c r="A3479" s="247" t="s">
        <v>646</v>
      </c>
      <c r="B3479" s="247" t="s">
        <v>265</v>
      </c>
      <c r="C3479" s="247" t="s">
        <v>1588</v>
      </c>
      <c r="D3479" s="247" t="s">
        <v>926</v>
      </c>
      <c r="E3479" s="247" t="s">
        <v>926</v>
      </c>
      <c r="F3479" s="247" t="s">
        <v>2404</v>
      </c>
      <c r="G3479" s="247" t="s">
        <v>1589</v>
      </c>
      <c r="H3479" s="247"/>
      <c r="I3479" s="247" t="s">
        <v>2405</v>
      </c>
      <c r="J3479" s="247">
        <v>66</v>
      </c>
      <c r="K3479" s="247">
        <v>66</v>
      </c>
      <c r="L3479" s="249" t="s">
        <v>789</v>
      </c>
      <c r="M3479" s="249" t="s">
        <v>929</v>
      </c>
      <c r="N3479" s="248">
        <v>58865.53</v>
      </c>
      <c r="O3479" s="248">
        <v>58865.53</v>
      </c>
      <c r="P3479" s="247" t="s">
        <v>1590</v>
      </c>
      <c r="Q3479" s="247" t="s">
        <v>87</v>
      </c>
    </row>
    <row r="3480" spans="1:17" x14ac:dyDescent="0.25">
      <c r="A3480" s="247" t="s">
        <v>646</v>
      </c>
      <c r="B3480" s="247" t="s">
        <v>265</v>
      </c>
      <c r="C3480" s="247" t="s">
        <v>1588</v>
      </c>
      <c r="D3480" s="247" t="s">
        <v>926</v>
      </c>
      <c r="E3480" s="247" t="s">
        <v>926</v>
      </c>
      <c r="F3480" s="247" t="s">
        <v>2404</v>
      </c>
      <c r="G3480" s="247" t="s">
        <v>1589</v>
      </c>
      <c r="H3480" s="247"/>
      <c r="I3480" s="247" t="s">
        <v>2405</v>
      </c>
      <c r="J3480" s="247">
        <v>66</v>
      </c>
      <c r="K3480" s="247">
        <v>66</v>
      </c>
      <c r="L3480" s="249" t="s">
        <v>791</v>
      </c>
      <c r="M3480" s="249" t="s">
        <v>929</v>
      </c>
      <c r="N3480" s="248">
        <v>57902.69</v>
      </c>
      <c r="O3480" s="248">
        <v>116768.22</v>
      </c>
      <c r="P3480" s="247" t="s">
        <v>1590</v>
      </c>
      <c r="Q3480" s="247" t="s">
        <v>88</v>
      </c>
    </row>
    <row r="3481" spans="1:17" x14ac:dyDescent="0.25">
      <c r="A3481" s="247" t="s">
        <v>646</v>
      </c>
      <c r="B3481" s="247" t="s">
        <v>265</v>
      </c>
      <c r="C3481" s="247" t="s">
        <v>1588</v>
      </c>
      <c r="D3481" s="247" t="s">
        <v>926</v>
      </c>
      <c r="E3481" s="247" t="s">
        <v>926</v>
      </c>
      <c r="F3481" s="247" t="s">
        <v>2404</v>
      </c>
      <c r="G3481" s="247" t="s">
        <v>1589</v>
      </c>
      <c r="H3481" s="247"/>
      <c r="I3481" s="247" t="s">
        <v>2405</v>
      </c>
      <c r="J3481" s="247">
        <v>66</v>
      </c>
      <c r="K3481" s="247">
        <v>66</v>
      </c>
      <c r="L3481" s="249" t="s">
        <v>935</v>
      </c>
      <c r="M3481" s="249" t="s">
        <v>929</v>
      </c>
      <c r="N3481" s="248">
        <v>58639.4</v>
      </c>
      <c r="O3481" s="248">
        <v>175407.62</v>
      </c>
      <c r="P3481" s="247" t="s">
        <v>1590</v>
      </c>
      <c r="Q3481" s="247" t="s">
        <v>89</v>
      </c>
    </row>
    <row r="3482" spans="1:17" x14ac:dyDescent="0.25">
      <c r="A3482" s="247" t="s">
        <v>646</v>
      </c>
      <c r="B3482" s="247" t="s">
        <v>265</v>
      </c>
      <c r="C3482" s="247" t="s">
        <v>1588</v>
      </c>
      <c r="D3482" s="247" t="s">
        <v>926</v>
      </c>
      <c r="E3482" s="247" t="s">
        <v>926</v>
      </c>
      <c r="F3482" s="247" t="s">
        <v>2404</v>
      </c>
      <c r="G3482" s="247" t="s">
        <v>1589</v>
      </c>
      <c r="H3482" s="247"/>
      <c r="I3482" s="247" t="s">
        <v>2405</v>
      </c>
      <c r="J3482" s="247">
        <v>66</v>
      </c>
      <c r="K3482" s="247">
        <v>66</v>
      </c>
      <c r="L3482" s="249" t="s">
        <v>936</v>
      </c>
      <c r="M3482" s="249" t="s">
        <v>929</v>
      </c>
      <c r="N3482" s="248">
        <v>52380.08</v>
      </c>
      <c r="O3482" s="248">
        <v>227787.7</v>
      </c>
      <c r="P3482" s="247" t="s">
        <v>1590</v>
      </c>
      <c r="Q3482" s="247" t="s">
        <v>90</v>
      </c>
    </row>
    <row r="3483" spans="1:17" x14ac:dyDescent="0.25">
      <c r="A3483" s="247" t="s">
        <v>646</v>
      </c>
      <c r="B3483" s="247" t="s">
        <v>265</v>
      </c>
      <c r="C3483" s="247" t="s">
        <v>1588</v>
      </c>
      <c r="D3483" s="247" t="s">
        <v>926</v>
      </c>
      <c r="E3483" s="247" t="s">
        <v>926</v>
      </c>
      <c r="F3483" s="247" t="s">
        <v>2404</v>
      </c>
      <c r="G3483" s="247" t="s">
        <v>1589</v>
      </c>
      <c r="H3483" s="247"/>
      <c r="I3483" s="247" t="s">
        <v>2405</v>
      </c>
      <c r="J3483" s="247">
        <v>66</v>
      </c>
      <c r="K3483" s="247">
        <v>66</v>
      </c>
      <c r="L3483" s="249" t="s">
        <v>937</v>
      </c>
      <c r="M3483" s="249" t="s">
        <v>929</v>
      </c>
      <c r="N3483" s="248">
        <v>57853.22</v>
      </c>
      <c r="O3483" s="248">
        <v>285640.92</v>
      </c>
      <c r="P3483" s="247" t="s">
        <v>1590</v>
      </c>
      <c r="Q3483" s="247" t="s">
        <v>91</v>
      </c>
    </row>
    <row r="3484" spans="1:17" x14ac:dyDescent="0.25">
      <c r="A3484" s="247" t="s">
        <v>646</v>
      </c>
      <c r="B3484" s="247" t="s">
        <v>265</v>
      </c>
      <c r="C3484" s="247" t="s">
        <v>1588</v>
      </c>
      <c r="D3484" s="247" t="s">
        <v>926</v>
      </c>
      <c r="E3484" s="247" t="s">
        <v>926</v>
      </c>
      <c r="F3484" s="247" t="s">
        <v>2404</v>
      </c>
      <c r="G3484" s="247" t="s">
        <v>1589</v>
      </c>
      <c r="H3484" s="247"/>
      <c r="I3484" s="247" t="s">
        <v>2405</v>
      </c>
      <c r="J3484" s="247">
        <v>66</v>
      </c>
      <c r="K3484" s="247">
        <v>66</v>
      </c>
      <c r="L3484" s="249" t="s">
        <v>938</v>
      </c>
      <c r="M3484" s="249" t="s">
        <v>929</v>
      </c>
      <c r="N3484" s="248">
        <v>58191.21</v>
      </c>
      <c r="O3484" s="248">
        <v>343832.13</v>
      </c>
      <c r="P3484" s="247" t="s">
        <v>1590</v>
      </c>
      <c r="Q3484" s="247" t="s">
        <v>92</v>
      </c>
    </row>
    <row r="3485" spans="1:17" x14ac:dyDescent="0.25">
      <c r="A3485" s="247" t="s">
        <v>646</v>
      </c>
      <c r="B3485" s="247" t="s">
        <v>265</v>
      </c>
      <c r="C3485" s="247" t="s">
        <v>1588</v>
      </c>
      <c r="D3485" s="247" t="s">
        <v>926</v>
      </c>
      <c r="E3485" s="247" t="s">
        <v>926</v>
      </c>
      <c r="F3485" s="247" t="s">
        <v>2404</v>
      </c>
      <c r="G3485" s="247" t="s">
        <v>1589</v>
      </c>
      <c r="H3485" s="247"/>
      <c r="I3485" s="247" t="s">
        <v>2405</v>
      </c>
      <c r="J3485" s="247">
        <v>66</v>
      </c>
      <c r="K3485" s="247">
        <v>66</v>
      </c>
      <c r="L3485" s="249" t="s">
        <v>939</v>
      </c>
      <c r="M3485" s="249" t="s">
        <v>929</v>
      </c>
      <c r="N3485" s="248">
        <v>56934.68</v>
      </c>
      <c r="O3485" s="248">
        <v>400766.81</v>
      </c>
      <c r="P3485" s="247" t="s">
        <v>1590</v>
      </c>
      <c r="Q3485" s="247" t="s">
        <v>93</v>
      </c>
    </row>
    <row r="3486" spans="1:17" x14ac:dyDescent="0.25">
      <c r="A3486" s="247" t="s">
        <v>646</v>
      </c>
      <c r="B3486" s="247" t="s">
        <v>265</v>
      </c>
      <c r="C3486" s="247" t="s">
        <v>1588</v>
      </c>
      <c r="D3486" s="247" t="s">
        <v>926</v>
      </c>
      <c r="E3486" s="247" t="s">
        <v>926</v>
      </c>
      <c r="F3486" s="247" t="s">
        <v>2404</v>
      </c>
      <c r="G3486" s="247" t="s">
        <v>1589</v>
      </c>
      <c r="H3486" s="247"/>
      <c r="I3486" s="247" t="s">
        <v>2405</v>
      </c>
      <c r="J3486" s="247">
        <v>66</v>
      </c>
      <c r="K3486" s="247">
        <v>66</v>
      </c>
      <c r="L3486" s="249" t="s">
        <v>940</v>
      </c>
      <c r="M3486" s="249" t="s">
        <v>929</v>
      </c>
      <c r="N3486" s="248">
        <v>56072.33</v>
      </c>
      <c r="O3486" s="248">
        <v>456839.14</v>
      </c>
      <c r="P3486" s="247" t="s">
        <v>1590</v>
      </c>
      <c r="Q3486" s="247" t="s">
        <v>94</v>
      </c>
    </row>
    <row r="3487" spans="1:17" x14ac:dyDescent="0.25">
      <c r="A3487" s="247" t="s">
        <v>646</v>
      </c>
      <c r="B3487" s="247" t="s">
        <v>265</v>
      </c>
      <c r="C3487" s="247" t="s">
        <v>1588</v>
      </c>
      <c r="D3487" s="247" t="s">
        <v>926</v>
      </c>
      <c r="E3487" s="247" t="s">
        <v>926</v>
      </c>
      <c r="F3487" s="247" t="s">
        <v>2404</v>
      </c>
      <c r="G3487" s="247" t="s">
        <v>1589</v>
      </c>
      <c r="H3487" s="247"/>
      <c r="I3487" s="247" t="s">
        <v>2405</v>
      </c>
      <c r="J3487" s="247">
        <v>66</v>
      </c>
      <c r="K3487" s="247">
        <v>66</v>
      </c>
      <c r="L3487" s="249" t="s">
        <v>642</v>
      </c>
      <c r="M3487" s="249" t="s">
        <v>929</v>
      </c>
      <c r="N3487" s="248">
        <v>63225.53</v>
      </c>
      <c r="O3487" s="248">
        <v>520064.67</v>
      </c>
      <c r="P3487" s="247" t="s">
        <v>1590</v>
      </c>
      <c r="Q3487" s="247" t="s">
        <v>95</v>
      </c>
    </row>
    <row r="3488" spans="1:17" x14ac:dyDescent="0.25">
      <c r="A3488" s="247" t="s">
        <v>646</v>
      </c>
      <c r="B3488" s="247" t="s">
        <v>265</v>
      </c>
      <c r="C3488" s="247" t="s">
        <v>1591</v>
      </c>
      <c r="D3488" s="247" t="s">
        <v>926</v>
      </c>
      <c r="E3488" s="247" t="s">
        <v>926</v>
      </c>
      <c r="F3488" s="247" t="s">
        <v>2406</v>
      </c>
      <c r="G3488" s="247" t="s">
        <v>1592</v>
      </c>
      <c r="H3488" s="247"/>
      <c r="I3488" s="247" t="s">
        <v>2407</v>
      </c>
      <c r="J3488" s="247">
        <v>68</v>
      </c>
      <c r="K3488" s="247">
        <v>68</v>
      </c>
      <c r="L3488" s="249" t="s">
        <v>646</v>
      </c>
      <c r="M3488" s="249" t="s">
        <v>933</v>
      </c>
      <c r="N3488" s="248">
        <v>3517.96</v>
      </c>
      <c r="O3488" s="248">
        <v>7096.48</v>
      </c>
      <c r="P3488" s="247" t="s">
        <v>1593</v>
      </c>
      <c r="Q3488" s="247" t="s">
        <v>84</v>
      </c>
    </row>
    <row r="3489" spans="1:17" x14ac:dyDescent="0.25">
      <c r="A3489" s="247" t="s">
        <v>646</v>
      </c>
      <c r="B3489" s="247" t="s">
        <v>265</v>
      </c>
      <c r="C3489" s="247" t="s">
        <v>1591</v>
      </c>
      <c r="D3489" s="247" t="s">
        <v>926</v>
      </c>
      <c r="E3489" s="247" t="s">
        <v>926</v>
      </c>
      <c r="F3489" s="247" t="s">
        <v>2406</v>
      </c>
      <c r="G3489" s="247" t="s">
        <v>1592</v>
      </c>
      <c r="H3489" s="247"/>
      <c r="I3489" s="247" t="s">
        <v>2407</v>
      </c>
      <c r="J3489" s="247">
        <v>68</v>
      </c>
      <c r="K3489" s="247">
        <v>68</v>
      </c>
      <c r="L3489" s="249" t="s">
        <v>650</v>
      </c>
      <c r="M3489" s="249" t="s">
        <v>933</v>
      </c>
      <c r="N3489" s="248">
        <v>0</v>
      </c>
      <c r="O3489" s="248">
        <v>7096.48</v>
      </c>
      <c r="P3489" s="247" t="s">
        <v>1593</v>
      </c>
      <c r="Q3489" s="247" t="s">
        <v>85</v>
      </c>
    </row>
    <row r="3490" spans="1:17" x14ac:dyDescent="0.25">
      <c r="A3490" s="247" t="s">
        <v>646</v>
      </c>
      <c r="B3490" s="247" t="s">
        <v>265</v>
      </c>
      <c r="C3490" s="247" t="s">
        <v>1591</v>
      </c>
      <c r="D3490" s="247" t="s">
        <v>926</v>
      </c>
      <c r="E3490" s="247" t="s">
        <v>926</v>
      </c>
      <c r="F3490" s="247" t="s">
        <v>2406</v>
      </c>
      <c r="G3490" s="247" t="s">
        <v>1592</v>
      </c>
      <c r="H3490" s="247"/>
      <c r="I3490" s="247" t="s">
        <v>2407</v>
      </c>
      <c r="J3490" s="247">
        <v>68</v>
      </c>
      <c r="K3490" s="247">
        <v>68</v>
      </c>
      <c r="L3490" s="249" t="s">
        <v>652</v>
      </c>
      <c r="M3490" s="249" t="s">
        <v>933</v>
      </c>
      <c r="N3490" s="248">
        <v>0</v>
      </c>
      <c r="O3490" s="248">
        <v>7096.48</v>
      </c>
      <c r="P3490" s="247" t="s">
        <v>1593</v>
      </c>
      <c r="Q3490" s="247" t="s">
        <v>86</v>
      </c>
    </row>
    <row r="3491" spans="1:17" x14ac:dyDescent="0.25">
      <c r="A3491" s="247" t="s">
        <v>646</v>
      </c>
      <c r="B3491" s="247" t="s">
        <v>265</v>
      </c>
      <c r="C3491" s="247" t="s">
        <v>1591</v>
      </c>
      <c r="D3491" s="247" t="s">
        <v>926</v>
      </c>
      <c r="E3491" s="247" t="s">
        <v>926</v>
      </c>
      <c r="F3491" s="247" t="s">
        <v>2406</v>
      </c>
      <c r="G3491" s="247" t="s">
        <v>1592</v>
      </c>
      <c r="H3491" s="247"/>
      <c r="I3491" s="247" t="s">
        <v>2407</v>
      </c>
      <c r="J3491" s="247">
        <v>68</v>
      </c>
      <c r="K3491" s="247">
        <v>68</v>
      </c>
      <c r="L3491" s="249" t="s">
        <v>937</v>
      </c>
      <c r="M3491" s="249" t="s">
        <v>929</v>
      </c>
      <c r="N3491" s="248">
        <v>1486.5</v>
      </c>
      <c r="O3491" s="248">
        <v>1486.5</v>
      </c>
      <c r="P3491" s="247" t="s">
        <v>1593</v>
      </c>
      <c r="Q3491" s="247" t="s">
        <v>91</v>
      </c>
    </row>
    <row r="3492" spans="1:17" x14ac:dyDescent="0.25">
      <c r="A3492" s="247" t="s">
        <v>646</v>
      </c>
      <c r="B3492" s="247" t="s">
        <v>265</v>
      </c>
      <c r="C3492" s="247" t="s">
        <v>1591</v>
      </c>
      <c r="D3492" s="247" t="s">
        <v>926</v>
      </c>
      <c r="E3492" s="247" t="s">
        <v>926</v>
      </c>
      <c r="F3492" s="247" t="s">
        <v>2406</v>
      </c>
      <c r="G3492" s="247" t="s">
        <v>1592</v>
      </c>
      <c r="H3492" s="247"/>
      <c r="I3492" s="247" t="s">
        <v>2407</v>
      </c>
      <c r="J3492" s="247">
        <v>68</v>
      </c>
      <c r="K3492" s="247">
        <v>68</v>
      </c>
      <c r="L3492" s="249" t="s">
        <v>938</v>
      </c>
      <c r="M3492" s="249" t="s">
        <v>929</v>
      </c>
      <c r="N3492" s="248">
        <v>0</v>
      </c>
      <c r="O3492" s="248">
        <v>1486.5</v>
      </c>
      <c r="P3492" s="247" t="s">
        <v>1593</v>
      </c>
      <c r="Q3492" s="247" t="s">
        <v>92</v>
      </c>
    </row>
    <row r="3493" spans="1:17" x14ac:dyDescent="0.25">
      <c r="A3493" s="247" t="s">
        <v>646</v>
      </c>
      <c r="B3493" s="247" t="s">
        <v>265</v>
      </c>
      <c r="C3493" s="247" t="s">
        <v>1591</v>
      </c>
      <c r="D3493" s="247" t="s">
        <v>926</v>
      </c>
      <c r="E3493" s="247" t="s">
        <v>926</v>
      </c>
      <c r="F3493" s="247" t="s">
        <v>2406</v>
      </c>
      <c r="G3493" s="247" t="s">
        <v>1592</v>
      </c>
      <c r="H3493" s="247"/>
      <c r="I3493" s="247" t="s">
        <v>2407</v>
      </c>
      <c r="J3493" s="247">
        <v>68</v>
      </c>
      <c r="K3493" s="247">
        <v>68</v>
      </c>
      <c r="L3493" s="249" t="s">
        <v>939</v>
      </c>
      <c r="M3493" s="249" t="s">
        <v>929</v>
      </c>
      <c r="N3493" s="248">
        <v>0</v>
      </c>
      <c r="O3493" s="248">
        <v>1486.5</v>
      </c>
      <c r="P3493" s="247" t="s">
        <v>1593</v>
      </c>
      <c r="Q3493" s="247" t="s">
        <v>93</v>
      </c>
    </row>
    <row r="3494" spans="1:17" x14ac:dyDescent="0.25">
      <c r="A3494" s="247" t="s">
        <v>646</v>
      </c>
      <c r="B3494" s="247" t="s">
        <v>265</v>
      </c>
      <c r="C3494" s="247" t="s">
        <v>1591</v>
      </c>
      <c r="D3494" s="247" t="s">
        <v>926</v>
      </c>
      <c r="E3494" s="247" t="s">
        <v>926</v>
      </c>
      <c r="F3494" s="247" t="s">
        <v>2406</v>
      </c>
      <c r="G3494" s="247" t="s">
        <v>1592</v>
      </c>
      <c r="H3494" s="247"/>
      <c r="I3494" s="247" t="s">
        <v>2407</v>
      </c>
      <c r="J3494" s="247">
        <v>68</v>
      </c>
      <c r="K3494" s="247">
        <v>68</v>
      </c>
      <c r="L3494" s="249" t="s">
        <v>940</v>
      </c>
      <c r="M3494" s="249" t="s">
        <v>929</v>
      </c>
      <c r="N3494" s="248">
        <v>0</v>
      </c>
      <c r="O3494" s="248">
        <v>1486.5</v>
      </c>
      <c r="P3494" s="247" t="s">
        <v>1593</v>
      </c>
      <c r="Q3494" s="247" t="s">
        <v>94</v>
      </c>
    </row>
    <row r="3495" spans="1:17" x14ac:dyDescent="0.25">
      <c r="A3495" s="247" t="s">
        <v>646</v>
      </c>
      <c r="B3495" s="247" t="s">
        <v>265</v>
      </c>
      <c r="C3495" s="247" t="s">
        <v>1591</v>
      </c>
      <c r="D3495" s="247" t="s">
        <v>926</v>
      </c>
      <c r="E3495" s="247" t="s">
        <v>926</v>
      </c>
      <c r="F3495" s="247" t="s">
        <v>2406</v>
      </c>
      <c r="G3495" s="247" t="s">
        <v>1592</v>
      </c>
      <c r="H3495" s="247"/>
      <c r="I3495" s="247" t="s">
        <v>2407</v>
      </c>
      <c r="J3495" s="247">
        <v>68</v>
      </c>
      <c r="K3495" s="247">
        <v>68</v>
      </c>
      <c r="L3495" s="249" t="s">
        <v>642</v>
      </c>
      <c r="M3495" s="249" t="s">
        <v>929</v>
      </c>
      <c r="N3495" s="248">
        <v>0</v>
      </c>
      <c r="O3495" s="248">
        <v>1486.5</v>
      </c>
      <c r="P3495" s="247" t="s">
        <v>1593</v>
      </c>
      <c r="Q3495" s="247" t="s">
        <v>95</v>
      </c>
    </row>
    <row r="3496" spans="1:17" x14ac:dyDescent="0.25">
      <c r="A3496" s="247" t="s">
        <v>646</v>
      </c>
      <c r="B3496" s="247" t="s">
        <v>265</v>
      </c>
      <c r="C3496" s="247" t="s">
        <v>1594</v>
      </c>
      <c r="D3496" s="247" t="s">
        <v>926</v>
      </c>
      <c r="E3496" s="247" t="s">
        <v>926</v>
      </c>
      <c r="F3496" s="247" t="s">
        <v>2408</v>
      </c>
      <c r="G3496" s="247" t="s">
        <v>1595</v>
      </c>
      <c r="H3496" s="247"/>
      <c r="I3496" s="247" t="s">
        <v>2409</v>
      </c>
      <c r="J3496" s="247">
        <v>44</v>
      </c>
      <c r="K3496" s="247">
        <v>44</v>
      </c>
      <c r="L3496" s="249" t="s">
        <v>646</v>
      </c>
      <c r="M3496" s="249" t="s">
        <v>933</v>
      </c>
      <c r="N3496" s="248">
        <v>1093.9100000000001</v>
      </c>
      <c r="O3496" s="248">
        <v>10939.11</v>
      </c>
      <c r="P3496" s="247" t="s">
        <v>1596</v>
      </c>
      <c r="Q3496" s="247" t="s">
        <v>84</v>
      </c>
    </row>
    <row r="3497" spans="1:17" x14ac:dyDescent="0.25">
      <c r="A3497" s="247" t="s">
        <v>646</v>
      </c>
      <c r="B3497" s="247" t="s">
        <v>265</v>
      </c>
      <c r="C3497" s="247" t="s">
        <v>1594</v>
      </c>
      <c r="D3497" s="247" t="s">
        <v>926</v>
      </c>
      <c r="E3497" s="247" t="s">
        <v>926</v>
      </c>
      <c r="F3497" s="247" t="s">
        <v>2408</v>
      </c>
      <c r="G3497" s="247" t="s">
        <v>1595</v>
      </c>
      <c r="H3497" s="247"/>
      <c r="I3497" s="247" t="s">
        <v>2409</v>
      </c>
      <c r="J3497" s="247">
        <v>44</v>
      </c>
      <c r="K3497" s="247">
        <v>44</v>
      </c>
      <c r="L3497" s="249" t="s">
        <v>650</v>
      </c>
      <c r="M3497" s="249" t="s">
        <v>933</v>
      </c>
      <c r="N3497" s="248">
        <v>1093.9100000000001</v>
      </c>
      <c r="O3497" s="248">
        <v>12033.02</v>
      </c>
      <c r="P3497" s="247" t="s">
        <v>1596</v>
      </c>
      <c r="Q3497" s="247" t="s">
        <v>85</v>
      </c>
    </row>
    <row r="3498" spans="1:17" x14ac:dyDescent="0.25">
      <c r="A3498" s="247" t="s">
        <v>646</v>
      </c>
      <c r="B3498" s="247" t="s">
        <v>265</v>
      </c>
      <c r="C3498" s="247" t="s">
        <v>1594</v>
      </c>
      <c r="D3498" s="247" t="s">
        <v>926</v>
      </c>
      <c r="E3498" s="247" t="s">
        <v>926</v>
      </c>
      <c r="F3498" s="247" t="s">
        <v>2408</v>
      </c>
      <c r="G3498" s="247" t="s">
        <v>1595</v>
      </c>
      <c r="H3498" s="247"/>
      <c r="I3498" s="247" t="s">
        <v>2409</v>
      </c>
      <c r="J3498" s="247">
        <v>44</v>
      </c>
      <c r="K3498" s="247">
        <v>44</v>
      </c>
      <c r="L3498" s="249" t="s">
        <v>652</v>
      </c>
      <c r="M3498" s="249" t="s">
        <v>933</v>
      </c>
      <c r="N3498" s="248">
        <v>1093.9000000000001</v>
      </c>
      <c r="O3498" s="248">
        <v>13126.92</v>
      </c>
      <c r="P3498" s="247" t="s">
        <v>1596</v>
      </c>
      <c r="Q3498" s="247" t="s">
        <v>86</v>
      </c>
    </row>
    <row r="3499" spans="1:17" x14ac:dyDescent="0.25">
      <c r="A3499" s="247" t="s">
        <v>646</v>
      </c>
      <c r="B3499" s="247" t="s">
        <v>265</v>
      </c>
      <c r="C3499" s="247" t="s">
        <v>1594</v>
      </c>
      <c r="D3499" s="247" t="s">
        <v>926</v>
      </c>
      <c r="E3499" s="247" t="s">
        <v>926</v>
      </c>
      <c r="F3499" s="247" t="s">
        <v>2408</v>
      </c>
      <c r="G3499" s="247" t="s">
        <v>1595</v>
      </c>
      <c r="H3499" s="247"/>
      <c r="I3499" s="247" t="s">
        <v>2409</v>
      </c>
      <c r="J3499" s="247">
        <v>44</v>
      </c>
      <c r="K3499" s="247">
        <v>44</v>
      </c>
      <c r="L3499" s="249" t="s">
        <v>789</v>
      </c>
      <c r="M3499" s="249" t="s">
        <v>929</v>
      </c>
      <c r="N3499" s="248">
        <v>1093.9100000000001</v>
      </c>
      <c r="O3499" s="248">
        <v>1093.9100000000001</v>
      </c>
      <c r="P3499" s="247" t="s">
        <v>1596</v>
      </c>
      <c r="Q3499" s="247" t="s">
        <v>87</v>
      </c>
    </row>
    <row r="3500" spans="1:17" x14ac:dyDescent="0.25">
      <c r="A3500" s="247" t="s">
        <v>646</v>
      </c>
      <c r="B3500" s="247" t="s">
        <v>265</v>
      </c>
      <c r="C3500" s="247" t="s">
        <v>1594</v>
      </c>
      <c r="D3500" s="247" t="s">
        <v>926</v>
      </c>
      <c r="E3500" s="247" t="s">
        <v>926</v>
      </c>
      <c r="F3500" s="247" t="s">
        <v>2408</v>
      </c>
      <c r="G3500" s="247" t="s">
        <v>1595</v>
      </c>
      <c r="H3500" s="247"/>
      <c r="I3500" s="247" t="s">
        <v>2409</v>
      </c>
      <c r="J3500" s="247">
        <v>44</v>
      </c>
      <c r="K3500" s="247">
        <v>44</v>
      </c>
      <c r="L3500" s="249" t="s">
        <v>791</v>
      </c>
      <c r="M3500" s="249" t="s">
        <v>929</v>
      </c>
      <c r="N3500" s="248">
        <v>1093.9100000000001</v>
      </c>
      <c r="O3500" s="248">
        <v>2187.8200000000002</v>
      </c>
      <c r="P3500" s="247" t="s">
        <v>1596</v>
      </c>
      <c r="Q3500" s="247" t="s">
        <v>88</v>
      </c>
    </row>
    <row r="3501" spans="1:17" x14ac:dyDescent="0.25">
      <c r="A3501" s="247" t="s">
        <v>646</v>
      </c>
      <c r="B3501" s="247" t="s">
        <v>265</v>
      </c>
      <c r="C3501" s="247" t="s">
        <v>1594</v>
      </c>
      <c r="D3501" s="247" t="s">
        <v>926</v>
      </c>
      <c r="E3501" s="247" t="s">
        <v>926</v>
      </c>
      <c r="F3501" s="247" t="s">
        <v>2408</v>
      </c>
      <c r="G3501" s="247" t="s">
        <v>1595</v>
      </c>
      <c r="H3501" s="247"/>
      <c r="I3501" s="247" t="s">
        <v>2409</v>
      </c>
      <c r="J3501" s="247">
        <v>44</v>
      </c>
      <c r="K3501" s="247">
        <v>44</v>
      </c>
      <c r="L3501" s="249" t="s">
        <v>935</v>
      </c>
      <c r="M3501" s="249" t="s">
        <v>929</v>
      </c>
      <c r="N3501" s="248">
        <v>1093.9100000000001</v>
      </c>
      <c r="O3501" s="248">
        <v>3281.73</v>
      </c>
      <c r="P3501" s="247" t="s">
        <v>1596</v>
      </c>
      <c r="Q3501" s="247" t="s">
        <v>89</v>
      </c>
    </row>
    <row r="3502" spans="1:17" x14ac:dyDescent="0.25">
      <c r="A3502" s="247" t="s">
        <v>646</v>
      </c>
      <c r="B3502" s="247" t="s">
        <v>265</v>
      </c>
      <c r="C3502" s="247" t="s">
        <v>1594</v>
      </c>
      <c r="D3502" s="247" t="s">
        <v>926</v>
      </c>
      <c r="E3502" s="247" t="s">
        <v>926</v>
      </c>
      <c r="F3502" s="247" t="s">
        <v>2408</v>
      </c>
      <c r="G3502" s="247" t="s">
        <v>1595</v>
      </c>
      <c r="H3502" s="247"/>
      <c r="I3502" s="247" t="s">
        <v>2409</v>
      </c>
      <c r="J3502" s="247">
        <v>44</v>
      </c>
      <c r="K3502" s="247">
        <v>44</v>
      </c>
      <c r="L3502" s="249" t="s">
        <v>936</v>
      </c>
      <c r="M3502" s="249" t="s">
        <v>929</v>
      </c>
      <c r="N3502" s="248">
        <v>1093.9100000000001</v>
      </c>
      <c r="O3502" s="248">
        <v>4375.6400000000003</v>
      </c>
      <c r="P3502" s="247" t="s">
        <v>1596</v>
      </c>
      <c r="Q3502" s="247" t="s">
        <v>90</v>
      </c>
    </row>
    <row r="3503" spans="1:17" x14ac:dyDescent="0.25">
      <c r="A3503" s="247" t="s">
        <v>646</v>
      </c>
      <c r="B3503" s="247" t="s">
        <v>265</v>
      </c>
      <c r="C3503" s="247" t="s">
        <v>1594</v>
      </c>
      <c r="D3503" s="247" t="s">
        <v>926</v>
      </c>
      <c r="E3503" s="247" t="s">
        <v>926</v>
      </c>
      <c r="F3503" s="247" t="s">
        <v>2408</v>
      </c>
      <c r="G3503" s="247" t="s">
        <v>1595</v>
      </c>
      <c r="H3503" s="247"/>
      <c r="I3503" s="247" t="s">
        <v>2409</v>
      </c>
      <c r="J3503" s="247">
        <v>44</v>
      </c>
      <c r="K3503" s="247">
        <v>44</v>
      </c>
      <c r="L3503" s="249" t="s">
        <v>937</v>
      </c>
      <c r="M3503" s="249" t="s">
        <v>929</v>
      </c>
      <c r="N3503" s="248">
        <v>1093.9100000000001</v>
      </c>
      <c r="O3503" s="248">
        <v>5469.55</v>
      </c>
      <c r="P3503" s="247" t="s">
        <v>1596</v>
      </c>
      <c r="Q3503" s="247" t="s">
        <v>91</v>
      </c>
    </row>
    <row r="3504" spans="1:17" x14ac:dyDescent="0.25">
      <c r="A3504" s="247" t="s">
        <v>646</v>
      </c>
      <c r="B3504" s="247" t="s">
        <v>265</v>
      </c>
      <c r="C3504" s="247" t="s">
        <v>1594</v>
      </c>
      <c r="D3504" s="247" t="s">
        <v>926</v>
      </c>
      <c r="E3504" s="247" t="s">
        <v>926</v>
      </c>
      <c r="F3504" s="247" t="s">
        <v>2408</v>
      </c>
      <c r="G3504" s="247" t="s">
        <v>1595</v>
      </c>
      <c r="H3504" s="247"/>
      <c r="I3504" s="247" t="s">
        <v>2409</v>
      </c>
      <c r="J3504" s="247">
        <v>44</v>
      </c>
      <c r="K3504" s="247">
        <v>44</v>
      </c>
      <c r="L3504" s="249" t="s">
        <v>938</v>
      </c>
      <c r="M3504" s="249" t="s">
        <v>929</v>
      </c>
      <c r="N3504" s="248">
        <v>1093.9100000000001</v>
      </c>
      <c r="O3504" s="248">
        <v>6563.46</v>
      </c>
      <c r="P3504" s="247" t="s">
        <v>1596</v>
      </c>
      <c r="Q3504" s="247" t="s">
        <v>92</v>
      </c>
    </row>
    <row r="3505" spans="1:17" x14ac:dyDescent="0.25">
      <c r="A3505" s="247" t="s">
        <v>646</v>
      </c>
      <c r="B3505" s="247" t="s">
        <v>265</v>
      </c>
      <c r="C3505" s="247" t="s">
        <v>1594</v>
      </c>
      <c r="D3505" s="247" t="s">
        <v>926</v>
      </c>
      <c r="E3505" s="247" t="s">
        <v>926</v>
      </c>
      <c r="F3505" s="247" t="s">
        <v>2408</v>
      </c>
      <c r="G3505" s="247" t="s">
        <v>1595</v>
      </c>
      <c r="H3505" s="247"/>
      <c r="I3505" s="247" t="s">
        <v>2409</v>
      </c>
      <c r="J3505" s="247">
        <v>44</v>
      </c>
      <c r="K3505" s="247">
        <v>44</v>
      </c>
      <c r="L3505" s="249" t="s">
        <v>939</v>
      </c>
      <c r="M3505" s="249" t="s">
        <v>929</v>
      </c>
      <c r="N3505" s="248">
        <v>1093.9100000000001</v>
      </c>
      <c r="O3505" s="248">
        <v>7657.37</v>
      </c>
      <c r="P3505" s="247" t="s">
        <v>1596</v>
      </c>
      <c r="Q3505" s="247" t="s">
        <v>93</v>
      </c>
    </row>
    <row r="3506" spans="1:17" x14ac:dyDescent="0.25">
      <c r="A3506" s="247" t="s">
        <v>646</v>
      </c>
      <c r="B3506" s="247" t="s">
        <v>265</v>
      </c>
      <c r="C3506" s="247" t="s">
        <v>1594</v>
      </c>
      <c r="D3506" s="247" t="s">
        <v>926</v>
      </c>
      <c r="E3506" s="247" t="s">
        <v>926</v>
      </c>
      <c r="F3506" s="247" t="s">
        <v>2408</v>
      </c>
      <c r="G3506" s="247" t="s">
        <v>1595</v>
      </c>
      <c r="H3506" s="247"/>
      <c r="I3506" s="247" t="s">
        <v>2409</v>
      </c>
      <c r="J3506" s="247">
        <v>44</v>
      </c>
      <c r="K3506" s="247">
        <v>44</v>
      </c>
      <c r="L3506" s="249" t="s">
        <v>940</v>
      </c>
      <c r="M3506" s="249" t="s">
        <v>929</v>
      </c>
      <c r="N3506" s="248">
        <v>1315.93</v>
      </c>
      <c r="O3506" s="248">
        <v>8973.2999999999993</v>
      </c>
      <c r="P3506" s="247" t="s">
        <v>1596</v>
      </c>
      <c r="Q3506" s="247" t="s">
        <v>94</v>
      </c>
    </row>
    <row r="3507" spans="1:17" x14ac:dyDescent="0.25">
      <c r="A3507" s="247" t="s">
        <v>646</v>
      </c>
      <c r="B3507" s="247" t="s">
        <v>265</v>
      </c>
      <c r="C3507" s="247" t="s">
        <v>1594</v>
      </c>
      <c r="D3507" s="247" t="s">
        <v>926</v>
      </c>
      <c r="E3507" s="247" t="s">
        <v>926</v>
      </c>
      <c r="F3507" s="247" t="s">
        <v>2408</v>
      </c>
      <c r="G3507" s="247" t="s">
        <v>1595</v>
      </c>
      <c r="H3507" s="247"/>
      <c r="I3507" s="247" t="s">
        <v>2409</v>
      </c>
      <c r="J3507" s="247">
        <v>44</v>
      </c>
      <c r="K3507" s="247">
        <v>44</v>
      </c>
      <c r="L3507" s="249" t="s">
        <v>642</v>
      </c>
      <c r="M3507" s="249" t="s">
        <v>929</v>
      </c>
      <c r="N3507" s="248">
        <v>1315.93</v>
      </c>
      <c r="O3507" s="248">
        <v>10289.23</v>
      </c>
      <c r="P3507" s="247" t="s">
        <v>1596</v>
      </c>
      <c r="Q3507" s="247" t="s">
        <v>95</v>
      </c>
    </row>
    <row r="3508" spans="1:17" x14ac:dyDescent="0.25">
      <c r="A3508" s="247" t="s">
        <v>646</v>
      </c>
      <c r="B3508" s="247" t="s">
        <v>265</v>
      </c>
      <c r="C3508" s="247" t="s">
        <v>1597</v>
      </c>
      <c r="D3508" s="247" t="s">
        <v>711</v>
      </c>
      <c r="E3508" s="247" t="s">
        <v>926</v>
      </c>
      <c r="F3508" s="247" t="s">
        <v>2410</v>
      </c>
      <c r="G3508" s="247" t="s">
        <v>1598</v>
      </c>
      <c r="H3508" s="247"/>
      <c r="I3508" s="247" t="s">
        <v>2411</v>
      </c>
      <c r="J3508" s="247">
        <v>45</v>
      </c>
      <c r="K3508" s="247">
        <v>45</v>
      </c>
      <c r="L3508" s="249" t="s">
        <v>646</v>
      </c>
      <c r="M3508" s="249" t="s">
        <v>933</v>
      </c>
      <c r="N3508" s="248">
        <v>8925</v>
      </c>
      <c r="O3508" s="248">
        <v>89250</v>
      </c>
      <c r="P3508" s="247" t="s">
        <v>1599</v>
      </c>
      <c r="Q3508" s="247" t="s">
        <v>84</v>
      </c>
    </row>
    <row r="3509" spans="1:17" x14ac:dyDescent="0.25">
      <c r="A3509" s="247" t="s">
        <v>646</v>
      </c>
      <c r="B3509" s="247" t="s">
        <v>265</v>
      </c>
      <c r="C3509" s="247" t="s">
        <v>1597</v>
      </c>
      <c r="D3509" s="247" t="s">
        <v>711</v>
      </c>
      <c r="E3509" s="247" t="s">
        <v>926</v>
      </c>
      <c r="F3509" s="247" t="s">
        <v>2410</v>
      </c>
      <c r="G3509" s="247" t="s">
        <v>1598</v>
      </c>
      <c r="H3509" s="247"/>
      <c r="I3509" s="247" t="s">
        <v>2411</v>
      </c>
      <c r="J3509" s="247">
        <v>45</v>
      </c>
      <c r="K3509" s="247">
        <v>45</v>
      </c>
      <c r="L3509" s="249" t="s">
        <v>650</v>
      </c>
      <c r="M3509" s="249" t="s">
        <v>933</v>
      </c>
      <c r="N3509" s="248">
        <v>8925</v>
      </c>
      <c r="O3509" s="248">
        <v>98175</v>
      </c>
      <c r="P3509" s="247" t="s">
        <v>1599</v>
      </c>
      <c r="Q3509" s="247" t="s">
        <v>85</v>
      </c>
    </row>
    <row r="3510" spans="1:17" x14ac:dyDescent="0.25">
      <c r="A3510" s="247" t="s">
        <v>646</v>
      </c>
      <c r="B3510" s="247" t="s">
        <v>265</v>
      </c>
      <c r="C3510" s="247" t="s">
        <v>1597</v>
      </c>
      <c r="D3510" s="247" t="s">
        <v>711</v>
      </c>
      <c r="E3510" s="247" t="s">
        <v>926</v>
      </c>
      <c r="F3510" s="247" t="s">
        <v>2410</v>
      </c>
      <c r="G3510" s="247" t="s">
        <v>1598</v>
      </c>
      <c r="H3510" s="247"/>
      <c r="I3510" s="247" t="s">
        <v>2411</v>
      </c>
      <c r="J3510" s="247">
        <v>45</v>
      </c>
      <c r="K3510" s="247">
        <v>45</v>
      </c>
      <c r="L3510" s="249" t="s">
        <v>652</v>
      </c>
      <c r="M3510" s="249" t="s">
        <v>933</v>
      </c>
      <c r="N3510" s="248">
        <v>8925</v>
      </c>
      <c r="O3510" s="248">
        <v>107100</v>
      </c>
      <c r="P3510" s="247" t="s">
        <v>1599</v>
      </c>
      <c r="Q3510" s="247" t="s">
        <v>86</v>
      </c>
    </row>
    <row r="3511" spans="1:17" x14ac:dyDescent="0.25">
      <c r="A3511" s="247" t="s">
        <v>646</v>
      </c>
      <c r="B3511" s="247" t="s">
        <v>265</v>
      </c>
      <c r="C3511" s="247" t="s">
        <v>1597</v>
      </c>
      <c r="D3511" s="247" t="s">
        <v>711</v>
      </c>
      <c r="E3511" s="247" t="s">
        <v>926</v>
      </c>
      <c r="F3511" s="247" t="s">
        <v>2410</v>
      </c>
      <c r="G3511" s="247" t="s">
        <v>1598</v>
      </c>
      <c r="H3511" s="247"/>
      <c r="I3511" s="247" t="s">
        <v>2411</v>
      </c>
      <c r="J3511" s="247">
        <v>45</v>
      </c>
      <c r="K3511" s="247">
        <v>45</v>
      </c>
      <c r="L3511" s="249" t="s">
        <v>789</v>
      </c>
      <c r="M3511" s="249" t="s">
        <v>929</v>
      </c>
      <c r="N3511" s="248">
        <v>8925</v>
      </c>
      <c r="O3511" s="248">
        <v>8925</v>
      </c>
      <c r="P3511" s="247" t="s">
        <v>1599</v>
      </c>
      <c r="Q3511" s="247" t="s">
        <v>87</v>
      </c>
    </row>
    <row r="3512" spans="1:17" x14ac:dyDescent="0.25">
      <c r="A3512" s="247" t="s">
        <v>646</v>
      </c>
      <c r="B3512" s="247" t="s">
        <v>265</v>
      </c>
      <c r="C3512" s="247" t="s">
        <v>1597</v>
      </c>
      <c r="D3512" s="247" t="s">
        <v>711</v>
      </c>
      <c r="E3512" s="247" t="s">
        <v>926</v>
      </c>
      <c r="F3512" s="247" t="s">
        <v>2410</v>
      </c>
      <c r="G3512" s="247" t="s">
        <v>1598</v>
      </c>
      <c r="H3512" s="247"/>
      <c r="I3512" s="247" t="s">
        <v>2411</v>
      </c>
      <c r="J3512" s="247">
        <v>45</v>
      </c>
      <c r="K3512" s="247">
        <v>45</v>
      </c>
      <c r="L3512" s="249" t="s">
        <v>791</v>
      </c>
      <c r="M3512" s="249" t="s">
        <v>929</v>
      </c>
      <c r="N3512" s="248">
        <v>8925</v>
      </c>
      <c r="O3512" s="248">
        <v>17850</v>
      </c>
      <c r="P3512" s="247" t="s">
        <v>1599</v>
      </c>
      <c r="Q3512" s="247" t="s">
        <v>88</v>
      </c>
    </row>
    <row r="3513" spans="1:17" x14ac:dyDescent="0.25">
      <c r="A3513" s="247" t="s">
        <v>646</v>
      </c>
      <c r="B3513" s="247" t="s">
        <v>265</v>
      </c>
      <c r="C3513" s="247" t="s">
        <v>1597</v>
      </c>
      <c r="D3513" s="247" t="s">
        <v>711</v>
      </c>
      <c r="E3513" s="247" t="s">
        <v>926</v>
      </c>
      <c r="F3513" s="247" t="s">
        <v>2410</v>
      </c>
      <c r="G3513" s="247" t="s">
        <v>1598</v>
      </c>
      <c r="H3513" s="247"/>
      <c r="I3513" s="247" t="s">
        <v>2411</v>
      </c>
      <c r="J3513" s="247">
        <v>45</v>
      </c>
      <c r="K3513" s="247">
        <v>45</v>
      </c>
      <c r="L3513" s="249" t="s">
        <v>935</v>
      </c>
      <c r="M3513" s="249" t="s">
        <v>929</v>
      </c>
      <c r="N3513" s="248">
        <v>8925</v>
      </c>
      <c r="O3513" s="248">
        <v>26775</v>
      </c>
      <c r="P3513" s="247" t="s">
        <v>1599</v>
      </c>
      <c r="Q3513" s="247" t="s">
        <v>89</v>
      </c>
    </row>
    <row r="3514" spans="1:17" x14ac:dyDescent="0.25">
      <c r="A3514" s="247" t="s">
        <v>646</v>
      </c>
      <c r="B3514" s="247" t="s">
        <v>265</v>
      </c>
      <c r="C3514" s="247" t="s">
        <v>1597</v>
      </c>
      <c r="D3514" s="247" t="s">
        <v>711</v>
      </c>
      <c r="E3514" s="247" t="s">
        <v>926</v>
      </c>
      <c r="F3514" s="247" t="s">
        <v>2410</v>
      </c>
      <c r="G3514" s="247" t="s">
        <v>1598</v>
      </c>
      <c r="H3514" s="247"/>
      <c r="I3514" s="247" t="s">
        <v>2411</v>
      </c>
      <c r="J3514" s="247">
        <v>45</v>
      </c>
      <c r="K3514" s="247">
        <v>45</v>
      </c>
      <c r="L3514" s="249" t="s">
        <v>936</v>
      </c>
      <c r="M3514" s="249" t="s">
        <v>929</v>
      </c>
      <c r="N3514" s="248">
        <v>8925</v>
      </c>
      <c r="O3514" s="248">
        <v>35700</v>
      </c>
      <c r="P3514" s="247" t="s">
        <v>1599</v>
      </c>
      <c r="Q3514" s="247" t="s">
        <v>90</v>
      </c>
    </row>
    <row r="3515" spans="1:17" x14ac:dyDescent="0.25">
      <c r="A3515" s="247" t="s">
        <v>646</v>
      </c>
      <c r="B3515" s="247" t="s">
        <v>265</v>
      </c>
      <c r="C3515" s="247" t="s">
        <v>1597</v>
      </c>
      <c r="D3515" s="247" t="s">
        <v>711</v>
      </c>
      <c r="E3515" s="247" t="s">
        <v>926</v>
      </c>
      <c r="F3515" s="247" t="s">
        <v>2410</v>
      </c>
      <c r="G3515" s="247" t="s">
        <v>1598</v>
      </c>
      <c r="H3515" s="247"/>
      <c r="I3515" s="247" t="s">
        <v>2411</v>
      </c>
      <c r="J3515" s="247">
        <v>45</v>
      </c>
      <c r="K3515" s="247">
        <v>45</v>
      </c>
      <c r="L3515" s="249" t="s">
        <v>937</v>
      </c>
      <c r="M3515" s="249" t="s">
        <v>929</v>
      </c>
      <c r="N3515" s="248">
        <v>8925</v>
      </c>
      <c r="O3515" s="248">
        <v>44625</v>
      </c>
      <c r="P3515" s="247" t="s">
        <v>1599</v>
      </c>
      <c r="Q3515" s="247" t="s">
        <v>91</v>
      </c>
    </row>
    <row r="3516" spans="1:17" x14ac:dyDescent="0.25">
      <c r="A3516" s="247" t="s">
        <v>646</v>
      </c>
      <c r="B3516" s="247" t="s">
        <v>265</v>
      </c>
      <c r="C3516" s="247" t="s">
        <v>1597</v>
      </c>
      <c r="D3516" s="247" t="s">
        <v>711</v>
      </c>
      <c r="E3516" s="247" t="s">
        <v>926</v>
      </c>
      <c r="F3516" s="247" t="s">
        <v>2410</v>
      </c>
      <c r="G3516" s="247" t="s">
        <v>1598</v>
      </c>
      <c r="H3516" s="247"/>
      <c r="I3516" s="247" t="s">
        <v>2411</v>
      </c>
      <c r="J3516" s="247">
        <v>45</v>
      </c>
      <c r="K3516" s="247">
        <v>45</v>
      </c>
      <c r="L3516" s="249" t="s">
        <v>938</v>
      </c>
      <c r="M3516" s="249" t="s">
        <v>929</v>
      </c>
      <c r="N3516" s="248">
        <v>8925</v>
      </c>
      <c r="O3516" s="248">
        <v>53550</v>
      </c>
      <c r="P3516" s="247" t="s">
        <v>1599</v>
      </c>
      <c r="Q3516" s="247" t="s">
        <v>92</v>
      </c>
    </row>
    <row r="3517" spans="1:17" x14ac:dyDescent="0.25">
      <c r="A3517" s="247" t="s">
        <v>646</v>
      </c>
      <c r="B3517" s="247" t="s">
        <v>265</v>
      </c>
      <c r="C3517" s="247" t="s">
        <v>1597</v>
      </c>
      <c r="D3517" s="247" t="s">
        <v>711</v>
      </c>
      <c r="E3517" s="247" t="s">
        <v>926</v>
      </c>
      <c r="F3517" s="247" t="s">
        <v>2410</v>
      </c>
      <c r="G3517" s="247" t="s">
        <v>1598</v>
      </c>
      <c r="H3517" s="247"/>
      <c r="I3517" s="247" t="s">
        <v>2411</v>
      </c>
      <c r="J3517" s="247">
        <v>45</v>
      </c>
      <c r="K3517" s="247">
        <v>45</v>
      </c>
      <c r="L3517" s="249" t="s">
        <v>939</v>
      </c>
      <c r="M3517" s="249" t="s">
        <v>929</v>
      </c>
      <c r="N3517" s="248">
        <v>8925</v>
      </c>
      <c r="O3517" s="248">
        <v>62475</v>
      </c>
      <c r="P3517" s="247" t="s">
        <v>1599</v>
      </c>
      <c r="Q3517" s="247" t="s">
        <v>93</v>
      </c>
    </row>
    <row r="3518" spans="1:17" x14ac:dyDescent="0.25">
      <c r="A3518" s="247" t="s">
        <v>646</v>
      </c>
      <c r="B3518" s="247" t="s">
        <v>265</v>
      </c>
      <c r="C3518" s="247" t="s">
        <v>1597</v>
      </c>
      <c r="D3518" s="247" t="s">
        <v>711</v>
      </c>
      <c r="E3518" s="247" t="s">
        <v>926</v>
      </c>
      <c r="F3518" s="247" t="s">
        <v>2410</v>
      </c>
      <c r="G3518" s="247" t="s">
        <v>1598</v>
      </c>
      <c r="H3518" s="247"/>
      <c r="I3518" s="247" t="s">
        <v>2411</v>
      </c>
      <c r="J3518" s="247">
        <v>45</v>
      </c>
      <c r="K3518" s="247">
        <v>45</v>
      </c>
      <c r="L3518" s="249" t="s">
        <v>940</v>
      </c>
      <c r="M3518" s="249" t="s">
        <v>929</v>
      </c>
      <c r="N3518" s="248">
        <v>8925</v>
      </c>
      <c r="O3518" s="248">
        <v>71400</v>
      </c>
      <c r="P3518" s="247" t="s">
        <v>1599</v>
      </c>
      <c r="Q3518" s="247" t="s">
        <v>94</v>
      </c>
    </row>
    <row r="3519" spans="1:17" x14ac:dyDescent="0.25">
      <c r="A3519" s="247" t="s">
        <v>646</v>
      </c>
      <c r="B3519" s="247" t="s">
        <v>265</v>
      </c>
      <c r="C3519" s="247" t="s">
        <v>1597</v>
      </c>
      <c r="D3519" s="247" t="s">
        <v>711</v>
      </c>
      <c r="E3519" s="247" t="s">
        <v>926</v>
      </c>
      <c r="F3519" s="247" t="s">
        <v>2410</v>
      </c>
      <c r="G3519" s="247" t="s">
        <v>1598</v>
      </c>
      <c r="H3519" s="247"/>
      <c r="I3519" s="247" t="s">
        <v>2411</v>
      </c>
      <c r="J3519" s="247">
        <v>45</v>
      </c>
      <c r="K3519" s="247">
        <v>45</v>
      </c>
      <c r="L3519" s="249" t="s">
        <v>642</v>
      </c>
      <c r="M3519" s="249" t="s">
        <v>929</v>
      </c>
      <c r="N3519" s="248">
        <v>8925</v>
      </c>
      <c r="O3519" s="248">
        <v>80325</v>
      </c>
      <c r="P3519" s="247" t="s">
        <v>1599</v>
      </c>
      <c r="Q3519" s="247" t="s">
        <v>95</v>
      </c>
    </row>
    <row r="3520" spans="1:17" x14ac:dyDescent="0.25">
      <c r="A3520" s="247" t="s">
        <v>646</v>
      </c>
      <c r="B3520" s="247" t="s">
        <v>265</v>
      </c>
      <c r="C3520" s="247" t="s">
        <v>1600</v>
      </c>
      <c r="D3520" s="247" t="s">
        <v>926</v>
      </c>
      <c r="E3520" s="247" t="s">
        <v>926</v>
      </c>
      <c r="F3520" s="247" t="s">
        <v>2412</v>
      </c>
      <c r="G3520" s="247" t="s">
        <v>1592</v>
      </c>
      <c r="H3520" s="247"/>
      <c r="I3520" s="247" t="s">
        <v>2413</v>
      </c>
      <c r="J3520" s="247">
        <v>68</v>
      </c>
      <c r="K3520" s="247">
        <v>68</v>
      </c>
      <c r="L3520" s="249" t="s">
        <v>646</v>
      </c>
      <c r="M3520" s="249" t="s">
        <v>933</v>
      </c>
      <c r="N3520" s="248">
        <v>4909.12</v>
      </c>
      <c r="O3520" s="248">
        <v>9818.24</v>
      </c>
      <c r="P3520" s="247" t="s">
        <v>1601</v>
      </c>
      <c r="Q3520" s="247" t="s">
        <v>84</v>
      </c>
    </row>
    <row r="3521" spans="1:17" x14ac:dyDescent="0.25">
      <c r="A3521" s="247" t="s">
        <v>646</v>
      </c>
      <c r="B3521" s="247" t="s">
        <v>265</v>
      </c>
      <c r="C3521" s="247" t="s">
        <v>1600</v>
      </c>
      <c r="D3521" s="247" t="s">
        <v>926</v>
      </c>
      <c r="E3521" s="247" t="s">
        <v>926</v>
      </c>
      <c r="F3521" s="247" t="s">
        <v>2412</v>
      </c>
      <c r="G3521" s="247" t="s">
        <v>1592</v>
      </c>
      <c r="H3521" s="247"/>
      <c r="I3521" s="247" t="s">
        <v>2413</v>
      </c>
      <c r="J3521" s="247">
        <v>68</v>
      </c>
      <c r="K3521" s="247">
        <v>68</v>
      </c>
      <c r="L3521" s="249" t="s">
        <v>650</v>
      </c>
      <c r="M3521" s="249" t="s">
        <v>933</v>
      </c>
      <c r="N3521" s="248">
        <v>0</v>
      </c>
      <c r="O3521" s="248">
        <v>9818.24</v>
      </c>
      <c r="P3521" s="247" t="s">
        <v>1601</v>
      </c>
      <c r="Q3521" s="247" t="s">
        <v>85</v>
      </c>
    </row>
    <row r="3522" spans="1:17" x14ac:dyDescent="0.25">
      <c r="A3522" s="247" t="s">
        <v>646</v>
      </c>
      <c r="B3522" s="247" t="s">
        <v>265</v>
      </c>
      <c r="C3522" s="247" t="s">
        <v>1600</v>
      </c>
      <c r="D3522" s="247" t="s">
        <v>926</v>
      </c>
      <c r="E3522" s="247" t="s">
        <v>926</v>
      </c>
      <c r="F3522" s="247" t="s">
        <v>2412</v>
      </c>
      <c r="G3522" s="247" t="s">
        <v>1592</v>
      </c>
      <c r="H3522" s="247"/>
      <c r="I3522" s="247" t="s">
        <v>2413</v>
      </c>
      <c r="J3522" s="247">
        <v>68</v>
      </c>
      <c r="K3522" s="247">
        <v>68</v>
      </c>
      <c r="L3522" s="249" t="s">
        <v>652</v>
      </c>
      <c r="M3522" s="249" t="s">
        <v>933</v>
      </c>
      <c r="N3522" s="248">
        <v>0</v>
      </c>
      <c r="O3522" s="248">
        <v>9818.24</v>
      </c>
      <c r="P3522" s="247" t="s">
        <v>1601</v>
      </c>
      <c r="Q3522" s="247" t="s">
        <v>86</v>
      </c>
    </row>
    <row r="3523" spans="1:17" x14ac:dyDescent="0.25">
      <c r="A3523" s="247" t="s">
        <v>646</v>
      </c>
      <c r="B3523" s="247" t="s">
        <v>265</v>
      </c>
      <c r="C3523" s="247" t="s">
        <v>1602</v>
      </c>
      <c r="D3523" s="247" t="s">
        <v>926</v>
      </c>
      <c r="E3523" s="247" t="s">
        <v>926</v>
      </c>
      <c r="F3523" s="247" t="s">
        <v>2414</v>
      </c>
      <c r="G3523" s="247" t="s">
        <v>1603</v>
      </c>
      <c r="H3523" s="247"/>
      <c r="I3523" s="247" t="s">
        <v>2415</v>
      </c>
      <c r="J3523" s="247">
        <v>71</v>
      </c>
      <c r="K3523" s="247">
        <v>71</v>
      </c>
      <c r="L3523" s="249" t="s">
        <v>646</v>
      </c>
      <c r="M3523" s="249" t="s">
        <v>933</v>
      </c>
      <c r="N3523" s="248">
        <v>704.33</v>
      </c>
      <c r="O3523" s="248">
        <v>6735.9</v>
      </c>
      <c r="P3523" s="247" t="s">
        <v>1604</v>
      </c>
      <c r="Q3523" s="247" t="s">
        <v>84</v>
      </c>
    </row>
    <row r="3524" spans="1:17" x14ac:dyDescent="0.25">
      <c r="A3524" s="247" t="s">
        <v>646</v>
      </c>
      <c r="B3524" s="247" t="s">
        <v>265</v>
      </c>
      <c r="C3524" s="247" t="s">
        <v>1602</v>
      </c>
      <c r="D3524" s="247" t="s">
        <v>926</v>
      </c>
      <c r="E3524" s="247" t="s">
        <v>926</v>
      </c>
      <c r="F3524" s="247" t="s">
        <v>2414</v>
      </c>
      <c r="G3524" s="247" t="s">
        <v>1603</v>
      </c>
      <c r="H3524" s="247"/>
      <c r="I3524" s="247" t="s">
        <v>2415</v>
      </c>
      <c r="J3524" s="247">
        <v>71</v>
      </c>
      <c r="K3524" s="247">
        <v>71</v>
      </c>
      <c r="L3524" s="249" t="s">
        <v>650</v>
      </c>
      <c r="M3524" s="249" t="s">
        <v>933</v>
      </c>
      <c r="N3524" s="248">
        <v>734.84</v>
      </c>
      <c r="O3524" s="248">
        <v>7470.74</v>
      </c>
      <c r="P3524" s="247" t="s">
        <v>1604</v>
      </c>
      <c r="Q3524" s="247" t="s">
        <v>85</v>
      </c>
    </row>
    <row r="3525" spans="1:17" x14ac:dyDescent="0.25">
      <c r="A3525" s="247" t="s">
        <v>646</v>
      </c>
      <c r="B3525" s="247" t="s">
        <v>265</v>
      </c>
      <c r="C3525" s="247" t="s">
        <v>1602</v>
      </c>
      <c r="D3525" s="247" t="s">
        <v>926</v>
      </c>
      <c r="E3525" s="247" t="s">
        <v>926</v>
      </c>
      <c r="F3525" s="247" t="s">
        <v>2414</v>
      </c>
      <c r="G3525" s="247" t="s">
        <v>1603</v>
      </c>
      <c r="H3525" s="247"/>
      <c r="I3525" s="247" t="s">
        <v>2415</v>
      </c>
      <c r="J3525" s="247">
        <v>71</v>
      </c>
      <c r="K3525" s="247">
        <v>71</v>
      </c>
      <c r="L3525" s="249" t="s">
        <v>652</v>
      </c>
      <c r="M3525" s="249" t="s">
        <v>933</v>
      </c>
      <c r="N3525" s="248">
        <v>718.68</v>
      </c>
      <c r="O3525" s="248">
        <v>8189.42</v>
      </c>
      <c r="P3525" s="247" t="s">
        <v>1604</v>
      </c>
      <c r="Q3525" s="247" t="s">
        <v>86</v>
      </c>
    </row>
    <row r="3526" spans="1:17" x14ac:dyDescent="0.25">
      <c r="A3526" s="247" t="s">
        <v>646</v>
      </c>
      <c r="B3526" s="247" t="s">
        <v>265</v>
      </c>
      <c r="C3526" s="247" t="s">
        <v>1602</v>
      </c>
      <c r="D3526" s="247" t="s">
        <v>926</v>
      </c>
      <c r="E3526" s="247" t="s">
        <v>926</v>
      </c>
      <c r="F3526" s="247" t="s">
        <v>2414</v>
      </c>
      <c r="G3526" s="247" t="s">
        <v>1603</v>
      </c>
      <c r="H3526" s="247"/>
      <c r="I3526" s="247" t="s">
        <v>2415</v>
      </c>
      <c r="J3526" s="247">
        <v>71</v>
      </c>
      <c r="K3526" s="247">
        <v>71</v>
      </c>
      <c r="L3526" s="249" t="s">
        <v>789</v>
      </c>
      <c r="M3526" s="249" t="s">
        <v>929</v>
      </c>
      <c r="N3526" s="248">
        <v>734.63</v>
      </c>
      <c r="O3526" s="248">
        <v>734.63</v>
      </c>
      <c r="P3526" s="247" t="s">
        <v>1604</v>
      </c>
      <c r="Q3526" s="247" t="s">
        <v>87</v>
      </c>
    </row>
    <row r="3527" spans="1:17" x14ac:dyDescent="0.25">
      <c r="A3527" s="247" t="s">
        <v>646</v>
      </c>
      <c r="B3527" s="247" t="s">
        <v>265</v>
      </c>
      <c r="C3527" s="247" t="s">
        <v>1602</v>
      </c>
      <c r="D3527" s="247" t="s">
        <v>926</v>
      </c>
      <c r="E3527" s="247" t="s">
        <v>926</v>
      </c>
      <c r="F3527" s="247" t="s">
        <v>2414</v>
      </c>
      <c r="G3527" s="247" t="s">
        <v>1603</v>
      </c>
      <c r="H3527" s="247"/>
      <c r="I3527" s="247" t="s">
        <v>2415</v>
      </c>
      <c r="J3527" s="247">
        <v>71</v>
      </c>
      <c r="K3527" s="247">
        <v>71</v>
      </c>
      <c r="L3527" s="249" t="s">
        <v>791</v>
      </c>
      <c r="M3527" s="249" t="s">
        <v>929</v>
      </c>
      <c r="N3527" s="248">
        <v>741.32</v>
      </c>
      <c r="O3527" s="248">
        <v>1475.95</v>
      </c>
      <c r="P3527" s="247" t="s">
        <v>1604</v>
      </c>
      <c r="Q3527" s="247" t="s">
        <v>88</v>
      </c>
    </row>
    <row r="3528" spans="1:17" x14ac:dyDescent="0.25">
      <c r="A3528" s="247" t="s">
        <v>646</v>
      </c>
      <c r="B3528" s="247" t="s">
        <v>265</v>
      </c>
      <c r="C3528" s="247" t="s">
        <v>1602</v>
      </c>
      <c r="D3528" s="247" t="s">
        <v>926</v>
      </c>
      <c r="E3528" s="247" t="s">
        <v>926</v>
      </c>
      <c r="F3528" s="247" t="s">
        <v>2414</v>
      </c>
      <c r="G3528" s="247" t="s">
        <v>1603</v>
      </c>
      <c r="H3528" s="247"/>
      <c r="I3528" s="247" t="s">
        <v>2415</v>
      </c>
      <c r="J3528" s="247">
        <v>71</v>
      </c>
      <c r="K3528" s="247">
        <v>71</v>
      </c>
      <c r="L3528" s="249" t="s">
        <v>935</v>
      </c>
      <c r="M3528" s="249" t="s">
        <v>929</v>
      </c>
      <c r="N3528" s="248">
        <v>753.19</v>
      </c>
      <c r="O3528" s="248">
        <v>2229.14</v>
      </c>
      <c r="P3528" s="247" t="s">
        <v>1604</v>
      </c>
      <c r="Q3528" s="247" t="s">
        <v>89</v>
      </c>
    </row>
    <row r="3529" spans="1:17" x14ac:dyDescent="0.25">
      <c r="A3529" s="247" t="s">
        <v>646</v>
      </c>
      <c r="B3529" s="247" t="s">
        <v>265</v>
      </c>
      <c r="C3529" s="247" t="s">
        <v>1602</v>
      </c>
      <c r="D3529" s="247" t="s">
        <v>926</v>
      </c>
      <c r="E3529" s="247" t="s">
        <v>926</v>
      </c>
      <c r="F3529" s="247" t="s">
        <v>2414</v>
      </c>
      <c r="G3529" s="247" t="s">
        <v>1603</v>
      </c>
      <c r="H3529" s="247"/>
      <c r="I3529" s="247" t="s">
        <v>2415</v>
      </c>
      <c r="J3529" s="247">
        <v>71</v>
      </c>
      <c r="K3529" s="247">
        <v>71</v>
      </c>
      <c r="L3529" s="249" t="s">
        <v>936</v>
      </c>
      <c r="M3529" s="249" t="s">
        <v>929</v>
      </c>
      <c r="N3529" s="248">
        <v>753.19</v>
      </c>
      <c r="O3529" s="248">
        <v>2982.33</v>
      </c>
      <c r="P3529" s="247" t="s">
        <v>1604</v>
      </c>
      <c r="Q3529" s="247" t="s">
        <v>90</v>
      </c>
    </row>
    <row r="3530" spans="1:17" x14ac:dyDescent="0.25">
      <c r="A3530" s="247" t="s">
        <v>646</v>
      </c>
      <c r="B3530" s="247" t="s">
        <v>265</v>
      </c>
      <c r="C3530" s="247" t="s">
        <v>1602</v>
      </c>
      <c r="D3530" s="247" t="s">
        <v>926</v>
      </c>
      <c r="E3530" s="247" t="s">
        <v>926</v>
      </c>
      <c r="F3530" s="247" t="s">
        <v>2414</v>
      </c>
      <c r="G3530" s="247" t="s">
        <v>1603</v>
      </c>
      <c r="H3530" s="247"/>
      <c r="I3530" s="247" t="s">
        <v>2415</v>
      </c>
      <c r="J3530" s="247">
        <v>71</v>
      </c>
      <c r="K3530" s="247">
        <v>71</v>
      </c>
      <c r="L3530" s="249" t="s">
        <v>937</v>
      </c>
      <c r="M3530" s="249" t="s">
        <v>929</v>
      </c>
      <c r="N3530" s="248">
        <v>773.06</v>
      </c>
      <c r="O3530" s="248">
        <v>3755.39</v>
      </c>
      <c r="P3530" s="247" t="s">
        <v>1604</v>
      </c>
      <c r="Q3530" s="247" t="s">
        <v>91</v>
      </c>
    </row>
    <row r="3531" spans="1:17" x14ac:dyDescent="0.25">
      <c r="A3531" s="247" t="s">
        <v>646</v>
      </c>
      <c r="B3531" s="247" t="s">
        <v>265</v>
      </c>
      <c r="C3531" s="247" t="s">
        <v>1602</v>
      </c>
      <c r="D3531" s="247" t="s">
        <v>926</v>
      </c>
      <c r="E3531" s="247" t="s">
        <v>926</v>
      </c>
      <c r="F3531" s="247" t="s">
        <v>2414</v>
      </c>
      <c r="G3531" s="247" t="s">
        <v>1603</v>
      </c>
      <c r="H3531" s="247"/>
      <c r="I3531" s="247" t="s">
        <v>2415</v>
      </c>
      <c r="J3531" s="247">
        <v>71</v>
      </c>
      <c r="K3531" s="247">
        <v>71</v>
      </c>
      <c r="L3531" s="249" t="s">
        <v>938</v>
      </c>
      <c r="M3531" s="249" t="s">
        <v>929</v>
      </c>
      <c r="N3531" s="248">
        <v>777.22</v>
      </c>
      <c r="O3531" s="248">
        <v>4532.6099999999997</v>
      </c>
      <c r="P3531" s="247" t="s">
        <v>1604</v>
      </c>
      <c r="Q3531" s="247" t="s">
        <v>92</v>
      </c>
    </row>
    <row r="3532" spans="1:17" x14ac:dyDescent="0.25">
      <c r="A3532" s="247" t="s">
        <v>646</v>
      </c>
      <c r="B3532" s="247" t="s">
        <v>265</v>
      </c>
      <c r="C3532" s="247" t="s">
        <v>1602</v>
      </c>
      <c r="D3532" s="247" t="s">
        <v>926</v>
      </c>
      <c r="E3532" s="247" t="s">
        <v>926</v>
      </c>
      <c r="F3532" s="247" t="s">
        <v>2414</v>
      </c>
      <c r="G3532" s="247" t="s">
        <v>1603</v>
      </c>
      <c r="H3532" s="247"/>
      <c r="I3532" s="247" t="s">
        <v>2415</v>
      </c>
      <c r="J3532" s="247">
        <v>71</v>
      </c>
      <c r="K3532" s="247">
        <v>71</v>
      </c>
      <c r="L3532" s="249" t="s">
        <v>939</v>
      </c>
      <c r="M3532" s="249" t="s">
        <v>929</v>
      </c>
      <c r="N3532" s="248">
        <v>4557.74</v>
      </c>
      <c r="O3532" s="248">
        <v>9090.35</v>
      </c>
      <c r="P3532" s="247" t="s">
        <v>1604</v>
      </c>
      <c r="Q3532" s="247" t="s">
        <v>93</v>
      </c>
    </row>
    <row r="3533" spans="1:17" x14ac:dyDescent="0.25">
      <c r="A3533" s="247" t="s">
        <v>646</v>
      </c>
      <c r="B3533" s="247" t="s">
        <v>265</v>
      </c>
      <c r="C3533" s="247" t="s">
        <v>1602</v>
      </c>
      <c r="D3533" s="247" t="s">
        <v>926</v>
      </c>
      <c r="E3533" s="247" t="s">
        <v>926</v>
      </c>
      <c r="F3533" s="247" t="s">
        <v>2414</v>
      </c>
      <c r="G3533" s="247" t="s">
        <v>1603</v>
      </c>
      <c r="H3533" s="247"/>
      <c r="I3533" s="247" t="s">
        <v>2415</v>
      </c>
      <c r="J3533" s="247">
        <v>71</v>
      </c>
      <c r="K3533" s="247">
        <v>71</v>
      </c>
      <c r="L3533" s="249" t="s">
        <v>940</v>
      </c>
      <c r="M3533" s="249" t="s">
        <v>929</v>
      </c>
      <c r="N3533" s="248">
        <v>4558.88</v>
      </c>
      <c r="O3533" s="248">
        <v>13649.23</v>
      </c>
      <c r="P3533" s="247" t="s">
        <v>1604</v>
      </c>
      <c r="Q3533" s="247" t="s">
        <v>94</v>
      </c>
    </row>
    <row r="3534" spans="1:17" x14ac:dyDescent="0.25">
      <c r="A3534" s="247" t="s">
        <v>646</v>
      </c>
      <c r="B3534" s="247" t="s">
        <v>265</v>
      </c>
      <c r="C3534" s="247" t="s">
        <v>1602</v>
      </c>
      <c r="D3534" s="247" t="s">
        <v>926</v>
      </c>
      <c r="E3534" s="247" t="s">
        <v>926</v>
      </c>
      <c r="F3534" s="247" t="s">
        <v>2414</v>
      </c>
      <c r="G3534" s="247" t="s">
        <v>1603</v>
      </c>
      <c r="H3534" s="247"/>
      <c r="I3534" s="247" t="s">
        <v>2415</v>
      </c>
      <c r="J3534" s="247">
        <v>71</v>
      </c>
      <c r="K3534" s="247">
        <v>71</v>
      </c>
      <c r="L3534" s="249" t="s">
        <v>642</v>
      </c>
      <c r="M3534" s="249" t="s">
        <v>929</v>
      </c>
      <c r="N3534" s="248">
        <v>4558.08</v>
      </c>
      <c r="O3534" s="248">
        <v>18207.310000000001</v>
      </c>
      <c r="P3534" s="247" t="s">
        <v>1604</v>
      </c>
      <c r="Q3534" s="247" t="s">
        <v>95</v>
      </c>
    </row>
    <row r="3535" spans="1:17" x14ac:dyDescent="0.25">
      <c r="A3535" s="247" t="s">
        <v>646</v>
      </c>
      <c r="B3535" s="247" t="s">
        <v>265</v>
      </c>
      <c r="C3535" s="247" t="s">
        <v>1602</v>
      </c>
      <c r="D3535" s="247" t="s">
        <v>569</v>
      </c>
      <c r="E3535" s="247" t="s">
        <v>926</v>
      </c>
      <c r="F3535" s="247" t="s">
        <v>2416</v>
      </c>
      <c r="G3535" s="247" t="s">
        <v>1605</v>
      </c>
      <c r="H3535" s="247"/>
      <c r="I3535" s="247" t="s">
        <v>2417</v>
      </c>
      <c r="J3535" s="247">
        <v>73</v>
      </c>
      <c r="K3535" s="247">
        <v>73</v>
      </c>
      <c r="L3535" s="249" t="s">
        <v>646</v>
      </c>
      <c r="M3535" s="249" t="s">
        <v>933</v>
      </c>
      <c r="N3535" s="248">
        <v>1854.02</v>
      </c>
      <c r="O3535" s="248">
        <v>24659.75</v>
      </c>
      <c r="P3535" s="247" t="s">
        <v>1606</v>
      </c>
      <c r="Q3535" s="247" t="s">
        <v>84</v>
      </c>
    </row>
    <row r="3536" spans="1:17" x14ac:dyDescent="0.25">
      <c r="A3536" s="247" t="s">
        <v>646</v>
      </c>
      <c r="B3536" s="247" t="s">
        <v>265</v>
      </c>
      <c r="C3536" s="247" t="s">
        <v>1602</v>
      </c>
      <c r="D3536" s="247" t="s">
        <v>569</v>
      </c>
      <c r="E3536" s="247" t="s">
        <v>926</v>
      </c>
      <c r="F3536" s="247" t="s">
        <v>2416</v>
      </c>
      <c r="G3536" s="247" t="s">
        <v>1605</v>
      </c>
      <c r="H3536" s="247"/>
      <c r="I3536" s="247" t="s">
        <v>2417</v>
      </c>
      <c r="J3536" s="247">
        <v>73</v>
      </c>
      <c r="K3536" s="247">
        <v>73</v>
      </c>
      <c r="L3536" s="249" t="s">
        <v>650</v>
      </c>
      <c r="M3536" s="249" t="s">
        <v>933</v>
      </c>
      <c r="N3536" s="248">
        <v>1970.03</v>
      </c>
      <c r="O3536" s="248">
        <v>26629.78</v>
      </c>
      <c r="P3536" s="247" t="s">
        <v>1606</v>
      </c>
      <c r="Q3536" s="247" t="s">
        <v>85</v>
      </c>
    </row>
    <row r="3537" spans="1:17" x14ac:dyDescent="0.25">
      <c r="A3537" s="247" t="s">
        <v>646</v>
      </c>
      <c r="B3537" s="247" t="s">
        <v>265</v>
      </c>
      <c r="C3537" s="247" t="s">
        <v>1602</v>
      </c>
      <c r="D3537" s="247" t="s">
        <v>569</v>
      </c>
      <c r="E3537" s="247" t="s">
        <v>926</v>
      </c>
      <c r="F3537" s="247" t="s">
        <v>2416</v>
      </c>
      <c r="G3537" s="247" t="s">
        <v>1605</v>
      </c>
      <c r="H3537" s="247"/>
      <c r="I3537" s="247" t="s">
        <v>2417</v>
      </c>
      <c r="J3537" s="247">
        <v>73</v>
      </c>
      <c r="K3537" s="247">
        <v>73</v>
      </c>
      <c r="L3537" s="249" t="s">
        <v>652</v>
      </c>
      <c r="M3537" s="249" t="s">
        <v>933</v>
      </c>
      <c r="N3537" s="248">
        <v>0</v>
      </c>
      <c r="O3537" s="248">
        <v>26629.78</v>
      </c>
      <c r="P3537" s="247" t="s">
        <v>1606</v>
      </c>
      <c r="Q3537" s="247" t="s">
        <v>86</v>
      </c>
    </row>
    <row r="3538" spans="1:17" x14ac:dyDescent="0.25">
      <c r="A3538" s="247" t="s">
        <v>646</v>
      </c>
      <c r="B3538" s="247" t="s">
        <v>265</v>
      </c>
      <c r="C3538" s="247" t="s">
        <v>1602</v>
      </c>
      <c r="D3538" s="247" t="s">
        <v>569</v>
      </c>
      <c r="E3538" s="247" t="s">
        <v>926</v>
      </c>
      <c r="F3538" s="247" t="s">
        <v>2416</v>
      </c>
      <c r="G3538" s="247" t="s">
        <v>1605</v>
      </c>
      <c r="H3538" s="247"/>
      <c r="I3538" s="247" t="s">
        <v>2417</v>
      </c>
      <c r="J3538" s="247">
        <v>73</v>
      </c>
      <c r="K3538" s="247">
        <v>73</v>
      </c>
      <c r="L3538" s="249" t="s">
        <v>791</v>
      </c>
      <c r="M3538" s="249" t="s">
        <v>929</v>
      </c>
      <c r="N3538" s="248">
        <v>2280.6</v>
      </c>
      <c r="O3538" s="248">
        <v>2280.6</v>
      </c>
      <c r="P3538" s="247" t="s">
        <v>1606</v>
      </c>
      <c r="Q3538" s="247" t="s">
        <v>88</v>
      </c>
    </row>
    <row r="3539" spans="1:17" x14ac:dyDescent="0.25">
      <c r="A3539" s="247" t="s">
        <v>646</v>
      </c>
      <c r="B3539" s="247" t="s">
        <v>265</v>
      </c>
      <c r="C3539" s="247" t="s">
        <v>1602</v>
      </c>
      <c r="D3539" s="247" t="s">
        <v>569</v>
      </c>
      <c r="E3539" s="247" t="s">
        <v>926</v>
      </c>
      <c r="F3539" s="247" t="s">
        <v>2416</v>
      </c>
      <c r="G3539" s="247" t="s">
        <v>1605</v>
      </c>
      <c r="H3539" s="247"/>
      <c r="I3539" s="247" t="s">
        <v>2417</v>
      </c>
      <c r="J3539" s="247">
        <v>73</v>
      </c>
      <c r="K3539" s="247">
        <v>73</v>
      </c>
      <c r="L3539" s="249" t="s">
        <v>935</v>
      </c>
      <c r="M3539" s="249" t="s">
        <v>929</v>
      </c>
      <c r="N3539" s="248">
        <v>783.84</v>
      </c>
      <c r="O3539" s="248">
        <v>3064.44</v>
      </c>
      <c r="P3539" s="247" t="s">
        <v>1606</v>
      </c>
      <c r="Q3539" s="247" t="s">
        <v>89</v>
      </c>
    </row>
    <row r="3540" spans="1:17" x14ac:dyDescent="0.25">
      <c r="A3540" s="247" t="s">
        <v>646</v>
      </c>
      <c r="B3540" s="247" t="s">
        <v>265</v>
      </c>
      <c r="C3540" s="247" t="s">
        <v>1602</v>
      </c>
      <c r="D3540" s="247" t="s">
        <v>569</v>
      </c>
      <c r="E3540" s="247" t="s">
        <v>926</v>
      </c>
      <c r="F3540" s="247" t="s">
        <v>2416</v>
      </c>
      <c r="G3540" s="247" t="s">
        <v>1605</v>
      </c>
      <c r="H3540" s="247"/>
      <c r="I3540" s="247" t="s">
        <v>2417</v>
      </c>
      <c r="J3540" s="247">
        <v>73</v>
      </c>
      <c r="K3540" s="247">
        <v>73</v>
      </c>
      <c r="L3540" s="249" t="s">
        <v>936</v>
      </c>
      <c r="M3540" s="249" t="s">
        <v>929</v>
      </c>
      <c r="N3540" s="248">
        <v>29.66</v>
      </c>
      <c r="O3540" s="248">
        <v>3094.1</v>
      </c>
      <c r="P3540" s="247" t="s">
        <v>1606</v>
      </c>
      <c r="Q3540" s="247" t="s">
        <v>90</v>
      </c>
    </row>
    <row r="3541" spans="1:17" x14ac:dyDescent="0.25">
      <c r="A3541" s="247" t="s">
        <v>646</v>
      </c>
      <c r="B3541" s="247" t="s">
        <v>265</v>
      </c>
      <c r="C3541" s="247" t="s">
        <v>1602</v>
      </c>
      <c r="D3541" s="247" t="s">
        <v>569</v>
      </c>
      <c r="E3541" s="247" t="s">
        <v>926</v>
      </c>
      <c r="F3541" s="247" t="s">
        <v>2416</v>
      </c>
      <c r="G3541" s="247" t="s">
        <v>1605</v>
      </c>
      <c r="H3541" s="247"/>
      <c r="I3541" s="247" t="s">
        <v>2417</v>
      </c>
      <c r="J3541" s="247">
        <v>73</v>
      </c>
      <c r="K3541" s="247">
        <v>73</v>
      </c>
      <c r="L3541" s="249" t="s">
        <v>937</v>
      </c>
      <c r="M3541" s="249" t="s">
        <v>929</v>
      </c>
      <c r="N3541" s="248">
        <v>0</v>
      </c>
      <c r="O3541" s="248">
        <v>3094.1</v>
      </c>
      <c r="P3541" s="247" t="s">
        <v>1606</v>
      </c>
      <c r="Q3541" s="247" t="s">
        <v>91</v>
      </c>
    </row>
    <row r="3542" spans="1:17" x14ac:dyDescent="0.25">
      <c r="A3542" s="247" t="s">
        <v>646</v>
      </c>
      <c r="B3542" s="247" t="s">
        <v>265</v>
      </c>
      <c r="C3542" s="247" t="s">
        <v>1602</v>
      </c>
      <c r="D3542" s="247" t="s">
        <v>569</v>
      </c>
      <c r="E3542" s="247" t="s">
        <v>926</v>
      </c>
      <c r="F3542" s="247" t="s">
        <v>2416</v>
      </c>
      <c r="G3542" s="247" t="s">
        <v>1605</v>
      </c>
      <c r="H3542" s="247"/>
      <c r="I3542" s="247" t="s">
        <v>2417</v>
      </c>
      <c r="J3542" s="247">
        <v>73</v>
      </c>
      <c r="K3542" s="247">
        <v>73</v>
      </c>
      <c r="L3542" s="249" t="s">
        <v>938</v>
      </c>
      <c r="M3542" s="249" t="s">
        <v>929</v>
      </c>
      <c r="N3542" s="248">
        <v>10926.54</v>
      </c>
      <c r="O3542" s="248">
        <v>14020.64</v>
      </c>
      <c r="P3542" s="247" t="s">
        <v>1606</v>
      </c>
      <c r="Q3542" s="247" t="s">
        <v>92</v>
      </c>
    </row>
    <row r="3543" spans="1:17" x14ac:dyDescent="0.25">
      <c r="A3543" s="247" t="s">
        <v>646</v>
      </c>
      <c r="B3543" s="247" t="s">
        <v>265</v>
      </c>
      <c r="C3543" s="247" t="s">
        <v>1602</v>
      </c>
      <c r="D3543" s="247" t="s">
        <v>569</v>
      </c>
      <c r="E3543" s="247" t="s">
        <v>926</v>
      </c>
      <c r="F3543" s="247" t="s">
        <v>2416</v>
      </c>
      <c r="G3543" s="247" t="s">
        <v>1605</v>
      </c>
      <c r="H3543" s="247"/>
      <c r="I3543" s="247" t="s">
        <v>2417</v>
      </c>
      <c r="J3543" s="247">
        <v>73</v>
      </c>
      <c r="K3543" s="247">
        <v>73</v>
      </c>
      <c r="L3543" s="249" t="s">
        <v>939</v>
      </c>
      <c r="M3543" s="249" t="s">
        <v>929</v>
      </c>
      <c r="N3543" s="248">
        <v>269.18</v>
      </c>
      <c r="O3543" s="248">
        <v>14289.82</v>
      </c>
      <c r="P3543" s="247" t="s">
        <v>1606</v>
      </c>
      <c r="Q3543" s="247" t="s">
        <v>93</v>
      </c>
    </row>
    <row r="3544" spans="1:17" x14ac:dyDescent="0.25">
      <c r="A3544" s="247" t="s">
        <v>646</v>
      </c>
      <c r="B3544" s="247" t="s">
        <v>265</v>
      </c>
      <c r="C3544" s="247" t="s">
        <v>1602</v>
      </c>
      <c r="D3544" s="247" t="s">
        <v>569</v>
      </c>
      <c r="E3544" s="247" t="s">
        <v>926</v>
      </c>
      <c r="F3544" s="247" t="s">
        <v>2416</v>
      </c>
      <c r="G3544" s="247" t="s">
        <v>1605</v>
      </c>
      <c r="H3544" s="247"/>
      <c r="I3544" s="247" t="s">
        <v>2417</v>
      </c>
      <c r="J3544" s="247">
        <v>73</v>
      </c>
      <c r="K3544" s="247">
        <v>73</v>
      </c>
      <c r="L3544" s="249" t="s">
        <v>940</v>
      </c>
      <c r="M3544" s="249" t="s">
        <v>929</v>
      </c>
      <c r="N3544" s="248">
        <v>2602.5700000000002</v>
      </c>
      <c r="O3544" s="248">
        <v>16892.39</v>
      </c>
      <c r="P3544" s="247" t="s">
        <v>1606</v>
      </c>
      <c r="Q3544" s="247" t="s">
        <v>94</v>
      </c>
    </row>
    <row r="3545" spans="1:17" x14ac:dyDescent="0.25">
      <c r="A3545" s="247" t="s">
        <v>646</v>
      </c>
      <c r="B3545" s="247" t="s">
        <v>265</v>
      </c>
      <c r="C3545" s="247" t="s">
        <v>1602</v>
      </c>
      <c r="D3545" s="247" t="s">
        <v>569</v>
      </c>
      <c r="E3545" s="247" t="s">
        <v>926</v>
      </c>
      <c r="F3545" s="247" t="s">
        <v>2416</v>
      </c>
      <c r="G3545" s="247" t="s">
        <v>1605</v>
      </c>
      <c r="H3545" s="247"/>
      <c r="I3545" s="247" t="s">
        <v>2417</v>
      </c>
      <c r="J3545" s="247">
        <v>73</v>
      </c>
      <c r="K3545" s="247">
        <v>73</v>
      </c>
      <c r="L3545" s="249" t="s">
        <v>642</v>
      </c>
      <c r="M3545" s="249" t="s">
        <v>929</v>
      </c>
      <c r="N3545" s="248">
        <v>0</v>
      </c>
      <c r="O3545" s="248">
        <v>16892.39</v>
      </c>
      <c r="P3545" s="247" t="s">
        <v>1606</v>
      </c>
      <c r="Q3545" s="247" t="s">
        <v>95</v>
      </c>
    </row>
    <row r="3546" spans="1:17" x14ac:dyDescent="0.25">
      <c r="A3546" s="247" t="s">
        <v>646</v>
      </c>
      <c r="B3546" s="247" t="s">
        <v>265</v>
      </c>
      <c r="C3546" s="247" t="s">
        <v>1607</v>
      </c>
      <c r="D3546" s="247" t="s">
        <v>926</v>
      </c>
      <c r="E3546" s="247" t="s">
        <v>926</v>
      </c>
      <c r="F3546" s="247" t="s">
        <v>2418</v>
      </c>
      <c r="G3546" s="247" t="s">
        <v>1608</v>
      </c>
      <c r="H3546" s="247"/>
      <c r="I3546" s="247" t="s">
        <v>2419</v>
      </c>
      <c r="J3546" s="247">
        <v>74</v>
      </c>
      <c r="K3546" s="247">
        <v>74</v>
      </c>
      <c r="L3546" s="249" t="s">
        <v>646</v>
      </c>
      <c r="M3546" s="249" t="s">
        <v>933</v>
      </c>
      <c r="N3546" s="248">
        <v>39413.61</v>
      </c>
      <c r="O3546" s="248">
        <v>389982.71999999997</v>
      </c>
      <c r="P3546" s="247" t="s">
        <v>1609</v>
      </c>
      <c r="Q3546" s="247" t="s">
        <v>84</v>
      </c>
    </row>
    <row r="3547" spans="1:17" x14ac:dyDescent="0.25">
      <c r="A3547" s="247" t="s">
        <v>646</v>
      </c>
      <c r="B3547" s="247" t="s">
        <v>265</v>
      </c>
      <c r="C3547" s="247" t="s">
        <v>1607</v>
      </c>
      <c r="D3547" s="247" t="s">
        <v>926</v>
      </c>
      <c r="E3547" s="247" t="s">
        <v>926</v>
      </c>
      <c r="F3547" s="247" t="s">
        <v>2418</v>
      </c>
      <c r="G3547" s="247" t="s">
        <v>1608</v>
      </c>
      <c r="H3547" s="247"/>
      <c r="I3547" s="247" t="s">
        <v>2419</v>
      </c>
      <c r="J3547" s="247">
        <v>74</v>
      </c>
      <c r="K3547" s="247">
        <v>74</v>
      </c>
      <c r="L3547" s="249" t="s">
        <v>650</v>
      </c>
      <c r="M3547" s="249" t="s">
        <v>933</v>
      </c>
      <c r="N3547" s="248">
        <v>38499.050000000003</v>
      </c>
      <c r="O3547" s="248">
        <v>428481.77</v>
      </c>
      <c r="P3547" s="247" t="s">
        <v>1609</v>
      </c>
      <c r="Q3547" s="247" t="s">
        <v>85</v>
      </c>
    </row>
    <row r="3548" spans="1:17" x14ac:dyDescent="0.25">
      <c r="A3548" s="247" t="s">
        <v>646</v>
      </c>
      <c r="B3548" s="247" t="s">
        <v>265</v>
      </c>
      <c r="C3548" s="247" t="s">
        <v>1607</v>
      </c>
      <c r="D3548" s="247" t="s">
        <v>926</v>
      </c>
      <c r="E3548" s="247" t="s">
        <v>926</v>
      </c>
      <c r="F3548" s="247" t="s">
        <v>2418</v>
      </c>
      <c r="G3548" s="247" t="s">
        <v>1608</v>
      </c>
      <c r="H3548" s="247"/>
      <c r="I3548" s="247" t="s">
        <v>2419</v>
      </c>
      <c r="J3548" s="247">
        <v>74</v>
      </c>
      <c r="K3548" s="247">
        <v>74</v>
      </c>
      <c r="L3548" s="249" t="s">
        <v>652</v>
      </c>
      <c r="M3548" s="249" t="s">
        <v>933</v>
      </c>
      <c r="N3548" s="248">
        <v>45352.09</v>
      </c>
      <c r="O3548" s="248">
        <v>473833.86</v>
      </c>
      <c r="P3548" s="247" t="s">
        <v>1609</v>
      </c>
      <c r="Q3548" s="247" t="s">
        <v>86</v>
      </c>
    </row>
    <row r="3549" spans="1:17" x14ac:dyDescent="0.25">
      <c r="A3549" s="247" t="s">
        <v>646</v>
      </c>
      <c r="B3549" s="247" t="s">
        <v>265</v>
      </c>
      <c r="C3549" s="247" t="s">
        <v>1607</v>
      </c>
      <c r="D3549" s="247" t="s">
        <v>926</v>
      </c>
      <c r="E3549" s="247" t="s">
        <v>926</v>
      </c>
      <c r="F3549" s="247" t="s">
        <v>2418</v>
      </c>
      <c r="G3549" s="247" t="s">
        <v>1608</v>
      </c>
      <c r="H3549" s="247"/>
      <c r="I3549" s="247" t="s">
        <v>2419</v>
      </c>
      <c r="J3549" s="247">
        <v>74</v>
      </c>
      <c r="K3549" s="247">
        <v>74</v>
      </c>
      <c r="L3549" s="249" t="s">
        <v>789</v>
      </c>
      <c r="M3549" s="249" t="s">
        <v>929</v>
      </c>
      <c r="N3549" s="248">
        <v>56145.66</v>
      </c>
      <c r="O3549" s="248">
        <v>56145.66</v>
      </c>
      <c r="P3549" s="247" t="s">
        <v>1609</v>
      </c>
      <c r="Q3549" s="247" t="s">
        <v>87</v>
      </c>
    </row>
    <row r="3550" spans="1:17" x14ac:dyDescent="0.25">
      <c r="A3550" s="247" t="s">
        <v>646</v>
      </c>
      <c r="B3550" s="247" t="s">
        <v>265</v>
      </c>
      <c r="C3550" s="247" t="s">
        <v>1607</v>
      </c>
      <c r="D3550" s="247" t="s">
        <v>926</v>
      </c>
      <c r="E3550" s="247" t="s">
        <v>926</v>
      </c>
      <c r="F3550" s="247" t="s">
        <v>2418</v>
      </c>
      <c r="G3550" s="247" t="s">
        <v>1608</v>
      </c>
      <c r="H3550" s="247"/>
      <c r="I3550" s="247" t="s">
        <v>2419</v>
      </c>
      <c r="J3550" s="247">
        <v>74</v>
      </c>
      <c r="K3550" s="247">
        <v>74</v>
      </c>
      <c r="L3550" s="249" t="s">
        <v>791</v>
      </c>
      <c r="M3550" s="249" t="s">
        <v>929</v>
      </c>
      <c r="N3550" s="248">
        <v>56233.21</v>
      </c>
      <c r="O3550" s="248">
        <v>112378.87</v>
      </c>
      <c r="P3550" s="247" t="s">
        <v>1609</v>
      </c>
      <c r="Q3550" s="247" t="s">
        <v>88</v>
      </c>
    </row>
    <row r="3551" spans="1:17" x14ac:dyDescent="0.25">
      <c r="A3551" s="247" t="s">
        <v>646</v>
      </c>
      <c r="B3551" s="247" t="s">
        <v>265</v>
      </c>
      <c r="C3551" s="247" t="s">
        <v>1607</v>
      </c>
      <c r="D3551" s="247" t="s">
        <v>926</v>
      </c>
      <c r="E3551" s="247" t="s">
        <v>926</v>
      </c>
      <c r="F3551" s="247" t="s">
        <v>2418</v>
      </c>
      <c r="G3551" s="247" t="s">
        <v>1608</v>
      </c>
      <c r="H3551" s="247"/>
      <c r="I3551" s="247" t="s">
        <v>2419</v>
      </c>
      <c r="J3551" s="247">
        <v>74</v>
      </c>
      <c r="K3551" s="247">
        <v>74</v>
      </c>
      <c r="L3551" s="249" t="s">
        <v>935</v>
      </c>
      <c r="M3551" s="249" t="s">
        <v>929</v>
      </c>
      <c r="N3551" s="248">
        <v>60229.31</v>
      </c>
      <c r="O3551" s="248">
        <v>172608.18</v>
      </c>
      <c r="P3551" s="247" t="s">
        <v>1609</v>
      </c>
      <c r="Q3551" s="247" t="s">
        <v>89</v>
      </c>
    </row>
    <row r="3552" spans="1:17" x14ac:dyDescent="0.25">
      <c r="A3552" s="247" t="s">
        <v>646</v>
      </c>
      <c r="B3552" s="247" t="s">
        <v>265</v>
      </c>
      <c r="C3552" s="247" t="s">
        <v>1607</v>
      </c>
      <c r="D3552" s="247" t="s">
        <v>926</v>
      </c>
      <c r="E3552" s="247" t="s">
        <v>926</v>
      </c>
      <c r="F3552" s="247" t="s">
        <v>2418</v>
      </c>
      <c r="G3552" s="247" t="s">
        <v>1608</v>
      </c>
      <c r="H3552" s="247"/>
      <c r="I3552" s="247" t="s">
        <v>2419</v>
      </c>
      <c r="J3552" s="247">
        <v>74</v>
      </c>
      <c r="K3552" s="247">
        <v>74</v>
      </c>
      <c r="L3552" s="249" t="s">
        <v>936</v>
      </c>
      <c r="M3552" s="249" t="s">
        <v>929</v>
      </c>
      <c r="N3552" s="248">
        <v>57590.3</v>
      </c>
      <c r="O3552" s="248">
        <v>230198.48</v>
      </c>
      <c r="P3552" s="247" t="s">
        <v>1609</v>
      </c>
      <c r="Q3552" s="247" t="s">
        <v>90</v>
      </c>
    </row>
    <row r="3553" spans="1:17" x14ac:dyDescent="0.25">
      <c r="A3553" s="247" t="s">
        <v>646</v>
      </c>
      <c r="B3553" s="247" t="s">
        <v>265</v>
      </c>
      <c r="C3553" s="247" t="s">
        <v>1607</v>
      </c>
      <c r="D3553" s="247" t="s">
        <v>926</v>
      </c>
      <c r="E3553" s="247" t="s">
        <v>926</v>
      </c>
      <c r="F3553" s="247" t="s">
        <v>2418</v>
      </c>
      <c r="G3553" s="247" t="s">
        <v>1608</v>
      </c>
      <c r="H3553" s="247"/>
      <c r="I3553" s="247" t="s">
        <v>2419</v>
      </c>
      <c r="J3553" s="247">
        <v>74</v>
      </c>
      <c r="K3553" s="247">
        <v>74</v>
      </c>
      <c r="L3553" s="249" t="s">
        <v>937</v>
      </c>
      <c r="M3553" s="249" t="s">
        <v>929</v>
      </c>
      <c r="N3553" s="248">
        <v>58655.19</v>
      </c>
      <c r="O3553" s="248">
        <v>288853.67</v>
      </c>
      <c r="P3553" s="247" t="s">
        <v>1609</v>
      </c>
      <c r="Q3553" s="247" t="s">
        <v>91</v>
      </c>
    </row>
    <row r="3554" spans="1:17" x14ac:dyDescent="0.25">
      <c r="A3554" s="247" t="s">
        <v>646</v>
      </c>
      <c r="B3554" s="247" t="s">
        <v>265</v>
      </c>
      <c r="C3554" s="247" t="s">
        <v>1607</v>
      </c>
      <c r="D3554" s="247" t="s">
        <v>926</v>
      </c>
      <c r="E3554" s="247" t="s">
        <v>926</v>
      </c>
      <c r="F3554" s="247" t="s">
        <v>2418</v>
      </c>
      <c r="G3554" s="247" t="s">
        <v>1608</v>
      </c>
      <c r="H3554" s="247"/>
      <c r="I3554" s="247" t="s">
        <v>2419</v>
      </c>
      <c r="J3554" s="247">
        <v>74</v>
      </c>
      <c r="K3554" s="247">
        <v>74</v>
      </c>
      <c r="L3554" s="249" t="s">
        <v>938</v>
      </c>
      <c r="M3554" s="249" t="s">
        <v>929</v>
      </c>
      <c r="N3554" s="248">
        <v>58181.9</v>
      </c>
      <c r="O3554" s="248">
        <v>347035.57</v>
      </c>
      <c r="P3554" s="247" t="s">
        <v>1609</v>
      </c>
      <c r="Q3554" s="247" t="s">
        <v>92</v>
      </c>
    </row>
    <row r="3555" spans="1:17" x14ac:dyDescent="0.25">
      <c r="A3555" s="247" t="s">
        <v>646</v>
      </c>
      <c r="B3555" s="247" t="s">
        <v>265</v>
      </c>
      <c r="C3555" s="247" t="s">
        <v>1607</v>
      </c>
      <c r="D3555" s="247" t="s">
        <v>926</v>
      </c>
      <c r="E3555" s="247" t="s">
        <v>926</v>
      </c>
      <c r="F3555" s="247" t="s">
        <v>2418</v>
      </c>
      <c r="G3555" s="247" t="s">
        <v>1608</v>
      </c>
      <c r="H3555" s="247"/>
      <c r="I3555" s="247" t="s">
        <v>2419</v>
      </c>
      <c r="J3555" s="247">
        <v>74</v>
      </c>
      <c r="K3555" s="247">
        <v>74</v>
      </c>
      <c r="L3555" s="249" t="s">
        <v>939</v>
      </c>
      <c r="M3555" s="249" t="s">
        <v>929</v>
      </c>
      <c r="N3555" s="248">
        <v>59992.18</v>
      </c>
      <c r="O3555" s="248">
        <v>407027.75</v>
      </c>
      <c r="P3555" s="247" t="s">
        <v>1609</v>
      </c>
      <c r="Q3555" s="247" t="s">
        <v>93</v>
      </c>
    </row>
    <row r="3556" spans="1:17" x14ac:dyDescent="0.25">
      <c r="A3556" s="247" t="s">
        <v>646</v>
      </c>
      <c r="B3556" s="247" t="s">
        <v>265</v>
      </c>
      <c r="C3556" s="247" t="s">
        <v>1607</v>
      </c>
      <c r="D3556" s="247" t="s">
        <v>926</v>
      </c>
      <c r="E3556" s="247" t="s">
        <v>926</v>
      </c>
      <c r="F3556" s="247" t="s">
        <v>2418</v>
      </c>
      <c r="G3556" s="247" t="s">
        <v>1608</v>
      </c>
      <c r="H3556" s="247"/>
      <c r="I3556" s="247" t="s">
        <v>2419</v>
      </c>
      <c r="J3556" s="247">
        <v>74</v>
      </c>
      <c r="K3556" s="247">
        <v>74</v>
      </c>
      <c r="L3556" s="249" t="s">
        <v>940</v>
      </c>
      <c r="M3556" s="249" t="s">
        <v>929</v>
      </c>
      <c r="N3556" s="248">
        <v>61828.14</v>
      </c>
      <c r="O3556" s="248">
        <v>468855.89</v>
      </c>
      <c r="P3556" s="247" t="s">
        <v>1609</v>
      </c>
      <c r="Q3556" s="247" t="s">
        <v>94</v>
      </c>
    </row>
    <row r="3557" spans="1:17" x14ac:dyDescent="0.25">
      <c r="A3557" s="247" t="s">
        <v>646</v>
      </c>
      <c r="B3557" s="247" t="s">
        <v>265</v>
      </c>
      <c r="C3557" s="247" t="s">
        <v>1607</v>
      </c>
      <c r="D3557" s="247" t="s">
        <v>926</v>
      </c>
      <c r="E3557" s="247" t="s">
        <v>926</v>
      </c>
      <c r="F3557" s="247" t="s">
        <v>2418</v>
      </c>
      <c r="G3557" s="247" t="s">
        <v>1608</v>
      </c>
      <c r="H3557" s="247"/>
      <c r="I3557" s="247" t="s">
        <v>2419</v>
      </c>
      <c r="J3557" s="247">
        <v>74</v>
      </c>
      <c r="K3557" s="247">
        <v>74</v>
      </c>
      <c r="L3557" s="249" t="s">
        <v>642</v>
      </c>
      <c r="M3557" s="249" t="s">
        <v>929</v>
      </c>
      <c r="N3557" s="248">
        <v>59575.6</v>
      </c>
      <c r="O3557" s="248">
        <v>528431.49</v>
      </c>
      <c r="P3557" s="247" t="s">
        <v>1609</v>
      </c>
      <c r="Q3557" s="247" t="s">
        <v>95</v>
      </c>
    </row>
    <row r="3558" spans="1:17" x14ac:dyDescent="0.25">
      <c r="A3558" s="247" t="s">
        <v>646</v>
      </c>
      <c r="B3558" s="247" t="s">
        <v>265</v>
      </c>
      <c r="C3558" s="247" t="s">
        <v>1607</v>
      </c>
      <c r="D3558" s="247" t="s">
        <v>569</v>
      </c>
      <c r="E3558" s="247" t="s">
        <v>926</v>
      </c>
      <c r="F3558" s="247" t="s">
        <v>2420</v>
      </c>
      <c r="G3558" s="247" t="s">
        <v>1610</v>
      </c>
      <c r="H3558" s="247"/>
      <c r="I3558" s="247" t="s">
        <v>2421</v>
      </c>
      <c r="J3558" s="247">
        <v>74</v>
      </c>
      <c r="K3558" s="247">
        <v>74</v>
      </c>
      <c r="L3558" s="249" t="s">
        <v>791</v>
      </c>
      <c r="M3558" s="249" t="s">
        <v>929</v>
      </c>
      <c r="N3558" s="248">
        <v>0.62</v>
      </c>
      <c r="O3558" s="248">
        <v>0.62</v>
      </c>
      <c r="P3558" s="247" t="s">
        <v>1611</v>
      </c>
      <c r="Q3558" s="247" t="s">
        <v>88</v>
      </c>
    </row>
    <row r="3559" spans="1:17" x14ac:dyDescent="0.25">
      <c r="A3559" s="247" t="s">
        <v>646</v>
      </c>
      <c r="B3559" s="247" t="s">
        <v>265</v>
      </c>
      <c r="C3559" s="247" t="s">
        <v>1607</v>
      </c>
      <c r="D3559" s="247" t="s">
        <v>569</v>
      </c>
      <c r="E3559" s="247" t="s">
        <v>926</v>
      </c>
      <c r="F3559" s="247" t="s">
        <v>2420</v>
      </c>
      <c r="G3559" s="247" t="s">
        <v>1610</v>
      </c>
      <c r="H3559" s="247"/>
      <c r="I3559" s="247" t="s">
        <v>2421</v>
      </c>
      <c r="J3559" s="247">
        <v>74</v>
      </c>
      <c r="K3559" s="247">
        <v>74</v>
      </c>
      <c r="L3559" s="249" t="s">
        <v>935</v>
      </c>
      <c r="M3559" s="249" t="s">
        <v>929</v>
      </c>
      <c r="N3559" s="248">
        <v>0</v>
      </c>
      <c r="O3559" s="248">
        <v>0.62</v>
      </c>
      <c r="P3559" s="247" t="s">
        <v>1611</v>
      </c>
      <c r="Q3559" s="247" t="s">
        <v>89</v>
      </c>
    </row>
    <row r="3560" spans="1:17" x14ac:dyDescent="0.25">
      <c r="A3560" s="247" t="s">
        <v>646</v>
      </c>
      <c r="B3560" s="247" t="s">
        <v>265</v>
      </c>
      <c r="C3560" s="247" t="s">
        <v>1607</v>
      </c>
      <c r="D3560" s="247" t="s">
        <v>569</v>
      </c>
      <c r="E3560" s="247" t="s">
        <v>926</v>
      </c>
      <c r="F3560" s="247" t="s">
        <v>2420</v>
      </c>
      <c r="G3560" s="247" t="s">
        <v>1610</v>
      </c>
      <c r="H3560" s="247"/>
      <c r="I3560" s="247" t="s">
        <v>2421</v>
      </c>
      <c r="J3560" s="247">
        <v>74</v>
      </c>
      <c r="K3560" s="247">
        <v>74</v>
      </c>
      <c r="L3560" s="249" t="s">
        <v>936</v>
      </c>
      <c r="M3560" s="249" t="s">
        <v>929</v>
      </c>
      <c r="N3560" s="248">
        <v>0</v>
      </c>
      <c r="O3560" s="248">
        <v>0.62</v>
      </c>
      <c r="P3560" s="247" t="s">
        <v>1611</v>
      </c>
      <c r="Q3560" s="247" t="s">
        <v>90</v>
      </c>
    </row>
    <row r="3561" spans="1:17" x14ac:dyDescent="0.25">
      <c r="A3561" s="247" t="s">
        <v>646</v>
      </c>
      <c r="B3561" s="247" t="s">
        <v>265</v>
      </c>
      <c r="C3561" s="247" t="s">
        <v>1607</v>
      </c>
      <c r="D3561" s="247" t="s">
        <v>569</v>
      </c>
      <c r="E3561" s="247" t="s">
        <v>926</v>
      </c>
      <c r="F3561" s="247" t="s">
        <v>2420</v>
      </c>
      <c r="G3561" s="247" t="s">
        <v>1610</v>
      </c>
      <c r="H3561" s="247"/>
      <c r="I3561" s="247" t="s">
        <v>2421</v>
      </c>
      <c r="J3561" s="247">
        <v>74</v>
      </c>
      <c r="K3561" s="247">
        <v>74</v>
      </c>
      <c r="L3561" s="249" t="s">
        <v>937</v>
      </c>
      <c r="M3561" s="249" t="s">
        <v>929</v>
      </c>
      <c r="N3561" s="248">
        <v>0</v>
      </c>
      <c r="O3561" s="248">
        <v>0.62</v>
      </c>
      <c r="P3561" s="247" t="s">
        <v>1611</v>
      </c>
      <c r="Q3561" s="247" t="s">
        <v>91</v>
      </c>
    </row>
    <row r="3562" spans="1:17" x14ac:dyDescent="0.25">
      <c r="A3562" s="247" t="s">
        <v>646</v>
      </c>
      <c r="B3562" s="247" t="s">
        <v>265</v>
      </c>
      <c r="C3562" s="247" t="s">
        <v>1607</v>
      </c>
      <c r="D3562" s="247" t="s">
        <v>569</v>
      </c>
      <c r="E3562" s="247" t="s">
        <v>926</v>
      </c>
      <c r="F3562" s="247" t="s">
        <v>2420</v>
      </c>
      <c r="G3562" s="247" t="s">
        <v>1610</v>
      </c>
      <c r="H3562" s="247"/>
      <c r="I3562" s="247" t="s">
        <v>2421</v>
      </c>
      <c r="J3562" s="247">
        <v>74</v>
      </c>
      <c r="K3562" s="247">
        <v>74</v>
      </c>
      <c r="L3562" s="249" t="s">
        <v>938</v>
      </c>
      <c r="M3562" s="249" t="s">
        <v>929</v>
      </c>
      <c r="N3562" s="248">
        <v>0</v>
      </c>
      <c r="O3562" s="248">
        <v>0.62</v>
      </c>
      <c r="P3562" s="247" t="s">
        <v>1611</v>
      </c>
      <c r="Q3562" s="247" t="s">
        <v>92</v>
      </c>
    </row>
    <row r="3563" spans="1:17" x14ac:dyDescent="0.25">
      <c r="A3563" s="247" t="s">
        <v>646</v>
      </c>
      <c r="B3563" s="247" t="s">
        <v>265</v>
      </c>
      <c r="C3563" s="247" t="s">
        <v>1607</v>
      </c>
      <c r="D3563" s="247" t="s">
        <v>569</v>
      </c>
      <c r="E3563" s="247" t="s">
        <v>926</v>
      </c>
      <c r="F3563" s="247" t="s">
        <v>2420</v>
      </c>
      <c r="G3563" s="247" t="s">
        <v>1610</v>
      </c>
      <c r="H3563" s="247"/>
      <c r="I3563" s="247" t="s">
        <v>2421</v>
      </c>
      <c r="J3563" s="247">
        <v>74</v>
      </c>
      <c r="K3563" s="247">
        <v>74</v>
      </c>
      <c r="L3563" s="249" t="s">
        <v>939</v>
      </c>
      <c r="M3563" s="249" t="s">
        <v>929</v>
      </c>
      <c r="N3563" s="248">
        <v>0</v>
      </c>
      <c r="O3563" s="248">
        <v>0.62</v>
      </c>
      <c r="P3563" s="247" t="s">
        <v>1611</v>
      </c>
      <c r="Q3563" s="247" t="s">
        <v>93</v>
      </c>
    </row>
    <row r="3564" spans="1:17" x14ac:dyDescent="0.25">
      <c r="A3564" s="247" t="s">
        <v>646</v>
      </c>
      <c r="B3564" s="247" t="s">
        <v>265</v>
      </c>
      <c r="C3564" s="247" t="s">
        <v>1607</v>
      </c>
      <c r="D3564" s="247" t="s">
        <v>569</v>
      </c>
      <c r="E3564" s="247" t="s">
        <v>926</v>
      </c>
      <c r="F3564" s="247" t="s">
        <v>2420</v>
      </c>
      <c r="G3564" s="247" t="s">
        <v>1610</v>
      </c>
      <c r="H3564" s="247"/>
      <c r="I3564" s="247" t="s">
        <v>2421</v>
      </c>
      <c r="J3564" s="247">
        <v>74</v>
      </c>
      <c r="K3564" s="247">
        <v>74</v>
      </c>
      <c r="L3564" s="249" t="s">
        <v>940</v>
      </c>
      <c r="M3564" s="249" t="s">
        <v>929</v>
      </c>
      <c r="N3564" s="248">
        <v>0</v>
      </c>
      <c r="O3564" s="248">
        <v>0.62</v>
      </c>
      <c r="P3564" s="247" t="s">
        <v>1611</v>
      </c>
      <c r="Q3564" s="247" t="s">
        <v>94</v>
      </c>
    </row>
    <row r="3565" spans="1:17" x14ac:dyDescent="0.25">
      <c r="A3565" s="247" t="s">
        <v>646</v>
      </c>
      <c r="B3565" s="247" t="s">
        <v>265</v>
      </c>
      <c r="C3565" s="247" t="s">
        <v>1607</v>
      </c>
      <c r="D3565" s="247" t="s">
        <v>569</v>
      </c>
      <c r="E3565" s="247" t="s">
        <v>926</v>
      </c>
      <c r="F3565" s="247" t="s">
        <v>2420</v>
      </c>
      <c r="G3565" s="247" t="s">
        <v>1610</v>
      </c>
      <c r="H3565" s="247"/>
      <c r="I3565" s="247" t="s">
        <v>2421</v>
      </c>
      <c r="J3565" s="247">
        <v>74</v>
      </c>
      <c r="K3565" s="247">
        <v>74</v>
      </c>
      <c r="L3565" s="249" t="s">
        <v>642</v>
      </c>
      <c r="M3565" s="249" t="s">
        <v>929</v>
      </c>
      <c r="N3565" s="248">
        <v>0</v>
      </c>
      <c r="O3565" s="248">
        <v>0.62</v>
      </c>
      <c r="P3565" s="247" t="s">
        <v>1611</v>
      </c>
      <c r="Q3565" s="247" t="s">
        <v>95</v>
      </c>
    </row>
    <row r="3566" spans="1:17" x14ac:dyDescent="0.25">
      <c r="A3566" s="247" t="s">
        <v>646</v>
      </c>
      <c r="B3566" s="247" t="s">
        <v>265</v>
      </c>
      <c r="C3566" s="247" t="s">
        <v>1612</v>
      </c>
      <c r="D3566" s="247" t="s">
        <v>926</v>
      </c>
      <c r="E3566" s="247" t="s">
        <v>926</v>
      </c>
      <c r="F3566" s="247" t="s">
        <v>2422</v>
      </c>
      <c r="G3566" s="247" t="s">
        <v>1613</v>
      </c>
      <c r="H3566" s="247"/>
      <c r="I3566" s="247" t="s">
        <v>2423</v>
      </c>
      <c r="J3566" s="247">
        <v>75</v>
      </c>
      <c r="K3566" s="247">
        <v>75</v>
      </c>
      <c r="L3566" s="249" t="s">
        <v>646</v>
      </c>
      <c r="M3566" s="249" t="s">
        <v>933</v>
      </c>
      <c r="N3566" s="248">
        <v>17889.54</v>
      </c>
      <c r="O3566" s="248">
        <v>173213.67</v>
      </c>
      <c r="P3566" s="247" t="s">
        <v>1614</v>
      </c>
      <c r="Q3566" s="247" t="s">
        <v>84</v>
      </c>
    </row>
    <row r="3567" spans="1:17" x14ac:dyDescent="0.25">
      <c r="A3567" s="247" t="s">
        <v>646</v>
      </c>
      <c r="B3567" s="247" t="s">
        <v>265</v>
      </c>
      <c r="C3567" s="247" t="s">
        <v>1612</v>
      </c>
      <c r="D3567" s="247" t="s">
        <v>926</v>
      </c>
      <c r="E3567" s="247" t="s">
        <v>926</v>
      </c>
      <c r="F3567" s="247" t="s">
        <v>2422</v>
      </c>
      <c r="G3567" s="247" t="s">
        <v>1613</v>
      </c>
      <c r="H3567" s="247"/>
      <c r="I3567" s="247" t="s">
        <v>2423</v>
      </c>
      <c r="J3567" s="247">
        <v>75</v>
      </c>
      <c r="K3567" s="247">
        <v>75</v>
      </c>
      <c r="L3567" s="249" t="s">
        <v>650</v>
      </c>
      <c r="M3567" s="249" t="s">
        <v>933</v>
      </c>
      <c r="N3567" s="248">
        <v>16747.43</v>
      </c>
      <c r="O3567" s="248">
        <v>189961.1</v>
      </c>
      <c r="P3567" s="247" t="s">
        <v>1614</v>
      </c>
      <c r="Q3567" s="247" t="s">
        <v>85</v>
      </c>
    </row>
    <row r="3568" spans="1:17" x14ac:dyDescent="0.25">
      <c r="A3568" s="247" t="s">
        <v>646</v>
      </c>
      <c r="B3568" s="247" t="s">
        <v>265</v>
      </c>
      <c r="C3568" s="247" t="s">
        <v>1612</v>
      </c>
      <c r="D3568" s="247" t="s">
        <v>926</v>
      </c>
      <c r="E3568" s="247" t="s">
        <v>926</v>
      </c>
      <c r="F3568" s="247" t="s">
        <v>2422</v>
      </c>
      <c r="G3568" s="247" t="s">
        <v>1613</v>
      </c>
      <c r="H3568" s="247"/>
      <c r="I3568" s="247" t="s">
        <v>2423</v>
      </c>
      <c r="J3568" s="247">
        <v>75</v>
      </c>
      <c r="K3568" s="247">
        <v>75</v>
      </c>
      <c r="L3568" s="249" t="s">
        <v>652</v>
      </c>
      <c r="M3568" s="249" t="s">
        <v>933</v>
      </c>
      <c r="N3568" s="248">
        <v>17951.099999999999</v>
      </c>
      <c r="O3568" s="248">
        <v>207912.2</v>
      </c>
      <c r="P3568" s="247" t="s">
        <v>1614</v>
      </c>
      <c r="Q3568" s="247" t="s">
        <v>86</v>
      </c>
    </row>
    <row r="3569" spans="1:17" x14ac:dyDescent="0.25">
      <c r="A3569" s="247" t="s">
        <v>646</v>
      </c>
      <c r="B3569" s="247" t="s">
        <v>265</v>
      </c>
      <c r="C3569" s="247" t="s">
        <v>1612</v>
      </c>
      <c r="D3569" s="247" t="s">
        <v>926</v>
      </c>
      <c r="E3569" s="247" t="s">
        <v>926</v>
      </c>
      <c r="F3569" s="247" t="s">
        <v>2422</v>
      </c>
      <c r="G3569" s="247" t="s">
        <v>1613</v>
      </c>
      <c r="H3569" s="247"/>
      <c r="I3569" s="247" t="s">
        <v>2423</v>
      </c>
      <c r="J3569" s="247">
        <v>75</v>
      </c>
      <c r="K3569" s="247">
        <v>75</v>
      </c>
      <c r="L3569" s="249" t="s">
        <v>789</v>
      </c>
      <c r="M3569" s="249" t="s">
        <v>929</v>
      </c>
      <c r="N3569" s="248">
        <v>18128.080000000002</v>
      </c>
      <c r="O3569" s="248">
        <v>18128.080000000002</v>
      </c>
      <c r="P3569" s="247" t="s">
        <v>1614</v>
      </c>
      <c r="Q3569" s="247" t="s">
        <v>87</v>
      </c>
    </row>
    <row r="3570" spans="1:17" x14ac:dyDescent="0.25">
      <c r="A3570" s="247" t="s">
        <v>646</v>
      </c>
      <c r="B3570" s="247" t="s">
        <v>265</v>
      </c>
      <c r="C3570" s="247" t="s">
        <v>1612</v>
      </c>
      <c r="D3570" s="247" t="s">
        <v>926</v>
      </c>
      <c r="E3570" s="247" t="s">
        <v>926</v>
      </c>
      <c r="F3570" s="247" t="s">
        <v>2422</v>
      </c>
      <c r="G3570" s="247" t="s">
        <v>1613</v>
      </c>
      <c r="H3570" s="247"/>
      <c r="I3570" s="247" t="s">
        <v>2423</v>
      </c>
      <c r="J3570" s="247">
        <v>75</v>
      </c>
      <c r="K3570" s="247">
        <v>75</v>
      </c>
      <c r="L3570" s="249" t="s">
        <v>791</v>
      </c>
      <c r="M3570" s="249" t="s">
        <v>929</v>
      </c>
      <c r="N3570" s="248">
        <v>16590.09</v>
      </c>
      <c r="O3570" s="248">
        <v>34718.17</v>
      </c>
      <c r="P3570" s="247" t="s">
        <v>1614</v>
      </c>
      <c r="Q3570" s="247" t="s">
        <v>88</v>
      </c>
    </row>
    <row r="3571" spans="1:17" x14ac:dyDescent="0.25">
      <c r="A3571" s="247" t="s">
        <v>646</v>
      </c>
      <c r="B3571" s="247" t="s">
        <v>265</v>
      </c>
      <c r="C3571" s="247" t="s">
        <v>1612</v>
      </c>
      <c r="D3571" s="247" t="s">
        <v>926</v>
      </c>
      <c r="E3571" s="247" t="s">
        <v>926</v>
      </c>
      <c r="F3571" s="247" t="s">
        <v>2422</v>
      </c>
      <c r="G3571" s="247" t="s">
        <v>1613</v>
      </c>
      <c r="H3571" s="247"/>
      <c r="I3571" s="247" t="s">
        <v>2423</v>
      </c>
      <c r="J3571" s="247">
        <v>75</v>
      </c>
      <c r="K3571" s="247">
        <v>75</v>
      </c>
      <c r="L3571" s="249" t="s">
        <v>935</v>
      </c>
      <c r="M3571" s="249" t="s">
        <v>929</v>
      </c>
      <c r="N3571" s="248">
        <v>19098.080000000002</v>
      </c>
      <c r="O3571" s="248">
        <v>53816.25</v>
      </c>
      <c r="P3571" s="247" t="s">
        <v>1614</v>
      </c>
      <c r="Q3571" s="247" t="s">
        <v>89</v>
      </c>
    </row>
    <row r="3572" spans="1:17" x14ac:dyDescent="0.25">
      <c r="A3572" s="247" t="s">
        <v>646</v>
      </c>
      <c r="B3572" s="247" t="s">
        <v>265</v>
      </c>
      <c r="C3572" s="247" t="s">
        <v>1612</v>
      </c>
      <c r="D3572" s="247" t="s">
        <v>926</v>
      </c>
      <c r="E3572" s="247" t="s">
        <v>926</v>
      </c>
      <c r="F3572" s="247" t="s">
        <v>2422</v>
      </c>
      <c r="G3572" s="247" t="s">
        <v>1613</v>
      </c>
      <c r="H3572" s="247"/>
      <c r="I3572" s="247" t="s">
        <v>2423</v>
      </c>
      <c r="J3572" s="247">
        <v>75</v>
      </c>
      <c r="K3572" s="247">
        <v>75</v>
      </c>
      <c r="L3572" s="249" t="s">
        <v>936</v>
      </c>
      <c r="M3572" s="249" t="s">
        <v>929</v>
      </c>
      <c r="N3572" s="248">
        <v>18218.52</v>
      </c>
      <c r="O3572" s="248">
        <v>72034.77</v>
      </c>
      <c r="P3572" s="247" t="s">
        <v>1614</v>
      </c>
      <c r="Q3572" s="247" t="s">
        <v>90</v>
      </c>
    </row>
    <row r="3573" spans="1:17" x14ac:dyDescent="0.25">
      <c r="A3573" s="247" t="s">
        <v>646</v>
      </c>
      <c r="B3573" s="247" t="s">
        <v>265</v>
      </c>
      <c r="C3573" s="247" t="s">
        <v>1612</v>
      </c>
      <c r="D3573" s="247" t="s">
        <v>926</v>
      </c>
      <c r="E3573" s="247" t="s">
        <v>926</v>
      </c>
      <c r="F3573" s="247" t="s">
        <v>2422</v>
      </c>
      <c r="G3573" s="247" t="s">
        <v>1613</v>
      </c>
      <c r="H3573" s="247"/>
      <c r="I3573" s="247" t="s">
        <v>2423</v>
      </c>
      <c r="J3573" s="247">
        <v>75</v>
      </c>
      <c r="K3573" s="247">
        <v>75</v>
      </c>
      <c r="L3573" s="249" t="s">
        <v>937</v>
      </c>
      <c r="M3573" s="249" t="s">
        <v>929</v>
      </c>
      <c r="N3573" s="248">
        <v>18854.34</v>
      </c>
      <c r="O3573" s="248">
        <v>90889.11</v>
      </c>
      <c r="P3573" s="247" t="s">
        <v>1614</v>
      </c>
      <c r="Q3573" s="247" t="s">
        <v>91</v>
      </c>
    </row>
    <row r="3574" spans="1:17" x14ac:dyDescent="0.25">
      <c r="A3574" s="247" t="s">
        <v>646</v>
      </c>
      <c r="B3574" s="247" t="s">
        <v>265</v>
      </c>
      <c r="C3574" s="247" t="s">
        <v>1612</v>
      </c>
      <c r="D3574" s="247" t="s">
        <v>926</v>
      </c>
      <c r="E3574" s="247" t="s">
        <v>926</v>
      </c>
      <c r="F3574" s="247" t="s">
        <v>2422</v>
      </c>
      <c r="G3574" s="247" t="s">
        <v>1613</v>
      </c>
      <c r="H3574" s="247"/>
      <c r="I3574" s="247" t="s">
        <v>2423</v>
      </c>
      <c r="J3574" s="247">
        <v>75</v>
      </c>
      <c r="K3574" s="247">
        <v>75</v>
      </c>
      <c r="L3574" s="249" t="s">
        <v>938</v>
      </c>
      <c r="M3574" s="249" t="s">
        <v>929</v>
      </c>
      <c r="N3574" s="248">
        <v>19000.02</v>
      </c>
      <c r="O3574" s="248">
        <v>109889.13</v>
      </c>
      <c r="P3574" s="247" t="s">
        <v>1614</v>
      </c>
      <c r="Q3574" s="247" t="s">
        <v>92</v>
      </c>
    </row>
    <row r="3575" spans="1:17" x14ac:dyDescent="0.25">
      <c r="A3575" s="247" t="s">
        <v>646</v>
      </c>
      <c r="B3575" s="247" t="s">
        <v>265</v>
      </c>
      <c r="C3575" s="247" t="s">
        <v>1612</v>
      </c>
      <c r="D3575" s="247" t="s">
        <v>926</v>
      </c>
      <c r="E3575" s="247" t="s">
        <v>926</v>
      </c>
      <c r="F3575" s="247" t="s">
        <v>2422</v>
      </c>
      <c r="G3575" s="247" t="s">
        <v>1613</v>
      </c>
      <c r="H3575" s="247"/>
      <c r="I3575" s="247" t="s">
        <v>2423</v>
      </c>
      <c r="J3575" s="247">
        <v>75</v>
      </c>
      <c r="K3575" s="247">
        <v>75</v>
      </c>
      <c r="L3575" s="249" t="s">
        <v>939</v>
      </c>
      <c r="M3575" s="249" t="s">
        <v>929</v>
      </c>
      <c r="N3575" s="248">
        <v>19188.11</v>
      </c>
      <c r="O3575" s="248">
        <v>129077.24</v>
      </c>
      <c r="P3575" s="247" t="s">
        <v>1614</v>
      </c>
      <c r="Q3575" s="247" t="s">
        <v>93</v>
      </c>
    </row>
    <row r="3576" spans="1:17" x14ac:dyDescent="0.25">
      <c r="A3576" s="247" t="s">
        <v>646</v>
      </c>
      <c r="B3576" s="247" t="s">
        <v>265</v>
      </c>
      <c r="C3576" s="247" t="s">
        <v>1612</v>
      </c>
      <c r="D3576" s="247" t="s">
        <v>926</v>
      </c>
      <c r="E3576" s="247" t="s">
        <v>926</v>
      </c>
      <c r="F3576" s="247" t="s">
        <v>2422</v>
      </c>
      <c r="G3576" s="247" t="s">
        <v>1613</v>
      </c>
      <c r="H3576" s="247"/>
      <c r="I3576" s="247" t="s">
        <v>2423</v>
      </c>
      <c r="J3576" s="247">
        <v>75</v>
      </c>
      <c r="K3576" s="247">
        <v>75</v>
      </c>
      <c r="L3576" s="249" t="s">
        <v>940</v>
      </c>
      <c r="M3576" s="249" t="s">
        <v>929</v>
      </c>
      <c r="N3576" s="248">
        <v>19835.84</v>
      </c>
      <c r="O3576" s="248">
        <v>148913.07999999999</v>
      </c>
      <c r="P3576" s="247" t="s">
        <v>1614</v>
      </c>
      <c r="Q3576" s="247" t="s">
        <v>94</v>
      </c>
    </row>
    <row r="3577" spans="1:17" x14ac:dyDescent="0.25">
      <c r="A3577" s="247" t="s">
        <v>646</v>
      </c>
      <c r="B3577" s="247" t="s">
        <v>265</v>
      </c>
      <c r="C3577" s="247" t="s">
        <v>1612</v>
      </c>
      <c r="D3577" s="247" t="s">
        <v>926</v>
      </c>
      <c r="E3577" s="247" t="s">
        <v>926</v>
      </c>
      <c r="F3577" s="247" t="s">
        <v>2422</v>
      </c>
      <c r="G3577" s="247" t="s">
        <v>1613</v>
      </c>
      <c r="H3577" s="247"/>
      <c r="I3577" s="247" t="s">
        <v>2423</v>
      </c>
      <c r="J3577" s="247">
        <v>75</v>
      </c>
      <c r="K3577" s="247">
        <v>75</v>
      </c>
      <c r="L3577" s="249" t="s">
        <v>642</v>
      </c>
      <c r="M3577" s="249" t="s">
        <v>929</v>
      </c>
      <c r="N3577" s="248">
        <v>19441.400000000001</v>
      </c>
      <c r="O3577" s="248">
        <v>168354.48</v>
      </c>
      <c r="P3577" s="247" t="s">
        <v>1614</v>
      </c>
      <c r="Q3577" s="247" t="s">
        <v>95</v>
      </c>
    </row>
    <row r="3578" spans="1:17" x14ac:dyDescent="0.25">
      <c r="A3578" s="247" t="s">
        <v>646</v>
      </c>
      <c r="B3578" s="247" t="s">
        <v>265</v>
      </c>
      <c r="C3578" s="247" t="s">
        <v>1615</v>
      </c>
      <c r="D3578" s="247" t="s">
        <v>926</v>
      </c>
      <c r="E3578" s="247" t="s">
        <v>926</v>
      </c>
      <c r="F3578" s="247" t="s">
        <v>2424</v>
      </c>
      <c r="G3578" s="247" t="s">
        <v>1616</v>
      </c>
      <c r="H3578" s="247"/>
      <c r="I3578" s="247" t="s">
        <v>2425</v>
      </c>
      <c r="J3578" s="247">
        <v>76</v>
      </c>
      <c r="K3578" s="247">
        <v>76</v>
      </c>
      <c r="L3578" s="249" t="s">
        <v>646</v>
      </c>
      <c r="M3578" s="249" t="s">
        <v>933</v>
      </c>
      <c r="N3578" s="248">
        <v>1623.76</v>
      </c>
      <c r="O3578" s="248">
        <v>14752.59</v>
      </c>
      <c r="P3578" s="247" t="s">
        <v>1617</v>
      </c>
      <c r="Q3578" s="247" t="s">
        <v>84</v>
      </c>
    </row>
    <row r="3579" spans="1:17" x14ac:dyDescent="0.25">
      <c r="A3579" s="247" t="s">
        <v>646</v>
      </c>
      <c r="B3579" s="247" t="s">
        <v>265</v>
      </c>
      <c r="C3579" s="247" t="s">
        <v>1615</v>
      </c>
      <c r="D3579" s="247" t="s">
        <v>926</v>
      </c>
      <c r="E3579" s="247" t="s">
        <v>926</v>
      </c>
      <c r="F3579" s="247" t="s">
        <v>2424</v>
      </c>
      <c r="G3579" s="247" t="s">
        <v>1616</v>
      </c>
      <c r="H3579" s="247"/>
      <c r="I3579" s="247" t="s">
        <v>2425</v>
      </c>
      <c r="J3579" s="247">
        <v>76</v>
      </c>
      <c r="K3579" s="247">
        <v>76</v>
      </c>
      <c r="L3579" s="249" t="s">
        <v>650</v>
      </c>
      <c r="M3579" s="249" t="s">
        <v>933</v>
      </c>
      <c r="N3579" s="248">
        <v>1440.09</v>
      </c>
      <c r="O3579" s="248">
        <v>16192.68</v>
      </c>
      <c r="P3579" s="247" t="s">
        <v>1617</v>
      </c>
      <c r="Q3579" s="247" t="s">
        <v>85</v>
      </c>
    </row>
    <row r="3580" spans="1:17" x14ac:dyDescent="0.25">
      <c r="A3580" s="247" t="s">
        <v>646</v>
      </c>
      <c r="B3580" s="247" t="s">
        <v>265</v>
      </c>
      <c r="C3580" s="247" t="s">
        <v>1615</v>
      </c>
      <c r="D3580" s="247" t="s">
        <v>926</v>
      </c>
      <c r="E3580" s="247" t="s">
        <v>926</v>
      </c>
      <c r="F3580" s="247" t="s">
        <v>2424</v>
      </c>
      <c r="G3580" s="247" t="s">
        <v>1616</v>
      </c>
      <c r="H3580" s="247"/>
      <c r="I3580" s="247" t="s">
        <v>2425</v>
      </c>
      <c r="J3580" s="247">
        <v>76</v>
      </c>
      <c r="K3580" s="247">
        <v>76</v>
      </c>
      <c r="L3580" s="249" t="s">
        <v>652</v>
      </c>
      <c r="M3580" s="249" t="s">
        <v>933</v>
      </c>
      <c r="N3580" s="248">
        <v>1738.39</v>
      </c>
      <c r="O3580" s="248">
        <v>17931.07</v>
      </c>
      <c r="P3580" s="247" t="s">
        <v>1617</v>
      </c>
      <c r="Q3580" s="247" t="s">
        <v>86</v>
      </c>
    </row>
    <row r="3581" spans="1:17" x14ac:dyDescent="0.25">
      <c r="A3581" s="247" t="s">
        <v>646</v>
      </c>
      <c r="B3581" s="247" t="s">
        <v>265</v>
      </c>
      <c r="C3581" s="247" t="s">
        <v>1615</v>
      </c>
      <c r="D3581" s="247" t="s">
        <v>926</v>
      </c>
      <c r="E3581" s="247" t="s">
        <v>926</v>
      </c>
      <c r="F3581" s="247" t="s">
        <v>2424</v>
      </c>
      <c r="G3581" s="247" t="s">
        <v>1616</v>
      </c>
      <c r="H3581" s="247"/>
      <c r="I3581" s="247" t="s">
        <v>2425</v>
      </c>
      <c r="J3581" s="247">
        <v>76</v>
      </c>
      <c r="K3581" s="247">
        <v>76</v>
      </c>
      <c r="L3581" s="249" t="s">
        <v>789</v>
      </c>
      <c r="M3581" s="249" t="s">
        <v>929</v>
      </c>
      <c r="N3581" s="248">
        <v>1335.6</v>
      </c>
      <c r="O3581" s="248">
        <v>1335.6</v>
      </c>
      <c r="P3581" s="247" t="s">
        <v>1617</v>
      </c>
      <c r="Q3581" s="247" t="s">
        <v>87</v>
      </c>
    </row>
    <row r="3582" spans="1:17" x14ac:dyDescent="0.25">
      <c r="A3582" s="247" t="s">
        <v>646</v>
      </c>
      <c r="B3582" s="247" t="s">
        <v>265</v>
      </c>
      <c r="C3582" s="247" t="s">
        <v>1615</v>
      </c>
      <c r="D3582" s="247" t="s">
        <v>926</v>
      </c>
      <c r="E3582" s="247" t="s">
        <v>926</v>
      </c>
      <c r="F3582" s="247" t="s">
        <v>2424</v>
      </c>
      <c r="G3582" s="247" t="s">
        <v>1616</v>
      </c>
      <c r="H3582" s="247"/>
      <c r="I3582" s="247" t="s">
        <v>2425</v>
      </c>
      <c r="J3582" s="247">
        <v>76</v>
      </c>
      <c r="K3582" s="247">
        <v>76</v>
      </c>
      <c r="L3582" s="249" t="s">
        <v>791</v>
      </c>
      <c r="M3582" s="249" t="s">
        <v>929</v>
      </c>
      <c r="N3582" s="248">
        <v>922.01</v>
      </c>
      <c r="O3582" s="248">
        <v>2257.61</v>
      </c>
      <c r="P3582" s="247" t="s">
        <v>1617</v>
      </c>
      <c r="Q3582" s="247" t="s">
        <v>88</v>
      </c>
    </row>
    <row r="3583" spans="1:17" x14ac:dyDescent="0.25">
      <c r="A3583" s="247" t="s">
        <v>646</v>
      </c>
      <c r="B3583" s="247" t="s">
        <v>265</v>
      </c>
      <c r="C3583" s="247" t="s">
        <v>1615</v>
      </c>
      <c r="D3583" s="247" t="s">
        <v>926</v>
      </c>
      <c r="E3583" s="247" t="s">
        <v>926</v>
      </c>
      <c r="F3583" s="247" t="s">
        <v>2424</v>
      </c>
      <c r="G3583" s="247" t="s">
        <v>1616</v>
      </c>
      <c r="H3583" s="247"/>
      <c r="I3583" s="247" t="s">
        <v>2425</v>
      </c>
      <c r="J3583" s="247">
        <v>76</v>
      </c>
      <c r="K3583" s="247">
        <v>76</v>
      </c>
      <c r="L3583" s="249" t="s">
        <v>935</v>
      </c>
      <c r="M3583" s="249" t="s">
        <v>929</v>
      </c>
      <c r="N3583" s="248">
        <v>1414.91</v>
      </c>
      <c r="O3583" s="248">
        <v>3672.52</v>
      </c>
      <c r="P3583" s="247" t="s">
        <v>1617</v>
      </c>
      <c r="Q3583" s="247" t="s">
        <v>89</v>
      </c>
    </row>
    <row r="3584" spans="1:17" x14ac:dyDescent="0.25">
      <c r="A3584" s="247" t="s">
        <v>646</v>
      </c>
      <c r="B3584" s="247" t="s">
        <v>265</v>
      </c>
      <c r="C3584" s="247" t="s">
        <v>1615</v>
      </c>
      <c r="D3584" s="247" t="s">
        <v>926</v>
      </c>
      <c r="E3584" s="247" t="s">
        <v>926</v>
      </c>
      <c r="F3584" s="247" t="s">
        <v>2424</v>
      </c>
      <c r="G3584" s="247" t="s">
        <v>1616</v>
      </c>
      <c r="H3584" s="247"/>
      <c r="I3584" s="247" t="s">
        <v>2425</v>
      </c>
      <c r="J3584" s="247">
        <v>76</v>
      </c>
      <c r="K3584" s="247">
        <v>76</v>
      </c>
      <c r="L3584" s="249" t="s">
        <v>936</v>
      </c>
      <c r="M3584" s="249" t="s">
        <v>929</v>
      </c>
      <c r="N3584" s="248">
        <v>1305.5999999999999</v>
      </c>
      <c r="O3584" s="248">
        <v>4978.12</v>
      </c>
      <c r="P3584" s="247" t="s">
        <v>1617</v>
      </c>
      <c r="Q3584" s="247" t="s">
        <v>90</v>
      </c>
    </row>
    <row r="3585" spans="1:17" x14ac:dyDescent="0.25">
      <c r="A3585" s="247" t="s">
        <v>646</v>
      </c>
      <c r="B3585" s="247" t="s">
        <v>265</v>
      </c>
      <c r="C3585" s="247" t="s">
        <v>1615</v>
      </c>
      <c r="D3585" s="247" t="s">
        <v>926</v>
      </c>
      <c r="E3585" s="247" t="s">
        <v>926</v>
      </c>
      <c r="F3585" s="247" t="s">
        <v>2424</v>
      </c>
      <c r="G3585" s="247" t="s">
        <v>1616</v>
      </c>
      <c r="H3585" s="247"/>
      <c r="I3585" s="247" t="s">
        <v>2425</v>
      </c>
      <c r="J3585" s="247">
        <v>76</v>
      </c>
      <c r="K3585" s="247">
        <v>76</v>
      </c>
      <c r="L3585" s="249" t="s">
        <v>937</v>
      </c>
      <c r="M3585" s="249" t="s">
        <v>929</v>
      </c>
      <c r="N3585" s="248">
        <v>1394.7</v>
      </c>
      <c r="O3585" s="248">
        <v>6372.82</v>
      </c>
      <c r="P3585" s="247" t="s">
        <v>1617</v>
      </c>
      <c r="Q3585" s="247" t="s">
        <v>91</v>
      </c>
    </row>
    <row r="3586" spans="1:17" x14ac:dyDescent="0.25">
      <c r="A3586" s="247" t="s">
        <v>646</v>
      </c>
      <c r="B3586" s="247" t="s">
        <v>265</v>
      </c>
      <c r="C3586" s="247" t="s">
        <v>1615</v>
      </c>
      <c r="D3586" s="247" t="s">
        <v>926</v>
      </c>
      <c r="E3586" s="247" t="s">
        <v>926</v>
      </c>
      <c r="F3586" s="247" t="s">
        <v>2424</v>
      </c>
      <c r="G3586" s="247" t="s">
        <v>1616</v>
      </c>
      <c r="H3586" s="247"/>
      <c r="I3586" s="247" t="s">
        <v>2425</v>
      </c>
      <c r="J3586" s="247">
        <v>76</v>
      </c>
      <c r="K3586" s="247">
        <v>76</v>
      </c>
      <c r="L3586" s="249" t="s">
        <v>938</v>
      </c>
      <c r="M3586" s="249" t="s">
        <v>929</v>
      </c>
      <c r="N3586" s="248">
        <v>1480.84</v>
      </c>
      <c r="O3586" s="248">
        <v>7853.66</v>
      </c>
      <c r="P3586" s="247" t="s">
        <v>1617</v>
      </c>
      <c r="Q3586" s="247" t="s">
        <v>92</v>
      </c>
    </row>
    <row r="3587" spans="1:17" x14ac:dyDescent="0.25">
      <c r="A3587" s="247" t="s">
        <v>646</v>
      </c>
      <c r="B3587" s="247" t="s">
        <v>265</v>
      </c>
      <c r="C3587" s="247" t="s">
        <v>1615</v>
      </c>
      <c r="D3587" s="247" t="s">
        <v>926</v>
      </c>
      <c r="E3587" s="247" t="s">
        <v>926</v>
      </c>
      <c r="F3587" s="247" t="s">
        <v>2424</v>
      </c>
      <c r="G3587" s="247" t="s">
        <v>1616</v>
      </c>
      <c r="H3587" s="247"/>
      <c r="I3587" s="247" t="s">
        <v>2425</v>
      </c>
      <c r="J3587" s="247">
        <v>76</v>
      </c>
      <c r="K3587" s="247">
        <v>76</v>
      </c>
      <c r="L3587" s="249" t="s">
        <v>939</v>
      </c>
      <c r="M3587" s="249" t="s">
        <v>929</v>
      </c>
      <c r="N3587" s="248">
        <v>1376.67</v>
      </c>
      <c r="O3587" s="248">
        <v>9230.33</v>
      </c>
      <c r="P3587" s="247" t="s">
        <v>1617</v>
      </c>
      <c r="Q3587" s="247" t="s">
        <v>93</v>
      </c>
    </row>
    <row r="3588" spans="1:17" x14ac:dyDescent="0.25">
      <c r="A3588" s="247" t="s">
        <v>646</v>
      </c>
      <c r="B3588" s="247" t="s">
        <v>265</v>
      </c>
      <c r="C3588" s="247" t="s">
        <v>1615</v>
      </c>
      <c r="D3588" s="247" t="s">
        <v>926</v>
      </c>
      <c r="E3588" s="247" t="s">
        <v>926</v>
      </c>
      <c r="F3588" s="247" t="s">
        <v>2424</v>
      </c>
      <c r="G3588" s="247" t="s">
        <v>1616</v>
      </c>
      <c r="H3588" s="247"/>
      <c r="I3588" s="247" t="s">
        <v>2425</v>
      </c>
      <c r="J3588" s="247">
        <v>76</v>
      </c>
      <c r="K3588" s="247">
        <v>76</v>
      </c>
      <c r="L3588" s="249" t="s">
        <v>940</v>
      </c>
      <c r="M3588" s="249" t="s">
        <v>929</v>
      </c>
      <c r="N3588" s="248">
        <v>1484.81</v>
      </c>
      <c r="O3588" s="248">
        <v>10715.14</v>
      </c>
      <c r="P3588" s="247" t="s">
        <v>1617</v>
      </c>
      <c r="Q3588" s="247" t="s">
        <v>94</v>
      </c>
    </row>
    <row r="3589" spans="1:17" x14ac:dyDescent="0.25">
      <c r="A3589" s="247" t="s">
        <v>646</v>
      </c>
      <c r="B3589" s="247" t="s">
        <v>265</v>
      </c>
      <c r="C3589" s="247" t="s">
        <v>1615</v>
      </c>
      <c r="D3589" s="247" t="s">
        <v>926</v>
      </c>
      <c r="E3589" s="247" t="s">
        <v>926</v>
      </c>
      <c r="F3589" s="247" t="s">
        <v>2424</v>
      </c>
      <c r="G3589" s="247" t="s">
        <v>1616</v>
      </c>
      <c r="H3589" s="247"/>
      <c r="I3589" s="247" t="s">
        <v>2425</v>
      </c>
      <c r="J3589" s="247">
        <v>76</v>
      </c>
      <c r="K3589" s="247">
        <v>76</v>
      </c>
      <c r="L3589" s="249" t="s">
        <v>642</v>
      </c>
      <c r="M3589" s="249" t="s">
        <v>929</v>
      </c>
      <c r="N3589" s="248">
        <v>1473.48</v>
      </c>
      <c r="O3589" s="248">
        <v>12188.62</v>
      </c>
      <c r="P3589" s="247" t="s">
        <v>1617</v>
      </c>
      <c r="Q3589" s="247" t="s">
        <v>95</v>
      </c>
    </row>
    <row r="3590" spans="1:17" x14ac:dyDescent="0.25">
      <c r="A3590" s="247" t="s">
        <v>646</v>
      </c>
      <c r="B3590" s="247" t="s">
        <v>265</v>
      </c>
      <c r="C3590" s="247" t="s">
        <v>1618</v>
      </c>
      <c r="D3590" s="247" t="s">
        <v>926</v>
      </c>
      <c r="E3590" s="247" t="s">
        <v>926</v>
      </c>
      <c r="F3590" s="247" t="s">
        <v>2426</v>
      </c>
      <c r="G3590" s="247" t="s">
        <v>317</v>
      </c>
      <c r="H3590" s="247"/>
      <c r="I3590" s="247" t="s">
        <v>2427</v>
      </c>
      <c r="J3590" s="247">
        <v>77</v>
      </c>
      <c r="K3590" s="247">
        <v>77</v>
      </c>
      <c r="L3590" s="249" t="s">
        <v>646</v>
      </c>
      <c r="M3590" s="249" t="s">
        <v>933</v>
      </c>
      <c r="N3590" s="248">
        <v>77.7</v>
      </c>
      <c r="O3590" s="248">
        <v>18529.32</v>
      </c>
      <c r="P3590" s="247" t="s">
        <v>1619</v>
      </c>
      <c r="Q3590" s="247" t="s">
        <v>84</v>
      </c>
    </row>
    <row r="3591" spans="1:17" x14ac:dyDescent="0.25">
      <c r="A3591" s="247" t="s">
        <v>646</v>
      </c>
      <c r="B3591" s="247" t="s">
        <v>265</v>
      </c>
      <c r="C3591" s="247" t="s">
        <v>1618</v>
      </c>
      <c r="D3591" s="247" t="s">
        <v>926</v>
      </c>
      <c r="E3591" s="247" t="s">
        <v>926</v>
      </c>
      <c r="F3591" s="247" t="s">
        <v>2426</v>
      </c>
      <c r="G3591" s="247" t="s">
        <v>317</v>
      </c>
      <c r="H3591" s="247"/>
      <c r="I3591" s="247" t="s">
        <v>2427</v>
      </c>
      <c r="J3591" s="247">
        <v>77</v>
      </c>
      <c r="K3591" s="247">
        <v>77</v>
      </c>
      <c r="L3591" s="249" t="s">
        <v>650</v>
      </c>
      <c r="M3591" s="249" t="s">
        <v>933</v>
      </c>
      <c r="N3591" s="248">
        <v>16.850000000000001</v>
      </c>
      <c r="O3591" s="248">
        <v>18546.169999999998</v>
      </c>
      <c r="P3591" s="247" t="s">
        <v>1619</v>
      </c>
      <c r="Q3591" s="247" t="s">
        <v>85</v>
      </c>
    </row>
    <row r="3592" spans="1:17" x14ac:dyDescent="0.25">
      <c r="A3592" s="247" t="s">
        <v>646</v>
      </c>
      <c r="B3592" s="247" t="s">
        <v>265</v>
      </c>
      <c r="C3592" s="247" t="s">
        <v>1618</v>
      </c>
      <c r="D3592" s="247" t="s">
        <v>926</v>
      </c>
      <c r="E3592" s="247" t="s">
        <v>926</v>
      </c>
      <c r="F3592" s="247" t="s">
        <v>2426</v>
      </c>
      <c r="G3592" s="247" t="s">
        <v>317</v>
      </c>
      <c r="H3592" s="247"/>
      <c r="I3592" s="247" t="s">
        <v>2427</v>
      </c>
      <c r="J3592" s="247">
        <v>77</v>
      </c>
      <c r="K3592" s="247">
        <v>77</v>
      </c>
      <c r="L3592" s="249" t="s">
        <v>652</v>
      </c>
      <c r="M3592" s="249" t="s">
        <v>933</v>
      </c>
      <c r="N3592" s="248">
        <v>106.83</v>
      </c>
      <c r="O3592" s="248">
        <v>18653</v>
      </c>
      <c r="P3592" s="247" t="s">
        <v>1619</v>
      </c>
      <c r="Q3592" s="247" t="s">
        <v>86</v>
      </c>
    </row>
    <row r="3593" spans="1:17" x14ac:dyDescent="0.25">
      <c r="A3593" s="247" t="s">
        <v>646</v>
      </c>
      <c r="B3593" s="247" t="s">
        <v>265</v>
      </c>
      <c r="C3593" s="247" t="s">
        <v>1618</v>
      </c>
      <c r="D3593" s="247" t="s">
        <v>926</v>
      </c>
      <c r="E3593" s="247" t="s">
        <v>926</v>
      </c>
      <c r="F3593" s="247" t="s">
        <v>2426</v>
      </c>
      <c r="G3593" s="247" t="s">
        <v>317</v>
      </c>
      <c r="H3593" s="247"/>
      <c r="I3593" s="247" t="s">
        <v>2427</v>
      </c>
      <c r="J3593" s="247">
        <v>77</v>
      </c>
      <c r="K3593" s="247">
        <v>77</v>
      </c>
      <c r="L3593" s="249" t="s">
        <v>789</v>
      </c>
      <c r="M3593" s="249" t="s">
        <v>929</v>
      </c>
      <c r="N3593" s="248">
        <v>1465.73</v>
      </c>
      <c r="O3593" s="248">
        <v>1465.73</v>
      </c>
      <c r="P3593" s="247" t="s">
        <v>1619</v>
      </c>
      <c r="Q3593" s="247" t="s">
        <v>87</v>
      </c>
    </row>
    <row r="3594" spans="1:17" x14ac:dyDescent="0.25">
      <c r="A3594" s="247" t="s">
        <v>646</v>
      </c>
      <c r="B3594" s="247" t="s">
        <v>265</v>
      </c>
      <c r="C3594" s="247" t="s">
        <v>1618</v>
      </c>
      <c r="D3594" s="247" t="s">
        <v>926</v>
      </c>
      <c r="E3594" s="247" t="s">
        <v>926</v>
      </c>
      <c r="F3594" s="247" t="s">
        <v>2426</v>
      </c>
      <c r="G3594" s="247" t="s">
        <v>317</v>
      </c>
      <c r="H3594" s="247"/>
      <c r="I3594" s="247" t="s">
        <v>2427</v>
      </c>
      <c r="J3594" s="247">
        <v>77</v>
      </c>
      <c r="K3594" s="247">
        <v>77</v>
      </c>
      <c r="L3594" s="249" t="s">
        <v>791</v>
      </c>
      <c r="M3594" s="249" t="s">
        <v>929</v>
      </c>
      <c r="N3594" s="248">
        <v>7228.02</v>
      </c>
      <c r="O3594" s="248">
        <v>8693.75</v>
      </c>
      <c r="P3594" s="247" t="s">
        <v>1619</v>
      </c>
      <c r="Q3594" s="247" t="s">
        <v>88</v>
      </c>
    </row>
    <row r="3595" spans="1:17" x14ac:dyDescent="0.25">
      <c r="A3595" s="247" t="s">
        <v>646</v>
      </c>
      <c r="B3595" s="247" t="s">
        <v>265</v>
      </c>
      <c r="C3595" s="247" t="s">
        <v>1618</v>
      </c>
      <c r="D3595" s="247" t="s">
        <v>926</v>
      </c>
      <c r="E3595" s="247" t="s">
        <v>926</v>
      </c>
      <c r="F3595" s="247" t="s">
        <v>2426</v>
      </c>
      <c r="G3595" s="247" t="s">
        <v>317</v>
      </c>
      <c r="H3595" s="247"/>
      <c r="I3595" s="247" t="s">
        <v>2427</v>
      </c>
      <c r="J3595" s="247">
        <v>77</v>
      </c>
      <c r="K3595" s="247">
        <v>77</v>
      </c>
      <c r="L3595" s="249" t="s">
        <v>935</v>
      </c>
      <c r="M3595" s="249" t="s">
        <v>929</v>
      </c>
      <c r="N3595" s="248">
        <v>731.7</v>
      </c>
      <c r="O3595" s="248">
        <v>9425.4500000000007</v>
      </c>
      <c r="P3595" s="247" t="s">
        <v>1619</v>
      </c>
      <c r="Q3595" s="247" t="s">
        <v>89</v>
      </c>
    </row>
    <row r="3596" spans="1:17" x14ac:dyDescent="0.25">
      <c r="A3596" s="247" t="s">
        <v>646</v>
      </c>
      <c r="B3596" s="247" t="s">
        <v>265</v>
      </c>
      <c r="C3596" s="247" t="s">
        <v>1618</v>
      </c>
      <c r="D3596" s="247" t="s">
        <v>926</v>
      </c>
      <c r="E3596" s="247" t="s">
        <v>926</v>
      </c>
      <c r="F3596" s="247" t="s">
        <v>2426</v>
      </c>
      <c r="G3596" s="247" t="s">
        <v>317</v>
      </c>
      <c r="H3596" s="247"/>
      <c r="I3596" s="247" t="s">
        <v>2427</v>
      </c>
      <c r="J3596" s="247">
        <v>77</v>
      </c>
      <c r="K3596" s="247">
        <v>77</v>
      </c>
      <c r="L3596" s="249" t="s">
        <v>936</v>
      </c>
      <c r="M3596" s="249" t="s">
        <v>929</v>
      </c>
      <c r="N3596" s="248">
        <v>0</v>
      </c>
      <c r="O3596" s="248">
        <v>9425.4500000000007</v>
      </c>
      <c r="P3596" s="247" t="s">
        <v>1619</v>
      </c>
      <c r="Q3596" s="247" t="s">
        <v>90</v>
      </c>
    </row>
    <row r="3597" spans="1:17" x14ac:dyDescent="0.25">
      <c r="A3597" s="247" t="s">
        <v>646</v>
      </c>
      <c r="B3597" s="247" t="s">
        <v>265</v>
      </c>
      <c r="C3597" s="247" t="s">
        <v>1618</v>
      </c>
      <c r="D3597" s="247" t="s">
        <v>926</v>
      </c>
      <c r="E3597" s="247" t="s">
        <v>926</v>
      </c>
      <c r="F3597" s="247" t="s">
        <v>2426</v>
      </c>
      <c r="G3597" s="247" t="s">
        <v>317</v>
      </c>
      <c r="H3597" s="247"/>
      <c r="I3597" s="247" t="s">
        <v>2427</v>
      </c>
      <c r="J3597" s="247">
        <v>77</v>
      </c>
      <c r="K3597" s="247">
        <v>77</v>
      </c>
      <c r="L3597" s="249" t="s">
        <v>937</v>
      </c>
      <c r="M3597" s="249" t="s">
        <v>929</v>
      </c>
      <c r="N3597" s="248">
        <v>2352.1799999999998</v>
      </c>
      <c r="O3597" s="248">
        <v>11777.63</v>
      </c>
      <c r="P3597" s="247" t="s">
        <v>1619</v>
      </c>
      <c r="Q3597" s="247" t="s">
        <v>91</v>
      </c>
    </row>
    <row r="3598" spans="1:17" x14ac:dyDescent="0.25">
      <c r="A3598" s="247" t="s">
        <v>646</v>
      </c>
      <c r="B3598" s="247" t="s">
        <v>265</v>
      </c>
      <c r="C3598" s="247" t="s">
        <v>1618</v>
      </c>
      <c r="D3598" s="247" t="s">
        <v>926</v>
      </c>
      <c r="E3598" s="247" t="s">
        <v>926</v>
      </c>
      <c r="F3598" s="247" t="s">
        <v>2426</v>
      </c>
      <c r="G3598" s="247" t="s">
        <v>317</v>
      </c>
      <c r="H3598" s="247"/>
      <c r="I3598" s="247" t="s">
        <v>2427</v>
      </c>
      <c r="J3598" s="247">
        <v>77</v>
      </c>
      <c r="K3598" s="247">
        <v>77</v>
      </c>
      <c r="L3598" s="249" t="s">
        <v>938</v>
      </c>
      <c r="M3598" s="249" t="s">
        <v>929</v>
      </c>
      <c r="N3598" s="248">
        <v>24.85</v>
      </c>
      <c r="O3598" s="248">
        <v>11802.48</v>
      </c>
      <c r="P3598" s="247" t="s">
        <v>1619</v>
      </c>
      <c r="Q3598" s="247" t="s">
        <v>92</v>
      </c>
    </row>
    <row r="3599" spans="1:17" x14ac:dyDescent="0.25">
      <c r="A3599" s="247" t="s">
        <v>646</v>
      </c>
      <c r="B3599" s="247" t="s">
        <v>265</v>
      </c>
      <c r="C3599" s="247" t="s">
        <v>1618</v>
      </c>
      <c r="D3599" s="247" t="s">
        <v>926</v>
      </c>
      <c r="E3599" s="247" t="s">
        <v>926</v>
      </c>
      <c r="F3599" s="247" t="s">
        <v>2426</v>
      </c>
      <c r="G3599" s="247" t="s">
        <v>317</v>
      </c>
      <c r="H3599" s="247"/>
      <c r="I3599" s="247" t="s">
        <v>2427</v>
      </c>
      <c r="J3599" s="247">
        <v>77</v>
      </c>
      <c r="K3599" s="247">
        <v>77</v>
      </c>
      <c r="L3599" s="249" t="s">
        <v>939</v>
      </c>
      <c r="M3599" s="249" t="s">
        <v>929</v>
      </c>
      <c r="N3599" s="248">
        <v>87.85</v>
      </c>
      <c r="O3599" s="248">
        <v>11890.33</v>
      </c>
      <c r="P3599" s="247" t="s">
        <v>1619</v>
      </c>
      <c r="Q3599" s="247" t="s">
        <v>93</v>
      </c>
    </row>
    <row r="3600" spans="1:17" x14ac:dyDescent="0.25">
      <c r="A3600" s="247" t="s">
        <v>646</v>
      </c>
      <c r="B3600" s="247" t="s">
        <v>265</v>
      </c>
      <c r="C3600" s="247" t="s">
        <v>1618</v>
      </c>
      <c r="D3600" s="247" t="s">
        <v>926</v>
      </c>
      <c r="E3600" s="247" t="s">
        <v>926</v>
      </c>
      <c r="F3600" s="247" t="s">
        <v>2426</v>
      </c>
      <c r="G3600" s="247" t="s">
        <v>317</v>
      </c>
      <c r="H3600" s="247"/>
      <c r="I3600" s="247" t="s">
        <v>2427</v>
      </c>
      <c r="J3600" s="247">
        <v>77</v>
      </c>
      <c r="K3600" s="247">
        <v>77</v>
      </c>
      <c r="L3600" s="249" t="s">
        <v>940</v>
      </c>
      <c r="M3600" s="249" t="s">
        <v>929</v>
      </c>
      <c r="N3600" s="248">
        <v>0</v>
      </c>
      <c r="O3600" s="248">
        <v>11890.33</v>
      </c>
      <c r="P3600" s="247" t="s">
        <v>1619</v>
      </c>
      <c r="Q3600" s="247" t="s">
        <v>94</v>
      </c>
    </row>
    <row r="3601" spans="1:17" x14ac:dyDescent="0.25">
      <c r="A3601" s="247" t="s">
        <v>646</v>
      </c>
      <c r="B3601" s="247" t="s">
        <v>265</v>
      </c>
      <c r="C3601" s="247" t="s">
        <v>1618</v>
      </c>
      <c r="D3601" s="247" t="s">
        <v>926</v>
      </c>
      <c r="E3601" s="247" t="s">
        <v>926</v>
      </c>
      <c r="F3601" s="247" t="s">
        <v>2426</v>
      </c>
      <c r="G3601" s="247" t="s">
        <v>317</v>
      </c>
      <c r="H3601" s="247"/>
      <c r="I3601" s="247" t="s">
        <v>2427</v>
      </c>
      <c r="J3601" s="247">
        <v>77</v>
      </c>
      <c r="K3601" s="247">
        <v>77</v>
      </c>
      <c r="L3601" s="249" t="s">
        <v>642</v>
      </c>
      <c r="M3601" s="249" t="s">
        <v>929</v>
      </c>
      <c r="N3601" s="248">
        <v>78.7</v>
      </c>
      <c r="O3601" s="248">
        <v>11969.03</v>
      </c>
      <c r="P3601" s="247" t="s">
        <v>1619</v>
      </c>
      <c r="Q3601" s="247" t="s">
        <v>95</v>
      </c>
    </row>
    <row r="3602" spans="1:17" x14ac:dyDescent="0.25">
      <c r="A3602" s="247" t="s">
        <v>646</v>
      </c>
      <c r="B3602" s="247" t="s">
        <v>265</v>
      </c>
      <c r="C3602" s="247" t="s">
        <v>1620</v>
      </c>
      <c r="D3602" s="247" t="s">
        <v>569</v>
      </c>
      <c r="E3602" s="247" t="s">
        <v>926</v>
      </c>
      <c r="F3602" s="247" t="s">
        <v>2428</v>
      </c>
      <c r="G3602" s="247" t="s">
        <v>318</v>
      </c>
      <c r="H3602" s="247"/>
      <c r="I3602" s="247" t="s">
        <v>2429</v>
      </c>
      <c r="J3602" s="247">
        <v>95</v>
      </c>
      <c r="K3602" s="247">
        <v>95</v>
      </c>
      <c r="L3602" s="249" t="s">
        <v>646</v>
      </c>
      <c r="M3602" s="249" t="s">
        <v>933</v>
      </c>
      <c r="N3602" s="248">
        <v>914.25</v>
      </c>
      <c r="O3602" s="248">
        <v>6183.09</v>
      </c>
      <c r="P3602" s="247" t="s">
        <v>1621</v>
      </c>
      <c r="Q3602" s="247" t="s">
        <v>84</v>
      </c>
    </row>
    <row r="3603" spans="1:17" x14ac:dyDescent="0.25">
      <c r="A3603" s="247" t="s">
        <v>646</v>
      </c>
      <c r="B3603" s="247" t="s">
        <v>265</v>
      </c>
      <c r="C3603" s="247" t="s">
        <v>1620</v>
      </c>
      <c r="D3603" s="247" t="s">
        <v>569</v>
      </c>
      <c r="E3603" s="247" t="s">
        <v>926</v>
      </c>
      <c r="F3603" s="247" t="s">
        <v>2428</v>
      </c>
      <c r="G3603" s="247" t="s">
        <v>318</v>
      </c>
      <c r="H3603" s="247"/>
      <c r="I3603" s="247" t="s">
        <v>2429</v>
      </c>
      <c r="J3603" s="247">
        <v>95</v>
      </c>
      <c r="K3603" s="247">
        <v>95</v>
      </c>
      <c r="L3603" s="249" t="s">
        <v>650</v>
      </c>
      <c r="M3603" s="249" t="s">
        <v>933</v>
      </c>
      <c r="N3603" s="248">
        <v>217.5</v>
      </c>
      <c r="O3603" s="248">
        <v>6400.59</v>
      </c>
      <c r="P3603" s="247" t="s">
        <v>1621</v>
      </c>
      <c r="Q3603" s="247" t="s">
        <v>85</v>
      </c>
    </row>
    <row r="3604" spans="1:17" x14ac:dyDescent="0.25">
      <c r="A3604" s="247" t="s">
        <v>646</v>
      </c>
      <c r="B3604" s="247" t="s">
        <v>265</v>
      </c>
      <c r="C3604" s="247" t="s">
        <v>1620</v>
      </c>
      <c r="D3604" s="247" t="s">
        <v>569</v>
      </c>
      <c r="E3604" s="247" t="s">
        <v>926</v>
      </c>
      <c r="F3604" s="247" t="s">
        <v>2428</v>
      </c>
      <c r="G3604" s="247" t="s">
        <v>318</v>
      </c>
      <c r="H3604" s="247"/>
      <c r="I3604" s="247" t="s">
        <v>2429</v>
      </c>
      <c r="J3604" s="247">
        <v>95</v>
      </c>
      <c r="K3604" s="247">
        <v>95</v>
      </c>
      <c r="L3604" s="249" t="s">
        <v>652</v>
      </c>
      <c r="M3604" s="249" t="s">
        <v>933</v>
      </c>
      <c r="N3604" s="248">
        <v>484.89</v>
      </c>
      <c r="O3604" s="248">
        <v>6885.48</v>
      </c>
      <c r="P3604" s="247" t="s">
        <v>1621</v>
      </c>
      <c r="Q3604" s="247" t="s">
        <v>86</v>
      </c>
    </row>
    <row r="3605" spans="1:17" x14ac:dyDescent="0.25">
      <c r="A3605" s="247" t="s">
        <v>646</v>
      </c>
      <c r="B3605" s="247" t="s">
        <v>265</v>
      </c>
      <c r="C3605" s="247" t="s">
        <v>1620</v>
      </c>
      <c r="D3605" s="247" t="s">
        <v>569</v>
      </c>
      <c r="E3605" s="247" t="s">
        <v>926</v>
      </c>
      <c r="F3605" s="247" t="s">
        <v>2428</v>
      </c>
      <c r="G3605" s="247" t="s">
        <v>318</v>
      </c>
      <c r="H3605" s="247"/>
      <c r="I3605" s="247" t="s">
        <v>2429</v>
      </c>
      <c r="J3605" s="247">
        <v>95</v>
      </c>
      <c r="K3605" s="247">
        <v>95</v>
      </c>
      <c r="L3605" s="249" t="s">
        <v>789</v>
      </c>
      <c r="M3605" s="249" t="s">
        <v>929</v>
      </c>
      <c r="N3605" s="248">
        <v>457.72</v>
      </c>
      <c r="O3605" s="248">
        <v>457.72</v>
      </c>
      <c r="P3605" s="247" t="s">
        <v>1621</v>
      </c>
      <c r="Q3605" s="247" t="s">
        <v>87</v>
      </c>
    </row>
    <row r="3606" spans="1:17" x14ac:dyDescent="0.25">
      <c r="A3606" s="247" t="s">
        <v>646</v>
      </c>
      <c r="B3606" s="247" t="s">
        <v>265</v>
      </c>
      <c r="C3606" s="247" t="s">
        <v>1620</v>
      </c>
      <c r="D3606" s="247" t="s">
        <v>569</v>
      </c>
      <c r="E3606" s="247" t="s">
        <v>926</v>
      </c>
      <c r="F3606" s="247" t="s">
        <v>2428</v>
      </c>
      <c r="G3606" s="247" t="s">
        <v>318</v>
      </c>
      <c r="H3606" s="247"/>
      <c r="I3606" s="247" t="s">
        <v>2429</v>
      </c>
      <c r="J3606" s="247">
        <v>95</v>
      </c>
      <c r="K3606" s="247">
        <v>95</v>
      </c>
      <c r="L3606" s="249" t="s">
        <v>791</v>
      </c>
      <c r="M3606" s="249" t="s">
        <v>929</v>
      </c>
      <c r="N3606" s="248">
        <v>901.98</v>
      </c>
      <c r="O3606" s="248">
        <v>1359.7</v>
      </c>
      <c r="P3606" s="247" t="s">
        <v>1621</v>
      </c>
      <c r="Q3606" s="247" t="s">
        <v>88</v>
      </c>
    </row>
    <row r="3607" spans="1:17" x14ac:dyDescent="0.25">
      <c r="A3607" s="247" t="s">
        <v>646</v>
      </c>
      <c r="B3607" s="247" t="s">
        <v>265</v>
      </c>
      <c r="C3607" s="247" t="s">
        <v>1620</v>
      </c>
      <c r="D3607" s="247" t="s">
        <v>569</v>
      </c>
      <c r="E3607" s="247" t="s">
        <v>926</v>
      </c>
      <c r="F3607" s="247" t="s">
        <v>2428</v>
      </c>
      <c r="G3607" s="247" t="s">
        <v>318</v>
      </c>
      <c r="H3607" s="247"/>
      <c r="I3607" s="247" t="s">
        <v>2429</v>
      </c>
      <c r="J3607" s="247">
        <v>95</v>
      </c>
      <c r="K3607" s="247">
        <v>95</v>
      </c>
      <c r="L3607" s="249" t="s">
        <v>935</v>
      </c>
      <c r="M3607" s="249" t="s">
        <v>929</v>
      </c>
      <c r="N3607" s="248">
        <v>675.59</v>
      </c>
      <c r="O3607" s="248">
        <v>2035.29</v>
      </c>
      <c r="P3607" s="247" t="s">
        <v>1621</v>
      </c>
      <c r="Q3607" s="247" t="s">
        <v>89</v>
      </c>
    </row>
    <row r="3608" spans="1:17" x14ac:dyDescent="0.25">
      <c r="A3608" s="247" t="s">
        <v>646</v>
      </c>
      <c r="B3608" s="247" t="s">
        <v>265</v>
      </c>
      <c r="C3608" s="247" t="s">
        <v>1620</v>
      </c>
      <c r="D3608" s="247" t="s">
        <v>569</v>
      </c>
      <c r="E3608" s="247" t="s">
        <v>926</v>
      </c>
      <c r="F3608" s="247" t="s">
        <v>2428</v>
      </c>
      <c r="G3608" s="247" t="s">
        <v>318</v>
      </c>
      <c r="H3608" s="247"/>
      <c r="I3608" s="247" t="s">
        <v>2429</v>
      </c>
      <c r="J3608" s="247">
        <v>95</v>
      </c>
      <c r="K3608" s="247">
        <v>95</v>
      </c>
      <c r="L3608" s="249" t="s">
        <v>936</v>
      </c>
      <c r="M3608" s="249" t="s">
        <v>929</v>
      </c>
      <c r="N3608" s="248">
        <v>217.5</v>
      </c>
      <c r="O3608" s="248">
        <v>2252.79</v>
      </c>
      <c r="P3608" s="247" t="s">
        <v>1621</v>
      </c>
      <c r="Q3608" s="247" t="s">
        <v>90</v>
      </c>
    </row>
    <row r="3609" spans="1:17" x14ac:dyDescent="0.25">
      <c r="A3609" s="247" t="s">
        <v>646</v>
      </c>
      <c r="B3609" s="247" t="s">
        <v>265</v>
      </c>
      <c r="C3609" s="247" t="s">
        <v>1620</v>
      </c>
      <c r="D3609" s="247" t="s">
        <v>569</v>
      </c>
      <c r="E3609" s="247" t="s">
        <v>926</v>
      </c>
      <c r="F3609" s="247" t="s">
        <v>2428</v>
      </c>
      <c r="G3609" s="247" t="s">
        <v>318</v>
      </c>
      <c r="H3609" s="247"/>
      <c r="I3609" s="247" t="s">
        <v>2429</v>
      </c>
      <c r="J3609" s="247">
        <v>95</v>
      </c>
      <c r="K3609" s="247">
        <v>95</v>
      </c>
      <c r="L3609" s="249" t="s">
        <v>937</v>
      </c>
      <c r="M3609" s="249" t="s">
        <v>929</v>
      </c>
      <c r="N3609" s="248">
        <v>788.02</v>
      </c>
      <c r="O3609" s="248">
        <v>3040.81</v>
      </c>
      <c r="P3609" s="247" t="s">
        <v>1621</v>
      </c>
      <c r="Q3609" s="247" t="s">
        <v>91</v>
      </c>
    </row>
    <row r="3610" spans="1:17" x14ac:dyDescent="0.25">
      <c r="A3610" s="247" t="s">
        <v>646</v>
      </c>
      <c r="B3610" s="247" t="s">
        <v>265</v>
      </c>
      <c r="C3610" s="247" t="s">
        <v>1620</v>
      </c>
      <c r="D3610" s="247" t="s">
        <v>569</v>
      </c>
      <c r="E3610" s="247" t="s">
        <v>926</v>
      </c>
      <c r="F3610" s="247" t="s">
        <v>2428</v>
      </c>
      <c r="G3610" s="247" t="s">
        <v>318</v>
      </c>
      <c r="H3610" s="247"/>
      <c r="I3610" s="247" t="s">
        <v>2429</v>
      </c>
      <c r="J3610" s="247">
        <v>95</v>
      </c>
      <c r="K3610" s="247">
        <v>95</v>
      </c>
      <c r="L3610" s="249" t="s">
        <v>938</v>
      </c>
      <c r="M3610" s="249" t="s">
        <v>929</v>
      </c>
      <c r="N3610" s="248">
        <v>544.27</v>
      </c>
      <c r="O3610" s="248">
        <v>3585.08</v>
      </c>
      <c r="P3610" s="247" t="s">
        <v>1621</v>
      </c>
      <c r="Q3610" s="247" t="s">
        <v>92</v>
      </c>
    </row>
    <row r="3611" spans="1:17" x14ac:dyDescent="0.25">
      <c r="A3611" s="247" t="s">
        <v>646</v>
      </c>
      <c r="B3611" s="247" t="s">
        <v>265</v>
      </c>
      <c r="C3611" s="247" t="s">
        <v>1620</v>
      </c>
      <c r="D3611" s="247" t="s">
        <v>569</v>
      </c>
      <c r="E3611" s="247" t="s">
        <v>926</v>
      </c>
      <c r="F3611" s="247" t="s">
        <v>2428</v>
      </c>
      <c r="G3611" s="247" t="s">
        <v>318</v>
      </c>
      <c r="H3611" s="247"/>
      <c r="I3611" s="247" t="s">
        <v>2429</v>
      </c>
      <c r="J3611" s="247">
        <v>95</v>
      </c>
      <c r="K3611" s="247">
        <v>95</v>
      </c>
      <c r="L3611" s="249" t="s">
        <v>939</v>
      </c>
      <c r="M3611" s="249" t="s">
        <v>929</v>
      </c>
      <c r="N3611" s="248">
        <v>662.31</v>
      </c>
      <c r="O3611" s="248">
        <v>4247.3900000000003</v>
      </c>
      <c r="P3611" s="247" t="s">
        <v>1621</v>
      </c>
      <c r="Q3611" s="247" t="s">
        <v>93</v>
      </c>
    </row>
    <row r="3612" spans="1:17" x14ac:dyDescent="0.25">
      <c r="A3612" s="247" t="s">
        <v>646</v>
      </c>
      <c r="B3612" s="247" t="s">
        <v>265</v>
      </c>
      <c r="C3612" s="247" t="s">
        <v>1620</v>
      </c>
      <c r="D3612" s="247" t="s">
        <v>569</v>
      </c>
      <c r="E3612" s="247" t="s">
        <v>926</v>
      </c>
      <c r="F3612" s="247" t="s">
        <v>2428</v>
      </c>
      <c r="G3612" s="247" t="s">
        <v>318</v>
      </c>
      <c r="H3612" s="247"/>
      <c r="I3612" s="247" t="s">
        <v>2429</v>
      </c>
      <c r="J3612" s="247">
        <v>95</v>
      </c>
      <c r="K3612" s="247">
        <v>95</v>
      </c>
      <c r="L3612" s="249" t="s">
        <v>940</v>
      </c>
      <c r="M3612" s="249" t="s">
        <v>929</v>
      </c>
      <c r="N3612" s="248">
        <v>516.37</v>
      </c>
      <c r="O3612" s="248">
        <v>4763.76</v>
      </c>
      <c r="P3612" s="247" t="s">
        <v>1621</v>
      </c>
      <c r="Q3612" s="247" t="s">
        <v>94</v>
      </c>
    </row>
    <row r="3613" spans="1:17" x14ac:dyDescent="0.25">
      <c r="A3613" s="247" t="s">
        <v>646</v>
      </c>
      <c r="B3613" s="247" t="s">
        <v>265</v>
      </c>
      <c r="C3613" s="247" t="s">
        <v>1620</v>
      </c>
      <c r="D3613" s="247" t="s">
        <v>569</v>
      </c>
      <c r="E3613" s="247" t="s">
        <v>926</v>
      </c>
      <c r="F3613" s="247" t="s">
        <v>2428</v>
      </c>
      <c r="G3613" s="247" t="s">
        <v>318</v>
      </c>
      <c r="H3613" s="247"/>
      <c r="I3613" s="247" t="s">
        <v>2429</v>
      </c>
      <c r="J3613" s="247">
        <v>95</v>
      </c>
      <c r="K3613" s="247">
        <v>95</v>
      </c>
      <c r="L3613" s="249" t="s">
        <v>642</v>
      </c>
      <c r="M3613" s="249" t="s">
        <v>929</v>
      </c>
      <c r="N3613" s="248">
        <v>217.5</v>
      </c>
      <c r="O3613" s="248">
        <v>4981.26</v>
      </c>
      <c r="P3613" s="247" t="s">
        <v>1621</v>
      </c>
      <c r="Q3613" s="247" t="s">
        <v>95</v>
      </c>
    </row>
    <row r="3614" spans="1:17" x14ac:dyDescent="0.25">
      <c r="A3614" s="247" t="s">
        <v>646</v>
      </c>
      <c r="B3614" s="247" t="s">
        <v>265</v>
      </c>
      <c r="C3614" s="247" t="s">
        <v>1620</v>
      </c>
      <c r="D3614" s="247" t="s">
        <v>1622</v>
      </c>
      <c r="E3614" s="247" t="s">
        <v>926</v>
      </c>
      <c r="F3614" s="247" t="s">
        <v>2430</v>
      </c>
      <c r="G3614" s="247" t="s">
        <v>1623</v>
      </c>
      <c r="H3614" s="247"/>
      <c r="I3614" s="247" t="s">
        <v>2431</v>
      </c>
      <c r="J3614" s="247">
        <v>96</v>
      </c>
      <c r="K3614" s="247">
        <v>96</v>
      </c>
      <c r="L3614" s="249" t="s">
        <v>789</v>
      </c>
      <c r="M3614" s="249" t="s">
        <v>929</v>
      </c>
      <c r="N3614" s="248">
        <v>10210.33</v>
      </c>
      <c r="O3614" s="248">
        <v>10210.33</v>
      </c>
      <c r="P3614" s="247" t="s">
        <v>1624</v>
      </c>
      <c r="Q3614" s="247" t="s">
        <v>87</v>
      </c>
    </row>
    <row r="3615" spans="1:17" x14ac:dyDescent="0.25">
      <c r="A3615" s="247" t="s">
        <v>646</v>
      </c>
      <c r="B3615" s="247" t="s">
        <v>265</v>
      </c>
      <c r="C3615" s="247" t="s">
        <v>1620</v>
      </c>
      <c r="D3615" s="247" t="s">
        <v>1622</v>
      </c>
      <c r="E3615" s="247" t="s">
        <v>926</v>
      </c>
      <c r="F3615" s="247" t="s">
        <v>2430</v>
      </c>
      <c r="G3615" s="247" t="s">
        <v>1623</v>
      </c>
      <c r="H3615" s="247"/>
      <c r="I3615" s="247" t="s">
        <v>2431</v>
      </c>
      <c r="J3615" s="247">
        <v>96</v>
      </c>
      <c r="K3615" s="247">
        <v>96</v>
      </c>
      <c r="L3615" s="249" t="s">
        <v>791</v>
      </c>
      <c r="M3615" s="249" t="s">
        <v>929</v>
      </c>
      <c r="N3615" s="248">
        <v>9335.11</v>
      </c>
      <c r="O3615" s="248">
        <v>19545.439999999999</v>
      </c>
      <c r="P3615" s="247" t="s">
        <v>1624</v>
      </c>
      <c r="Q3615" s="247" t="s">
        <v>88</v>
      </c>
    </row>
    <row r="3616" spans="1:17" x14ac:dyDescent="0.25">
      <c r="A3616" s="247" t="s">
        <v>646</v>
      </c>
      <c r="B3616" s="247" t="s">
        <v>265</v>
      </c>
      <c r="C3616" s="247" t="s">
        <v>1620</v>
      </c>
      <c r="D3616" s="247" t="s">
        <v>1622</v>
      </c>
      <c r="E3616" s="247" t="s">
        <v>926</v>
      </c>
      <c r="F3616" s="247" t="s">
        <v>2430</v>
      </c>
      <c r="G3616" s="247" t="s">
        <v>1623</v>
      </c>
      <c r="H3616" s="247"/>
      <c r="I3616" s="247" t="s">
        <v>2431</v>
      </c>
      <c r="J3616" s="247">
        <v>96</v>
      </c>
      <c r="K3616" s="247">
        <v>96</v>
      </c>
      <c r="L3616" s="249" t="s">
        <v>935</v>
      </c>
      <c r="M3616" s="249" t="s">
        <v>929</v>
      </c>
      <c r="N3616" s="248">
        <v>12952.43</v>
      </c>
      <c r="O3616" s="248">
        <v>32497.87</v>
      </c>
      <c r="P3616" s="247" t="s">
        <v>1624</v>
      </c>
      <c r="Q3616" s="247" t="s">
        <v>89</v>
      </c>
    </row>
    <row r="3617" spans="1:17" x14ac:dyDescent="0.25">
      <c r="A3617" s="247" t="s">
        <v>646</v>
      </c>
      <c r="B3617" s="247" t="s">
        <v>265</v>
      </c>
      <c r="C3617" s="247" t="s">
        <v>1620</v>
      </c>
      <c r="D3617" s="247" t="s">
        <v>1622</v>
      </c>
      <c r="E3617" s="247" t="s">
        <v>926</v>
      </c>
      <c r="F3617" s="247" t="s">
        <v>2430</v>
      </c>
      <c r="G3617" s="247" t="s">
        <v>1623</v>
      </c>
      <c r="H3617" s="247"/>
      <c r="I3617" s="247" t="s">
        <v>2431</v>
      </c>
      <c r="J3617" s="247">
        <v>96</v>
      </c>
      <c r="K3617" s="247">
        <v>96</v>
      </c>
      <c r="L3617" s="249" t="s">
        <v>936</v>
      </c>
      <c r="M3617" s="249" t="s">
        <v>929</v>
      </c>
      <c r="N3617" s="248">
        <v>8453.11</v>
      </c>
      <c r="O3617" s="248">
        <v>40950.980000000003</v>
      </c>
      <c r="P3617" s="247" t="s">
        <v>1624</v>
      </c>
      <c r="Q3617" s="247" t="s">
        <v>90</v>
      </c>
    </row>
    <row r="3618" spans="1:17" x14ac:dyDescent="0.25">
      <c r="A3618" s="247" t="s">
        <v>646</v>
      </c>
      <c r="B3618" s="247" t="s">
        <v>265</v>
      </c>
      <c r="C3618" s="247" t="s">
        <v>1620</v>
      </c>
      <c r="D3618" s="247" t="s">
        <v>1622</v>
      </c>
      <c r="E3618" s="247" t="s">
        <v>926</v>
      </c>
      <c r="F3618" s="247" t="s">
        <v>2430</v>
      </c>
      <c r="G3618" s="247" t="s">
        <v>1623</v>
      </c>
      <c r="H3618" s="247"/>
      <c r="I3618" s="247" t="s">
        <v>2431</v>
      </c>
      <c r="J3618" s="247">
        <v>96</v>
      </c>
      <c r="K3618" s="247">
        <v>96</v>
      </c>
      <c r="L3618" s="249" t="s">
        <v>937</v>
      </c>
      <c r="M3618" s="249" t="s">
        <v>929</v>
      </c>
      <c r="N3618" s="248">
        <v>12281.71</v>
      </c>
      <c r="O3618" s="248">
        <v>53232.69</v>
      </c>
      <c r="P3618" s="247" t="s">
        <v>1624</v>
      </c>
      <c r="Q3618" s="247" t="s">
        <v>91</v>
      </c>
    </row>
    <row r="3619" spans="1:17" x14ac:dyDescent="0.25">
      <c r="A3619" s="247" t="s">
        <v>646</v>
      </c>
      <c r="B3619" s="247" t="s">
        <v>265</v>
      </c>
      <c r="C3619" s="247" t="s">
        <v>1620</v>
      </c>
      <c r="D3619" s="247" t="s">
        <v>1622</v>
      </c>
      <c r="E3619" s="247" t="s">
        <v>926</v>
      </c>
      <c r="F3619" s="247" t="s">
        <v>2430</v>
      </c>
      <c r="G3619" s="247" t="s">
        <v>1623</v>
      </c>
      <c r="H3619" s="247"/>
      <c r="I3619" s="247" t="s">
        <v>2431</v>
      </c>
      <c r="J3619" s="247">
        <v>96</v>
      </c>
      <c r="K3619" s="247">
        <v>96</v>
      </c>
      <c r="L3619" s="249" t="s">
        <v>938</v>
      </c>
      <c r="M3619" s="249" t="s">
        <v>929</v>
      </c>
      <c r="N3619" s="248">
        <v>10407.68</v>
      </c>
      <c r="O3619" s="248">
        <v>63640.37</v>
      </c>
      <c r="P3619" s="247" t="s">
        <v>1624</v>
      </c>
      <c r="Q3619" s="247" t="s">
        <v>92</v>
      </c>
    </row>
    <row r="3620" spans="1:17" x14ac:dyDescent="0.25">
      <c r="A3620" s="247" t="s">
        <v>646</v>
      </c>
      <c r="B3620" s="247" t="s">
        <v>265</v>
      </c>
      <c r="C3620" s="247" t="s">
        <v>1620</v>
      </c>
      <c r="D3620" s="247" t="s">
        <v>1622</v>
      </c>
      <c r="E3620" s="247" t="s">
        <v>926</v>
      </c>
      <c r="F3620" s="247" t="s">
        <v>2430</v>
      </c>
      <c r="G3620" s="247" t="s">
        <v>1623</v>
      </c>
      <c r="H3620" s="247"/>
      <c r="I3620" s="247" t="s">
        <v>2431</v>
      </c>
      <c r="J3620" s="247">
        <v>96</v>
      </c>
      <c r="K3620" s="247">
        <v>96</v>
      </c>
      <c r="L3620" s="249" t="s">
        <v>939</v>
      </c>
      <c r="M3620" s="249" t="s">
        <v>929</v>
      </c>
      <c r="N3620" s="248">
        <v>12139.8</v>
      </c>
      <c r="O3620" s="248">
        <v>75780.17</v>
      </c>
      <c r="P3620" s="247" t="s">
        <v>1624</v>
      </c>
      <c r="Q3620" s="247" t="s">
        <v>93</v>
      </c>
    </row>
    <row r="3621" spans="1:17" x14ac:dyDescent="0.25">
      <c r="A3621" s="247" t="s">
        <v>646</v>
      </c>
      <c r="B3621" s="247" t="s">
        <v>265</v>
      </c>
      <c r="C3621" s="247" t="s">
        <v>1620</v>
      </c>
      <c r="D3621" s="247" t="s">
        <v>1622</v>
      </c>
      <c r="E3621" s="247" t="s">
        <v>926</v>
      </c>
      <c r="F3621" s="247" t="s">
        <v>2430</v>
      </c>
      <c r="G3621" s="247" t="s">
        <v>1623</v>
      </c>
      <c r="H3621" s="247"/>
      <c r="I3621" s="247" t="s">
        <v>2431</v>
      </c>
      <c r="J3621" s="247">
        <v>96</v>
      </c>
      <c r="K3621" s="247">
        <v>96</v>
      </c>
      <c r="L3621" s="249" t="s">
        <v>940</v>
      </c>
      <c r="M3621" s="249" t="s">
        <v>929</v>
      </c>
      <c r="N3621" s="248">
        <v>10009.64</v>
      </c>
      <c r="O3621" s="248">
        <v>85789.81</v>
      </c>
      <c r="P3621" s="247" t="s">
        <v>1624</v>
      </c>
      <c r="Q3621" s="247" t="s">
        <v>94</v>
      </c>
    </row>
    <row r="3622" spans="1:17" x14ac:dyDescent="0.25">
      <c r="A3622" s="247" t="s">
        <v>646</v>
      </c>
      <c r="B3622" s="247" t="s">
        <v>265</v>
      </c>
      <c r="C3622" s="247" t="s">
        <v>1620</v>
      </c>
      <c r="D3622" s="247" t="s">
        <v>1622</v>
      </c>
      <c r="E3622" s="247" t="s">
        <v>926</v>
      </c>
      <c r="F3622" s="247" t="s">
        <v>2430</v>
      </c>
      <c r="G3622" s="247" t="s">
        <v>1623</v>
      </c>
      <c r="H3622" s="247"/>
      <c r="I3622" s="247" t="s">
        <v>2431</v>
      </c>
      <c r="J3622" s="247">
        <v>96</v>
      </c>
      <c r="K3622" s="247">
        <v>96</v>
      </c>
      <c r="L3622" s="249" t="s">
        <v>642</v>
      </c>
      <c r="M3622" s="249" t="s">
        <v>929</v>
      </c>
      <c r="N3622" s="248">
        <v>11833.37</v>
      </c>
      <c r="O3622" s="248">
        <v>97623.18</v>
      </c>
      <c r="P3622" s="247" t="s">
        <v>1624</v>
      </c>
      <c r="Q3622" s="247" t="s">
        <v>95</v>
      </c>
    </row>
    <row r="3623" spans="1:17" x14ac:dyDescent="0.25">
      <c r="A3623" s="247" t="s">
        <v>646</v>
      </c>
      <c r="B3623" s="247" t="s">
        <v>265</v>
      </c>
      <c r="C3623" s="247" t="s">
        <v>1620</v>
      </c>
      <c r="D3623" s="247" t="s">
        <v>575</v>
      </c>
      <c r="E3623" s="247" t="s">
        <v>926</v>
      </c>
      <c r="F3623" s="247" t="s">
        <v>2432</v>
      </c>
      <c r="G3623" s="247" t="s">
        <v>1625</v>
      </c>
      <c r="H3623" s="247"/>
      <c r="I3623" s="247" t="s">
        <v>2433</v>
      </c>
      <c r="J3623" s="247">
        <v>96</v>
      </c>
      <c r="K3623" s="247">
        <v>96</v>
      </c>
      <c r="L3623" s="249" t="s">
        <v>646</v>
      </c>
      <c r="M3623" s="249" t="s">
        <v>933</v>
      </c>
      <c r="N3623" s="248">
        <v>2182.98</v>
      </c>
      <c r="O3623" s="248">
        <v>100620.22</v>
      </c>
      <c r="P3623" s="247" t="s">
        <v>1626</v>
      </c>
      <c r="Q3623" s="247" t="s">
        <v>84</v>
      </c>
    </row>
    <row r="3624" spans="1:17" x14ac:dyDescent="0.25">
      <c r="A3624" s="247" t="s">
        <v>646</v>
      </c>
      <c r="B3624" s="247" t="s">
        <v>265</v>
      </c>
      <c r="C3624" s="247" t="s">
        <v>1620</v>
      </c>
      <c r="D3624" s="247" t="s">
        <v>575</v>
      </c>
      <c r="E3624" s="247" t="s">
        <v>926</v>
      </c>
      <c r="F3624" s="247" t="s">
        <v>2432</v>
      </c>
      <c r="G3624" s="247" t="s">
        <v>1625</v>
      </c>
      <c r="H3624" s="247"/>
      <c r="I3624" s="247" t="s">
        <v>2433</v>
      </c>
      <c r="J3624" s="247">
        <v>96</v>
      </c>
      <c r="K3624" s="247">
        <v>96</v>
      </c>
      <c r="L3624" s="249" t="s">
        <v>650</v>
      </c>
      <c r="M3624" s="249" t="s">
        <v>933</v>
      </c>
      <c r="N3624" s="248">
        <v>12863.85</v>
      </c>
      <c r="O3624" s="248">
        <v>113484.07</v>
      </c>
      <c r="P3624" s="247" t="s">
        <v>1626</v>
      </c>
      <c r="Q3624" s="247" t="s">
        <v>85</v>
      </c>
    </row>
    <row r="3625" spans="1:17" x14ac:dyDescent="0.25">
      <c r="A3625" s="247" t="s">
        <v>646</v>
      </c>
      <c r="B3625" s="247" t="s">
        <v>265</v>
      </c>
      <c r="C3625" s="247" t="s">
        <v>1620</v>
      </c>
      <c r="D3625" s="247" t="s">
        <v>575</v>
      </c>
      <c r="E3625" s="247" t="s">
        <v>926</v>
      </c>
      <c r="F3625" s="247" t="s">
        <v>2432</v>
      </c>
      <c r="G3625" s="247" t="s">
        <v>1625</v>
      </c>
      <c r="H3625" s="247"/>
      <c r="I3625" s="247" t="s">
        <v>2433</v>
      </c>
      <c r="J3625" s="247">
        <v>96</v>
      </c>
      <c r="K3625" s="247">
        <v>96</v>
      </c>
      <c r="L3625" s="249" t="s">
        <v>652</v>
      </c>
      <c r="M3625" s="249" t="s">
        <v>933</v>
      </c>
      <c r="N3625" s="248">
        <v>20215.990000000002</v>
      </c>
      <c r="O3625" s="248">
        <v>133700.06</v>
      </c>
      <c r="P3625" s="247" t="s">
        <v>1626</v>
      </c>
      <c r="Q3625" s="247" t="s">
        <v>86</v>
      </c>
    </row>
    <row r="3626" spans="1:17" x14ac:dyDescent="0.25">
      <c r="A3626" s="247" t="s">
        <v>646</v>
      </c>
      <c r="B3626" s="247" t="s">
        <v>265</v>
      </c>
      <c r="C3626" s="247" t="s">
        <v>1620</v>
      </c>
      <c r="D3626" s="247" t="s">
        <v>575</v>
      </c>
      <c r="E3626" s="247" t="s">
        <v>926</v>
      </c>
      <c r="F3626" s="247" t="s">
        <v>2432</v>
      </c>
      <c r="G3626" s="247" t="s">
        <v>1625</v>
      </c>
      <c r="H3626" s="247"/>
      <c r="I3626" s="247" t="s">
        <v>2433</v>
      </c>
      <c r="J3626" s="247">
        <v>96</v>
      </c>
      <c r="K3626" s="247">
        <v>96</v>
      </c>
      <c r="L3626" s="249" t="s">
        <v>789</v>
      </c>
      <c r="M3626" s="249" t="s">
        <v>929</v>
      </c>
      <c r="N3626" s="248">
        <v>1051.8399999999999</v>
      </c>
      <c r="O3626" s="248">
        <v>1051.8399999999999</v>
      </c>
      <c r="P3626" s="247" t="s">
        <v>1626</v>
      </c>
      <c r="Q3626" s="247" t="s">
        <v>87</v>
      </c>
    </row>
    <row r="3627" spans="1:17" x14ac:dyDescent="0.25">
      <c r="A3627" s="247" t="s">
        <v>646</v>
      </c>
      <c r="B3627" s="247" t="s">
        <v>265</v>
      </c>
      <c r="C3627" s="247" t="s">
        <v>1620</v>
      </c>
      <c r="D3627" s="247" t="s">
        <v>575</v>
      </c>
      <c r="E3627" s="247" t="s">
        <v>926</v>
      </c>
      <c r="F3627" s="247" t="s">
        <v>2432</v>
      </c>
      <c r="G3627" s="247" t="s">
        <v>1625</v>
      </c>
      <c r="H3627" s="247"/>
      <c r="I3627" s="247" t="s">
        <v>2433</v>
      </c>
      <c r="J3627" s="247">
        <v>96</v>
      </c>
      <c r="K3627" s="247">
        <v>96</v>
      </c>
      <c r="L3627" s="249" t="s">
        <v>791</v>
      </c>
      <c r="M3627" s="249" t="s">
        <v>929</v>
      </c>
      <c r="N3627" s="248">
        <v>1472.96</v>
      </c>
      <c r="O3627" s="248">
        <v>2524.8000000000002</v>
      </c>
      <c r="P3627" s="247" t="s">
        <v>1626</v>
      </c>
      <c r="Q3627" s="247" t="s">
        <v>88</v>
      </c>
    </row>
    <row r="3628" spans="1:17" x14ac:dyDescent="0.25">
      <c r="A3628" s="247" t="s">
        <v>646</v>
      </c>
      <c r="B3628" s="247" t="s">
        <v>265</v>
      </c>
      <c r="C3628" s="247" t="s">
        <v>1620</v>
      </c>
      <c r="D3628" s="247" t="s">
        <v>575</v>
      </c>
      <c r="E3628" s="247" t="s">
        <v>926</v>
      </c>
      <c r="F3628" s="247" t="s">
        <v>2432</v>
      </c>
      <c r="G3628" s="247" t="s">
        <v>1625</v>
      </c>
      <c r="H3628" s="247"/>
      <c r="I3628" s="247" t="s">
        <v>2433</v>
      </c>
      <c r="J3628" s="247">
        <v>96</v>
      </c>
      <c r="K3628" s="247">
        <v>96</v>
      </c>
      <c r="L3628" s="249" t="s">
        <v>935</v>
      </c>
      <c r="M3628" s="249" t="s">
        <v>929</v>
      </c>
      <c r="N3628" s="248">
        <v>2651.12</v>
      </c>
      <c r="O3628" s="248">
        <v>5175.92</v>
      </c>
      <c r="P3628" s="247" t="s">
        <v>1626</v>
      </c>
      <c r="Q3628" s="247" t="s">
        <v>89</v>
      </c>
    </row>
    <row r="3629" spans="1:17" x14ac:dyDescent="0.25">
      <c r="A3629" s="247" t="s">
        <v>646</v>
      </c>
      <c r="B3629" s="247" t="s">
        <v>265</v>
      </c>
      <c r="C3629" s="247" t="s">
        <v>1620</v>
      </c>
      <c r="D3629" s="247" t="s">
        <v>575</v>
      </c>
      <c r="E3629" s="247" t="s">
        <v>926</v>
      </c>
      <c r="F3629" s="247" t="s">
        <v>2432</v>
      </c>
      <c r="G3629" s="247" t="s">
        <v>1625</v>
      </c>
      <c r="H3629" s="247"/>
      <c r="I3629" s="247" t="s">
        <v>2433</v>
      </c>
      <c r="J3629" s="247">
        <v>96</v>
      </c>
      <c r="K3629" s="247">
        <v>96</v>
      </c>
      <c r="L3629" s="249" t="s">
        <v>936</v>
      </c>
      <c r="M3629" s="249" t="s">
        <v>929</v>
      </c>
      <c r="N3629" s="248">
        <v>2510.96</v>
      </c>
      <c r="O3629" s="248">
        <v>7686.88</v>
      </c>
      <c r="P3629" s="247" t="s">
        <v>1626</v>
      </c>
      <c r="Q3629" s="247" t="s">
        <v>90</v>
      </c>
    </row>
    <row r="3630" spans="1:17" x14ac:dyDescent="0.25">
      <c r="A3630" s="247" t="s">
        <v>646</v>
      </c>
      <c r="B3630" s="247" t="s">
        <v>265</v>
      </c>
      <c r="C3630" s="247" t="s">
        <v>1620</v>
      </c>
      <c r="D3630" s="247" t="s">
        <v>575</v>
      </c>
      <c r="E3630" s="247" t="s">
        <v>926</v>
      </c>
      <c r="F3630" s="247" t="s">
        <v>2432</v>
      </c>
      <c r="G3630" s="247" t="s">
        <v>1625</v>
      </c>
      <c r="H3630" s="247"/>
      <c r="I3630" s="247" t="s">
        <v>2433</v>
      </c>
      <c r="J3630" s="247">
        <v>96</v>
      </c>
      <c r="K3630" s="247">
        <v>96</v>
      </c>
      <c r="L3630" s="249" t="s">
        <v>937</v>
      </c>
      <c r="M3630" s="249" t="s">
        <v>929</v>
      </c>
      <c r="N3630" s="248">
        <v>3983.69</v>
      </c>
      <c r="O3630" s="248">
        <v>11670.57</v>
      </c>
      <c r="P3630" s="247" t="s">
        <v>1626</v>
      </c>
      <c r="Q3630" s="247" t="s">
        <v>91</v>
      </c>
    </row>
    <row r="3631" spans="1:17" x14ac:dyDescent="0.25">
      <c r="A3631" s="247" t="s">
        <v>646</v>
      </c>
      <c r="B3631" s="247" t="s">
        <v>265</v>
      </c>
      <c r="C3631" s="247" t="s">
        <v>1620</v>
      </c>
      <c r="D3631" s="247" t="s">
        <v>575</v>
      </c>
      <c r="E3631" s="247" t="s">
        <v>926</v>
      </c>
      <c r="F3631" s="247" t="s">
        <v>2432</v>
      </c>
      <c r="G3631" s="247" t="s">
        <v>1625</v>
      </c>
      <c r="H3631" s="247"/>
      <c r="I3631" s="247" t="s">
        <v>2433</v>
      </c>
      <c r="J3631" s="247">
        <v>96</v>
      </c>
      <c r="K3631" s="247">
        <v>96</v>
      </c>
      <c r="L3631" s="249" t="s">
        <v>938</v>
      </c>
      <c r="M3631" s="249" t="s">
        <v>929</v>
      </c>
      <c r="N3631" s="248">
        <v>3203.56</v>
      </c>
      <c r="O3631" s="248">
        <v>14874.13</v>
      </c>
      <c r="P3631" s="247" t="s">
        <v>1626</v>
      </c>
      <c r="Q3631" s="247" t="s">
        <v>92</v>
      </c>
    </row>
    <row r="3632" spans="1:17" x14ac:dyDescent="0.25">
      <c r="A3632" s="247" t="s">
        <v>646</v>
      </c>
      <c r="B3632" s="247" t="s">
        <v>265</v>
      </c>
      <c r="C3632" s="247" t="s">
        <v>1620</v>
      </c>
      <c r="D3632" s="247" t="s">
        <v>575</v>
      </c>
      <c r="E3632" s="247" t="s">
        <v>926</v>
      </c>
      <c r="F3632" s="247" t="s">
        <v>2432</v>
      </c>
      <c r="G3632" s="247" t="s">
        <v>1625</v>
      </c>
      <c r="H3632" s="247"/>
      <c r="I3632" s="247" t="s">
        <v>2433</v>
      </c>
      <c r="J3632" s="247">
        <v>96</v>
      </c>
      <c r="K3632" s="247">
        <v>96</v>
      </c>
      <c r="L3632" s="249" t="s">
        <v>939</v>
      </c>
      <c r="M3632" s="249" t="s">
        <v>929</v>
      </c>
      <c r="N3632" s="248">
        <v>3133.06</v>
      </c>
      <c r="O3632" s="248">
        <v>18007.189999999999</v>
      </c>
      <c r="P3632" s="247" t="s">
        <v>1626</v>
      </c>
      <c r="Q3632" s="247" t="s">
        <v>93</v>
      </c>
    </row>
    <row r="3633" spans="1:17" x14ac:dyDescent="0.25">
      <c r="A3633" s="247" t="s">
        <v>646</v>
      </c>
      <c r="B3633" s="247" t="s">
        <v>265</v>
      </c>
      <c r="C3633" s="247" t="s">
        <v>1620</v>
      </c>
      <c r="D3633" s="247" t="s">
        <v>575</v>
      </c>
      <c r="E3633" s="247" t="s">
        <v>926</v>
      </c>
      <c r="F3633" s="247" t="s">
        <v>2432</v>
      </c>
      <c r="G3633" s="247" t="s">
        <v>1625</v>
      </c>
      <c r="H3633" s="247"/>
      <c r="I3633" s="247" t="s">
        <v>2433</v>
      </c>
      <c r="J3633" s="247">
        <v>96</v>
      </c>
      <c r="K3633" s="247">
        <v>96</v>
      </c>
      <c r="L3633" s="249" t="s">
        <v>940</v>
      </c>
      <c r="M3633" s="249" t="s">
        <v>929</v>
      </c>
      <c r="N3633" s="248">
        <v>2569.29</v>
      </c>
      <c r="O3633" s="248">
        <v>20576.48</v>
      </c>
      <c r="P3633" s="247" t="s">
        <v>1626</v>
      </c>
      <c r="Q3633" s="247" t="s">
        <v>94</v>
      </c>
    </row>
    <row r="3634" spans="1:17" x14ac:dyDescent="0.25">
      <c r="A3634" s="247" t="s">
        <v>646</v>
      </c>
      <c r="B3634" s="247" t="s">
        <v>265</v>
      </c>
      <c r="C3634" s="247" t="s">
        <v>1620</v>
      </c>
      <c r="D3634" s="247" t="s">
        <v>575</v>
      </c>
      <c r="E3634" s="247" t="s">
        <v>926</v>
      </c>
      <c r="F3634" s="247" t="s">
        <v>2432</v>
      </c>
      <c r="G3634" s="247" t="s">
        <v>1625</v>
      </c>
      <c r="H3634" s="247"/>
      <c r="I3634" s="247" t="s">
        <v>2433</v>
      </c>
      <c r="J3634" s="247">
        <v>96</v>
      </c>
      <c r="K3634" s="247">
        <v>96</v>
      </c>
      <c r="L3634" s="249" t="s">
        <v>642</v>
      </c>
      <c r="M3634" s="249" t="s">
        <v>929</v>
      </c>
      <c r="N3634" s="248">
        <v>1844.46</v>
      </c>
      <c r="O3634" s="248">
        <v>22420.94</v>
      </c>
      <c r="P3634" s="247" t="s">
        <v>1626</v>
      </c>
      <c r="Q3634" s="247" t="s">
        <v>95</v>
      </c>
    </row>
    <row r="3635" spans="1:17" x14ac:dyDescent="0.25">
      <c r="A3635" s="247" t="s">
        <v>646</v>
      </c>
      <c r="B3635" s="247" t="s">
        <v>265</v>
      </c>
      <c r="C3635" s="247" t="s">
        <v>1620</v>
      </c>
      <c r="D3635" s="247" t="s">
        <v>1627</v>
      </c>
      <c r="E3635" s="247" t="s">
        <v>926</v>
      </c>
      <c r="F3635" s="247" t="s">
        <v>2434</v>
      </c>
      <c r="G3635" s="247" t="s">
        <v>1628</v>
      </c>
      <c r="H3635" s="247"/>
      <c r="I3635" s="247" t="s">
        <v>2435</v>
      </c>
      <c r="J3635" s="247">
        <v>97</v>
      </c>
      <c r="K3635" s="247">
        <v>97</v>
      </c>
      <c r="L3635" s="249" t="s">
        <v>646</v>
      </c>
      <c r="M3635" s="249" t="s">
        <v>933</v>
      </c>
      <c r="N3635" s="248">
        <v>5258.72</v>
      </c>
      <c r="O3635" s="248">
        <v>36407.01</v>
      </c>
      <c r="P3635" s="247" t="s">
        <v>1629</v>
      </c>
      <c r="Q3635" s="247" t="s">
        <v>84</v>
      </c>
    </row>
    <row r="3636" spans="1:17" x14ac:dyDescent="0.25">
      <c r="A3636" s="247" t="s">
        <v>646</v>
      </c>
      <c r="B3636" s="247" t="s">
        <v>265</v>
      </c>
      <c r="C3636" s="247" t="s">
        <v>1620</v>
      </c>
      <c r="D3636" s="247" t="s">
        <v>1627</v>
      </c>
      <c r="E3636" s="247" t="s">
        <v>926</v>
      </c>
      <c r="F3636" s="247" t="s">
        <v>2434</v>
      </c>
      <c r="G3636" s="247" t="s">
        <v>1628</v>
      </c>
      <c r="H3636" s="247"/>
      <c r="I3636" s="247" t="s">
        <v>2435</v>
      </c>
      <c r="J3636" s="247">
        <v>97</v>
      </c>
      <c r="K3636" s="247">
        <v>97</v>
      </c>
      <c r="L3636" s="249" t="s">
        <v>650</v>
      </c>
      <c r="M3636" s="249" t="s">
        <v>933</v>
      </c>
      <c r="N3636" s="248">
        <v>5862.8</v>
      </c>
      <c r="O3636" s="248">
        <v>42269.81</v>
      </c>
      <c r="P3636" s="247" t="s">
        <v>1629</v>
      </c>
      <c r="Q3636" s="247" t="s">
        <v>85</v>
      </c>
    </row>
    <row r="3637" spans="1:17" x14ac:dyDescent="0.25">
      <c r="A3637" s="247" t="s">
        <v>646</v>
      </c>
      <c r="B3637" s="247" t="s">
        <v>265</v>
      </c>
      <c r="C3637" s="247" t="s">
        <v>1620</v>
      </c>
      <c r="D3637" s="247" t="s">
        <v>1627</v>
      </c>
      <c r="E3637" s="247" t="s">
        <v>926</v>
      </c>
      <c r="F3637" s="247" t="s">
        <v>2434</v>
      </c>
      <c r="G3637" s="247" t="s">
        <v>1628</v>
      </c>
      <c r="H3637" s="247"/>
      <c r="I3637" s="247" t="s">
        <v>2435</v>
      </c>
      <c r="J3637" s="247">
        <v>97</v>
      </c>
      <c r="K3637" s="247">
        <v>97</v>
      </c>
      <c r="L3637" s="249" t="s">
        <v>652</v>
      </c>
      <c r="M3637" s="249" t="s">
        <v>933</v>
      </c>
      <c r="N3637" s="248">
        <v>5794.69</v>
      </c>
      <c r="O3637" s="248">
        <v>48064.5</v>
      </c>
      <c r="P3637" s="247" t="s">
        <v>1629</v>
      </c>
      <c r="Q3637" s="247" t="s">
        <v>86</v>
      </c>
    </row>
    <row r="3638" spans="1:17" x14ac:dyDescent="0.25">
      <c r="A3638" s="247" t="s">
        <v>646</v>
      </c>
      <c r="B3638" s="247" t="s">
        <v>265</v>
      </c>
      <c r="C3638" s="247" t="s">
        <v>1620</v>
      </c>
      <c r="D3638" s="247" t="s">
        <v>1627</v>
      </c>
      <c r="E3638" s="247" t="s">
        <v>926</v>
      </c>
      <c r="F3638" s="247" t="s">
        <v>2434</v>
      </c>
      <c r="G3638" s="247" t="s">
        <v>1628</v>
      </c>
      <c r="H3638" s="247"/>
      <c r="I3638" s="247" t="s">
        <v>2435</v>
      </c>
      <c r="J3638" s="247">
        <v>97</v>
      </c>
      <c r="K3638" s="247">
        <v>97</v>
      </c>
      <c r="L3638" s="249" t="s">
        <v>789</v>
      </c>
      <c r="M3638" s="249" t="s">
        <v>929</v>
      </c>
      <c r="N3638" s="248">
        <v>5194.67</v>
      </c>
      <c r="O3638" s="248">
        <v>5194.67</v>
      </c>
      <c r="P3638" s="247" t="s">
        <v>1629</v>
      </c>
      <c r="Q3638" s="247" t="s">
        <v>87</v>
      </c>
    </row>
    <row r="3639" spans="1:17" x14ac:dyDescent="0.25">
      <c r="A3639" s="247" t="s">
        <v>646</v>
      </c>
      <c r="B3639" s="247" t="s">
        <v>265</v>
      </c>
      <c r="C3639" s="247" t="s">
        <v>1620</v>
      </c>
      <c r="D3639" s="247" t="s">
        <v>1627</v>
      </c>
      <c r="E3639" s="247" t="s">
        <v>926</v>
      </c>
      <c r="F3639" s="247" t="s">
        <v>2434</v>
      </c>
      <c r="G3639" s="247" t="s">
        <v>1628</v>
      </c>
      <c r="H3639" s="247"/>
      <c r="I3639" s="247" t="s">
        <v>2435</v>
      </c>
      <c r="J3639" s="247">
        <v>97</v>
      </c>
      <c r="K3639" s="247">
        <v>97</v>
      </c>
      <c r="L3639" s="249" t="s">
        <v>791</v>
      </c>
      <c r="M3639" s="249" t="s">
        <v>929</v>
      </c>
      <c r="N3639" s="248">
        <v>6859.87</v>
      </c>
      <c r="O3639" s="248">
        <v>12054.54</v>
      </c>
      <c r="P3639" s="247" t="s">
        <v>1629</v>
      </c>
      <c r="Q3639" s="247" t="s">
        <v>88</v>
      </c>
    </row>
    <row r="3640" spans="1:17" x14ac:dyDescent="0.25">
      <c r="A3640" s="247" t="s">
        <v>646</v>
      </c>
      <c r="B3640" s="247" t="s">
        <v>265</v>
      </c>
      <c r="C3640" s="247" t="s">
        <v>1620</v>
      </c>
      <c r="D3640" s="247" t="s">
        <v>1627</v>
      </c>
      <c r="E3640" s="247" t="s">
        <v>926</v>
      </c>
      <c r="F3640" s="247" t="s">
        <v>2434</v>
      </c>
      <c r="G3640" s="247" t="s">
        <v>1628</v>
      </c>
      <c r="H3640" s="247"/>
      <c r="I3640" s="247" t="s">
        <v>2435</v>
      </c>
      <c r="J3640" s="247">
        <v>97</v>
      </c>
      <c r="K3640" s="247">
        <v>97</v>
      </c>
      <c r="L3640" s="249" t="s">
        <v>935</v>
      </c>
      <c r="M3640" s="249" t="s">
        <v>929</v>
      </c>
      <c r="N3640" s="248">
        <v>5307.12</v>
      </c>
      <c r="O3640" s="248">
        <v>17361.66</v>
      </c>
      <c r="P3640" s="247" t="s">
        <v>1629</v>
      </c>
      <c r="Q3640" s="247" t="s">
        <v>89</v>
      </c>
    </row>
    <row r="3641" spans="1:17" x14ac:dyDescent="0.25">
      <c r="A3641" s="247" t="s">
        <v>646</v>
      </c>
      <c r="B3641" s="247" t="s">
        <v>265</v>
      </c>
      <c r="C3641" s="247" t="s">
        <v>1620</v>
      </c>
      <c r="D3641" s="247" t="s">
        <v>1627</v>
      </c>
      <c r="E3641" s="247" t="s">
        <v>926</v>
      </c>
      <c r="F3641" s="247" t="s">
        <v>2434</v>
      </c>
      <c r="G3641" s="247" t="s">
        <v>1628</v>
      </c>
      <c r="H3641" s="247"/>
      <c r="I3641" s="247" t="s">
        <v>2435</v>
      </c>
      <c r="J3641" s="247">
        <v>97</v>
      </c>
      <c r="K3641" s="247">
        <v>97</v>
      </c>
      <c r="L3641" s="249" t="s">
        <v>936</v>
      </c>
      <c r="M3641" s="249" t="s">
        <v>929</v>
      </c>
      <c r="N3641" s="248">
        <v>7317.58</v>
      </c>
      <c r="O3641" s="248">
        <v>24679.24</v>
      </c>
      <c r="P3641" s="247" t="s">
        <v>1629</v>
      </c>
      <c r="Q3641" s="247" t="s">
        <v>90</v>
      </c>
    </row>
    <row r="3642" spans="1:17" x14ac:dyDescent="0.25">
      <c r="A3642" s="247" t="s">
        <v>646</v>
      </c>
      <c r="B3642" s="247" t="s">
        <v>265</v>
      </c>
      <c r="C3642" s="247" t="s">
        <v>1620</v>
      </c>
      <c r="D3642" s="247" t="s">
        <v>1627</v>
      </c>
      <c r="E3642" s="247" t="s">
        <v>926</v>
      </c>
      <c r="F3642" s="247" t="s">
        <v>2434</v>
      </c>
      <c r="G3642" s="247" t="s">
        <v>1628</v>
      </c>
      <c r="H3642" s="247"/>
      <c r="I3642" s="247" t="s">
        <v>2435</v>
      </c>
      <c r="J3642" s="247">
        <v>97</v>
      </c>
      <c r="K3642" s="247">
        <v>97</v>
      </c>
      <c r="L3642" s="249" t="s">
        <v>937</v>
      </c>
      <c r="M3642" s="249" t="s">
        <v>929</v>
      </c>
      <c r="N3642" s="248">
        <v>6319.04</v>
      </c>
      <c r="O3642" s="248">
        <v>30998.28</v>
      </c>
      <c r="P3642" s="247" t="s">
        <v>1629</v>
      </c>
      <c r="Q3642" s="247" t="s">
        <v>91</v>
      </c>
    </row>
    <row r="3643" spans="1:17" x14ac:dyDescent="0.25">
      <c r="A3643" s="247" t="s">
        <v>646</v>
      </c>
      <c r="B3643" s="247" t="s">
        <v>265</v>
      </c>
      <c r="C3643" s="247" t="s">
        <v>1620</v>
      </c>
      <c r="D3643" s="247" t="s">
        <v>1627</v>
      </c>
      <c r="E3643" s="247" t="s">
        <v>926</v>
      </c>
      <c r="F3643" s="247" t="s">
        <v>2434</v>
      </c>
      <c r="G3643" s="247" t="s">
        <v>1628</v>
      </c>
      <c r="H3643" s="247"/>
      <c r="I3643" s="247" t="s">
        <v>2435</v>
      </c>
      <c r="J3643" s="247">
        <v>97</v>
      </c>
      <c r="K3643" s="247">
        <v>97</v>
      </c>
      <c r="L3643" s="249" t="s">
        <v>938</v>
      </c>
      <c r="M3643" s="249" t="s">
        <v>929</v>
      </c>
      <c r="N3643" s="248">
        <v>7204.08</v>
      </c>
      <c r="O3643" s="248">
        <v>38202.36</v>
      </c>
      <c r="P3643" s="247" t="s">
        <v>1629</v>
      </c>
      <c r="Q3643" s="247" t="s">
        <v>92</v>
      </c>
    </row>
    <row r="3644" spans="1:17" x14ac:dyDescent="0.25">
      <c r="A3644" s="247" t="s">
        <v>646</v>
      </c>
      <c r="B3644" s="247" t="s">
        <v>265</v>
      </c>
      <c r="C3644" s="247" t="s">
        <v>1620</v>
      </c>
      <c r="D3644" s="247" t="s">
        <v>1627</v>
      </c>
      <c r="E3644" s="247" t="s">
        <v>926</v>
      </c>
      <c r="F3644" s="247" t="s">
        <v>2434</v>
      </c>
      <c r="G3644" s="247" t="s">
        <v>1628</v>
      </c>
      <c r="H3644" s="247"/>
      <c r="I3644" s="247" t="s">
        <v>2435</v>
      </c>
      <c r="J3644" s="247">
        <v>97</v>
      </c>
      <c r="K3644" s="247">
        <v>97</v>
      </c>
      <c r="L3644" s="249" t="s">
        <v>939</v>
      </c>
      <c r="M3644" s="249" t="s">
        <v>929</v>
      </c>
      <c r="N3644" s="248">
        <v>7252.57</v>
      </c>
      <c r="O3644" s="248">
        <v>45454.93</v>
      </c>
      <c r="P3644" s="247" t="s">
        <v>1629</v>
      </c>
      <c r="Q3644" s="247" t="s">
        <v>93</v>
      </c>
    </row>
    <row r="3645" spans="1:17" x14ac:dyDescent="0.25">
      <c r="A3645" s="247" t="s">
        <v>646</v>
      </c>
      <c r="B3645" s="247" t="s">
        <v>265</v>
      </c>
      <c r="C3645" s="247" t="s">
        <v>1620</v>
      </c>
      <c r="D3645" s="247" t="s">
        <v>1627</v>
      </c>
      <c r="E3645" s="247" t="s">
        <v>926</v>
      </c>
      <c r="F3645" s="247" t="s">
        <v>2434</v>
      </c>
      <c r="G3645" s="247" t="s">
        <v>1628</v>
      </c>
      <c r="H3645" s="247"/>
      <c r="I3645" s="247" t="s">
        <v>2435</v>
      </c>
      <c r="J3645" s="247">
        <v>97</v>
      </c>
      <c r="K3645" s="247">
        <v>97</v>
      </c>
      <c r="L3645" s="249" t="s">
        <v>940</v>
      </c>
      <c r="M3645" s="249" t="s">
        <v>929</v>
      </c>
      <c r="N3645" s="248">
        <v>7978.19</v>
      </c>
      <c r="O3645" s="248">
        <v>53433.120000000003</v>
      </c>
      <c r="P3645" s="247" t="s">
        <v>1629</v>
      </c>
      <c r="Q3645" s="247" t="s">
        <v>94</v>
      </c>
    </row>
    <row r="3646" spans="1:17" x14ac:dyDescent="0.25">
      <c r="A3646" s="247" t="s">
        <v>646</v>
      </c>
      <c r="B3646" s="247" t="s">
        <v>265</v>
      </c>
      <c r="C3646" s="247" t="s">
        <v>1620</v>
      </c>
      <c r="D3646" s="247" t="s">
        <v>1627</v>
      </c>
      <c r="E3646" s="247" t="s">
        <v>926</v>
      </c>
      <c r="F3646" s="247" t="s">
        <v>2434</v>
      </c>
      <c r="G3646" s="247" t="s">
        <v>1628</v>
      </c>
      <c r="H3646" s="247"/>
      <c r="I3646" s="247" t="s">
        <v>2435</v>
      </c>
      <c r="J3646" s="247">
        <v>97</v>
      </c>
      <c r="K3646" s="247">
        <v>97</v>
      </c>
      <c r="L3646" s="249" t="s">
        <v>642</v>
      </c>
      <c r="M3646" s="249" t="s">
        <v>929</v>
      </c>
      <c r="N3646" s="248">
        <v>7649.49</v>
      </c>
      <c r="O3646" s="248">
        <v>61082.61</v>
      </c>
      <c r="P3646" s="247" t="s">
        <v>1629</v>
      </c>
      <c r="Q3646" s="247" t="s">
        <v>95</v>
      </c>
    </row>
    <row r="3647" spans="1:17" x14ac:dyDescent="0.25">
      <c r="A3647" s="247" t="s">
        <v>646</v>
      </c>
      <c r="B3647" s="247" t="s">
        <v>265</v>
      </c>
      <c r="C3647" s="247" t="s">
        <v>1620</v>
      </c>
      <c r="D3647" s="247" t="s">
        <v>1356</v>
      </c>
      <c r="E3647" s="247" t="s">
        <v>926</v>
      </c>
      <c r="F3647" s="247" t="s">
        <v>2436</v>
      </c>
      <c r="G3647" s="247" t="s">
        <v>320</v>
      </c>
      <c r="H3647" s="247"/>
      <c r="I3647" s="247" t="s">
        <v>2437</v>
      </c>
      <c r="J3647" s="247">
        <v>98</v>
      </c>
      <c r="K3647" s="247">
        <v>98</v>
      </c>
      <c r="L3647" s="249" t="s">
        <v>646</v>
      </c>
      <c r="M3647" s="249" t="s">
        <v>933</v>
      </c>
      <c r="N3647" s="248">
        <v>527.17999999999995</v>
      </c>
      <c r="O3647" s="248">
        <v>4535.37</v>
      </c>
      <c r="P3647" s="247" t="s">
        <v>1630</v>
      </c>
      <c r="Q3647" s="247" t="s">
        <v>84</v>
      </c>
    </row>
    <row r="3648" spans="1:17" x14ac:dyDescent="0.25">
      <c r="A3648" s="247" t="s">
        <v>646</v>
      </c>
      <c r="B3648" s="247" t="s">
        <v>265</v>
      </c>
      <c r="C3648" s="247" t="s">
        <v>1620</v>
      </c>
      <c r="D3648" s="247" t="s">
        <v>1356</v>
      </c>
      <c r="E3648" s="247" t="s">
        <v>926</v>
      </c>
      <c r="F3648" s="247" t="s">
        <v>2436</v>
      </c>
      <c r="G3648" s="247" t="s">
        <v>320</v>
      </c>
      <c r="H3648" s="247"/>
      <c r="I3648" s="247" t="s">
        <v>2437</v>
      </c>
      <c r="J3648" s="247">
        <v>98</v>
      </c>
      <c r="K3648" s="247">
        <v>98</v>
      </c>
      <c r="L3648" s="249" t="s">
        <v>650</v>
      </c>
      <c r="M3648" s="249" t="s">
        <v>933</v>
      </c>
      <c r="N3648" s="248">
        <v>543.59</v>
      </c>
      <c r="O3648" s="248">
        <v>5078.96</v>
      </c>
      <c r="P3648" s="247" t="s">
        <v>1630</v>
      </c>
      <c r="Q3648" s="247" t="s">
        <v>85</v>
      </c>
    </row>
    <row r="3649" spans="1:17" x14ac:dyDescent="0.25">
      <c r="A3649" s="247" t="s">
        <v>646</v>
      </c>
      <c r="B3649" s="247" t="s">
        <v>265</v>
      </c>
      <c r="C3649" s="247" t="s">
        <v>1620</v>
      </c>
      <c r="D3649" s="247" t="s">
        <v>1356</v>
      </c>
      <c r="E3649" s="247" t="s">
        <v>926</v>
      </c>
      <c r="F3649" s="247" t="s">
        <v>2436</v>
      </c>
      <c r="G3649" s="247" t="s">
        <v>320</v>
      </c>
      <c r="H3649" s="247"/>
      <c r="I3649" s="247" t="s">
        <v>2437</v>
      </c>
      <c r="J3649" s="247">
        <v>98</v>
      </c>
      <c r="K3649" s="247">
        <v>98</v>
      </c>
      <c r="L3649" s="249" t="s">
        <v>652</v>
      </c>
      <c r="M3649" s="249" t="s">
        <v>933</v>
      </c>
      <c r="N3649" s="248">
        <v>704.4</v>
      </c>
      <c r="O3649" s="248">
        <v>5783.36</v>
      </c>
      <c r="P3649" s="247" t="s">
        <v>1630</v>
      </c>
      <c r="Q3649" s="247" t="s">
        <v>86</v>
      </c>
    </row>
    <row r="3650" spans="1:17" x14ac:dyDescent="0.25">
      <c r="A3650" s="247" t="s">
        <v>646</v>
      </c>
      <c r="B3650" s="247" t="s">
        <v>265</v>
      </c>
      <c r="C3650" s="247" t="s">
        <v>1620</v>
      </c>
      <c r="D3650" s="247" t="s">
        <v>1356</v>
      </c>
      <c r="E3650" s="247" t="s">
        <v>926</v>
      </c>
      <c r="F3650" s="247" t="s">
        <v>2436</v>
      </c>
      <c r="G3650" s="247" t="s">
        <v>320</v>
      </c>
      <c r="H3650" s="247"/>
      <c r="I3650" s="247" t="s">
        <v>2437</v>
      </c>
      <c r="J3650" s="247">
        <v>98</v>
      </c>
      <c r="K3650" s="247">
        <v>98</v>
      </c>
      <c r="L3650" s="249" t="s">
        <v>789</v>
      </c>
      <c r="M3650" s="249" t="s">
        <v>929</v>
      </c>
      <c r="N3650" s="248">
        <v>436.73</v>
      </c>
      <c r="O3650" s="248">
        <v>436.73</v>
      </c>
      <c r="P3650" s="247" t="s">
        <v>1630</v>
      </c>
      <c r="Q3650" s="247" t="s">
        <v>87</v>
      </c>
    </row>
    <row r="3651" spans="1:17" x14ac:dyDescent="0.25">
      <c r="A3651" s="247" t="s">
        <v>646</v>
      </c>
      <c r="B3651" s="247" t="s">
        <v>265</v>
      </c>
      <c r="C3651" s="247" t="s">
        <v>1620</v>
      </c>
      <c r="D3651" s="247" t="s">
        <v>1356</v>
      </c>
      <c r="E3651" s="247" t="s">
        <v>926</v>
      </c>
      <c r="F3651" s="247" t="s">
        <v>2436</v>
      </c>
      <c r="G3651" s="247" t="s">
        <v>320</v>
      </c>
      <c r="H3651" s="247"/>
      <c r="I3651" s="247" t="s">
        <v>2437</v>
      </c>
      <c r="J3651" s="247">
        <v>98</v>
      </c>
      <c r="K3651" s="247">
        <v>98</v>
      </c>
      <c r="L3651" s="249" t="s">
        <v>791</v>
      </c>
      <c r="M3651" s="249" t="s">
        <v>929</v>
      </c>
      <c r="N3651" s="248">
        <v>760.15</v>
      </c>
      <c r="O3651" s="248">
        <v>1196.8800000000001</v>
      </c>
      <c r="P3651" s="247" t="s">
        <v>1630</v>
      </c>
      <c r="Q3651" s="247" t="s">
        <v>88</v>
      </c>
    </row>
    <row r="3652" spans="1:17" x14ac:dyDescent="0.25">
      <c r="A3652" s="247" t="s">
        <v>646</v>
      </c>
      <c r="B3652" s="247" t="s">
        <v>265</v>
      </c>
      <c r="C3652" s="247" t="s">
        <v>1620</v>
      </c>
      <c r="D3652" s="247" t="s">
        <v>1356</v>
      </c>
      <c r="E3652" s="247" t="s">
        <v>926</v>
      </c>
      <c r="F3652" s="247" t="s">
        <v>2436</v>
      </c>
      <c r="G3652" s="247" t="s">
        <v>320</v>
      </c>
      <c r="H3652" s="247"/>
      <c r="I3652" s="247" t="s">
        <v>2437</v>
      </c>
      <c r="J3652" s="247">
        <v>98</v>
      </c>
      <c r="K3652" s="247">
        <v>98</v>
      </c>
      <c r="L3652" s="249" t="s">
        <v>935</v>
      </c>
      <c r="M3652" s="249" t="s">
        <v>929</v>
      </c>
      <c r="N3652" s="248">
        <v>822.94</v>
      </c>
      <c r="O3652" s="248">
        <v>2019.82</v>
      </c>
      <c r="P3652" s="247" t="s">
        <v>1630</v>
      </c>
      <c r="Q3652" s="247" t="s">
        <v>89</v>
      </c>
    </row>
    <row r="3653" spans="1:17" x14ac:dyDescent="0.25">
      <c r="A3653" s="247" t="s">
        <v>646</v>
      </c>
      <c r="B3653" s="247" t="s">
        <v>265</v>
      </c>
      <c r="C3653" s="247" t="s">
        <v>1620</v>
      </c>
      <c r="D3653" s="247" t="s">
        <v>1356</v>
      </c>
      <c r="E3653" s="247" t="s">
        <v>926</v>
      </c>
      <c r="F3653" s="247" t="s">
        <v>2436</v>
      </c>
      <c r="G3653" s="247" t="s">
        <v>320</v>
      </c>
      <c r="H3653" s="247"/>
      <c r="I3653" s="247" t="s">
        <v>2437</v>
      </c>
      <c r="J3653" s="247">
        <v>98</v>
      </c>
      <c r="K3653" s="247">
        <v>98</v>
      </c>
      <c r="L3653" s="249" t="s">
        <v>936</v>
      </c>
      <c r="M3653" s="249" t="s">
        <v>929</v>
      </c>
      <c r="N3653" s="248">
        <v>669.28</v>
      </c>
      <c r="O3653" s="248">
        <v>2689.1</v>
      </c>
      <c r="P3653" s="247" t="s">
        <v>1630</v>
      </c>
      <c r="Q3653" s="247" t="s">
        <v>90</v>
      </c>
    </row>
    <row r="3654" spans="1:17" x14ac:dyDescent="0.25">
      <c r="A3654" s="247" t="s">
        <v>646</v>
      </c>
      <c r="B3654" s="247" t="s">
        <v>265</v>
      </c>
      <c r="C3654" s="247" t="s">
        <v>1620</v>
      </c>
      <c r="D3654" s="247" t="s">
        <v>1356</v>
      </c>
      <c r="E3654" s="247" t="s">
        <v>926</v>
      </c>
      <c r="F3654" s="247" t="s">
        <v>2436</v>
      </c>
      <c r="G3654" s="247" t="s">
        <v>320</v>
      </c>
      <c r="H3654" s="247"/>
      <c r="I3654" s="247" t="s">
        <v>2437</v>
      </c>
      <c r="J3654" s="247">
        <v>98</v>
      </c>
      <c r="K3654" s="247">
        <v>98</v>
      </c>
      <c r="L3654" s="249" t="s">
        <v>937</v>
      </c>
      <c r="M3654" s="249" t="s">
        <v>929</v>
      </c>
      <c r="N3654" s="248">
        <v>966.32</v>
      </c>
      <c r="O3654" s="248">
        <v>3655.42</v>
      </c>
      <c r="P3654" s="247" t="s">
        <v>1630</v>
      </c>
      <c r="Q3654" s="247" t="s">
        <v>91</v>
      </c>
    </row>
    <row r="3655" spans="1:17" x14ac:dyDescent="0.25">
      <c r="A3655" s="247" t="s">
        <v>646</v>
      </c>
      <c r="B3655" s="247" t="s">
        <v>265</v>
      </c>
      <c r="C3655" s="247" t="s">
        <v>1620</v>
      </c>
      <c r="D3655" s="247" t="s">
        <v>1356</v>
      </c>
      <c r="E3655" s="247" t="s">
        <v>926</v>
      </c>
      <c r="F3655" s="247" t="s">
        <v>2436</v>
      </c>
      <c r="G3655" s="247" t="s">
        <v>320</v>
      </c>
      <c r="H3655" s="247"/>
      <c r="I3655" s="247" t="s">
        <v>2437</v>
      </c>
      <c r="J3655" s="247">
        <v>98</v>
      </c>
      <c r="K3655" s="247">
        <v>98</v>
      </c>
      <c r="L3655" s="249" t="s">
        <v>938</v>
      </c>
      <c r="M3655" s="249" t="s">
        <v>929</v>
      </c>
      <c r="N3655" s="248">
        <v>858.28</v>
      </c>
      <c r="O3655" s="248">
        <v>4513.7</v>
      </c>
      <c r="P3655" s="247" t="s">
        <v>1630</v>
      </c>
      <c r="Q3655" s="247" t="s">
        <v>92</v>
      </c>
    </row>
    <row r="3656" spans="1:17" x14ac:dyDescent="0.25">
      <c r="A3656" s="247" t="s">
        <v>646</v>
      </c>
      <c r="B3656" s="247" t="s">
        <v>265</v>
      </c>
      <c r="C3656" s="247" t="s">
        <v>1620</v>
      </c>
      <c r="D3656" s="247" t="s">
        <v>1356</v>
      </c>
      <c r="E3656" s="247" t="s">
        <v>926</v>
      </c>
      <c r="F3656" s="247" t="s">
        <v>2436</v>
      </c>
      <c r="G3656" s="247" t="s">
        <v>320</v>
      </c>
      <c r="H3656" s="247"/>
      <c r="I3656" s="247" t="s">
        <v>2437</v>
      </c>
      <c r="J3656" s="247">
        <v>98</v>
      </c>
      <c r="K3656" s="247">
        <v>98</v>
      </c>
      <c r="L3656" s="249" t="s">
        <v>939</v>
      </c>
      <c r="M3656" s="249" t="s">
        <v>929</v>
      </c>
      <c r="N3656" s="248">
        <v>-299.57</v>
      </c>
      <c r="O3656" s="248">
        <v>4214.13</v>
      </c>
      <c r="P3656" s="247" t="s">
        <v>1630</v>
      </c>
      <c r="Q3656" s="247" t="s">
        <v>93</v>
      </c>
    </row>
    <row r="3657" spans="1:17" x14ac:dyDescent="0.25">
      <c r="A3657" s="247" t="s">
        <v>646</v>
      </c>
      <c r="B3657" s="247" t="s">
        <v>265</v>
      </c>
      <c r="C3657" s="247" t="s">
        <v>1620</v>
      </c>
      <c r="D3657" s="247" t="s">
        <v>1356</v>
      </c>
      <c r="E3657" s="247" t="s">
        <v>926</v>
      </c>
      <c r="F3657" s="247" t="s">
        <v>2436</v>
      </c>
      <c r="G3657" s="247" t="s">
        <v>320</v>
      </c>
      <c r="H3657" s="247"/>
      <c r="I3657" s="247" t="s">
        <v>2437</v>
      </c>
      <c r="J3657" s="247">
        <v>98</v>
      </c>
      <c r="K3657" s="247">
        <v>98</v>
      </c>
      <c r="L3657" s="249" t="s">
        <v>940</v>
      </c>
      <c r="M3657" s="249" t="s">
        <v>929</v>
      </c>
      <c r="N3657" s="248">
        <v>510.97</v>
      </c>
      <c r="O3657" s="248">
        <v>4725.1000000000004</v>
      </c>
      <c r="P3657" s="247" t="s">
        <v>1630</v>
      </c>
      <c r="Q3657" s="247" t="s">
        <v>94</v>
      </c>
    </row>
    <row r="3658" spans="1:17" x14ac:dyDescent="0.25">
      <c r="A3658" s="247" t="s">
        <v>646</v>
      </c>
      <c r="B3658" s="247" t="s">
        <v>265</v>
      </c>
      <c r="C3658" s="247" t="s">
        <v>1620</v>
      </c>
      <c r="D3658" s="247" t="s">
        <v>1356</v>
      </c>
      <c r="E3658" s="247" t="s">
        <v>926</v>
      </c>
      <c r="F3658" s="247" t="s">
        <v>2436</v>
      </c>
      <c r="G3658" s="247" t="s">
        <v>320</v>
      </c>
      <c r="H3658" s="247"/>
      <c r="I3658" s="247" t="s">
        <v>2437</v>
      </c>
      <c r="J3658" s="247">
        <v>98</v>
      </c>
      <c r="K3658" s="247">
        <v>98</v>
      </c>
      <c r="L3658" s="249" t="s">
        <v>642</v>
      </c>
      <c r="M3658" s="249" t="s">
        <v>929</v>
      </c>
      <c r="N3658" s="248">
        <v>636.66999999999996</v>
      </c>
      <c r="O3658" s="248">
        <v>5361.77</v>
      </c>
      <c r="P3658" s="247" t="s">
        <v>1630</v>
      </c>
      <c r="Q3658" s="247" t="s">
        <v>95</v>
      </c>
    </row>
    <row r="3659" spans="1:17" x14ac:dyDescent="0.25">
      <c r="A3659" s="247" t="s">
        <v>646</v>
      </c>
      <c r="B3659" s="247" t="s">
        <v>265</v>
      </c>
      <c r="C3659" s="247" t="s">
        <v>1620</v>
      </c>
      <c r="D3659" s="247" t="s">
        <v>1507</v>
      </c>
      <c r="E3659" s="247" t="s">
        <v>926</v>
      </c>
      <c r="F3659" s="247" t="s">
        <v>2438</v>
      </c>
      <c r="G3659" s="247" t="s">
        <v>321</v>
      </c>
      <c r="H3659" s="247"/>
      <c r="I3659" s="247" t="s">
        <v>2439</v>
      </c>
      <c r="J3659" s="247">
        <v>99</v>
      </c>
      <c r="K3659" s="247">
        <v>99</v>
      </c>
      <c r="L3659" s="249" t="s">
        <v>646</v>
      </c>
      <c r="M3659" s="249" t="s">
        <v>933</v>
      </c>
      <c r="N3659" s="248">
        <v>3096.9</v>
      </c>
      <c r="O3659" s="248">
        <v>29251.8</v>
      </c>
      <c r="P3659" s="247" t="s">
        <v>1631</v>
      </c>
      <c r="Q3659" s="247" t="s">
        <v>84</v>
      </c>
    </row>
    <row r="3660" spans="1:17" x14ac:dyDescent="0.25">
      <c r="A3660" s="247" t="s">
        <v>646</v>
      </c>
      <c r="B3660" s="247" t="s">
        <v>265</v>
      </c>
      <c r="C3660" s="247" t="s">
        <v>1620</v>
      </c>
      <c r="D3660" s="247" t="s">
        <v>1507</v>
      </c>
      <c r="E3660" s="247" t="s">
        <v>926</v>
      </c>
      <c r="F3660" s="247" t="s">
        <v>2438</v>
      </c>
      <c r="G3660" s="247" t="s">
        <v>321</v>
      </c>
      <c r="H3660" s="247"/>
      <c r="I3660" s="247" t="s">
        <v>2439</v>
      </c>
      <c r="J3660" s="247">
        <v>99</v>
      </c>
      <c r="K3660" s="247">
        <v>99</v>
      </c>
      <c r="L3660" s="249" t="s">
        <v>650</v>
      </c>
      <c r="M3660" s="249" t="s">
        <v>933</v>
      </c>
      <c r="N3660" s="248">
        <v>4446.3500000000004</v>
      </c>
      <c r="O3660" s="248">
        <v>33698.15</v>
      </c>
      <c r="P3660" s="247" t="s">
        <v>1631</v>
      </c>
      <c r="Q3660" s="247" t="s">
        <v>85</v>
      </c>
    </row>
    <row r="3661" spans="1:17" x14ac:dyDescent="0.25">
      <c r="A3661" s="247" t="s">
        <v>646</v>
      </c>
      <c r="B3661" s="247" t="s">
        <v>265</v>
      </c>
      <c r="C3661" s="247" t="s">
        <v>1620</v>
      </c>
      <c r="D3661" s="247" t="s">
        <v>1507</v>
      </c>
      <c r="E3661" s="247" t="s">
        <v>926</v>
      </c>
      <c r="F3661" s="247" t="s">
        <v>2438</v>
      </c>
      <c r="G3661" s="247" t="s">
        <v>321</v>
      </c>
      <c r="H3661" s="247"/>
      <c r="I3661" s="247" t="s">
        <v>2439</v>
      </c>
      <c r="J3661" s="247">
        <v>99</v>
      </c>
      <c r="K3661" s="247">
        <v>99</v>
      </c>
      <c r="L3661" s="249" t="s">
        <v>652</v>
      </c>
      <c r="M3661" s="249" t="s">
        <v>933</v>
      </c>
      <c r="N3661" s="248">
        <v>3400.35</v>
      </c>
      <c r="O3661" s="248">
        <v>37098.5</v>
      </c>
      <c r="P3661" s="247" t="s">
        <v>1631</v>
      </c>
      <c r="Q3661" s="247" t="s">
        <v>86</v>
      </c>
    </row>
    <row r="3662" spans="1:17" x14ac:dyDescent="0.25">
      <c r="A3662" s="247" t="s">
        <v>646</v>
      </c>
      <c r="B3662" s="247" t="s">
        <v>265</v>
      </c>
      <c r="C3662" s="247" t="s">
        <v>1620</v>
      </c>
      <c r="D3662" s="247" t="s">
        <v>1507</v>
      </c>
      <c r="E3662" s="247" t="s">
        <v>926</v>
      </c>
      <c r="F3662" s="247" t="s">
        <v>2438</v>
      </c>
      <c r="G3662" s="247" t="s">
        <v>321</v>
      </c>
      <c r="H3662" s="247"/>
      <c r="I3662" s="247" t="s">
        <v>2439</v>
      </c>
      <c r="J3662" s="247">
        <v>99</v>
      </c>
      <c r="K3662" s="247">
        <v>99</v>
      </c>
      <c r="L3662" s="249" t="s">
        <v>789</v>
      </c>
      <c r="M3662" s="249" t="s">
        <v>929</v>
      </c>
      <c r="N3662" s="248">
        <v>720.01</v>
      </c>
      <c r="O3662" s="248">
        <v>720.01</v>
      </c>
      <c r="P3662" s="247" t="s">
        <v>1631</v>
      </c>
      <c r="Q3662" s="247" t="s">
        <v>87</v>
      </c>
    </row>
    <row r="3663" spans="1:17" x14ac:dyDescent="0.25">
      <c r="A3663" s="247" t="s">
        <v>646</v>
      </c>
      <c r="B3663" s="247" t="s">
        <v>265</v>
      </c>
      <c r="C3663" s="247" t="s">
        <v>1620</v>
      </c>
      <c r="D3663" s="247" t="s">
        <v>1507</v>
      </c>
      <c r="E3663" s="247" t="s">
        <v>926</v>
      </c>
      <c r="F3663" s="247" t="s">
        <v>2438</v>
      </c>
      <c r="G3663" s="247" t="s">
        <v>321</v>
      </c>
      <c r="H3663" s="247"/>
      <c r="I3663" s="247" t="s">
        <v>2439</v>
      </c>
      <c r="J3663" s="247">
        <v>99</v>
      </c>
      <c r="K3663" s="247">
        <v>99</v>
      </c>
      <c r="L3663" s="249" t="s">
        <v>791</v>
      </c>
      <c r="M3663" s="249" t="s">
        <v>929</v>
      </c>
      <c r="N3663" s="248">
        <v>2301</v>
      </c>
      <c r="O3663" s="248">
        <v>3021.01</v>
      </c>
      <c r="P3663" s="247" t="s">
        <v>1631</v>
      </c>
      <c r="Q3663" s="247" t="s">
        <v>88</v>
      </c>
    </row>
    <row r="3664" spans="1:17" x14ac:dyDescent="0.25">
      <c r="A3664" s="247" t="s">
        <v>646</v>
      </c>
      <c r="B3664" s="247" t="s">
        <v>265</v>
      </c>
      <c r="C3664" s="247" t="s">
        <v>1620</v>
      </c>
      <c r="D3664" s="247" t="s">
        <v>1507</v>
      </c>
      <c r="E3664" s="247" t="s">
        <v>926</v>
      </c>
      <c r="F3664" s="247" t="s">
        <v>2438</v>
      </c>
      <c r="G3664" s="247" t="s">
        <v>321</v>
      </c>
      <c r="H3664" s="247"/>
      <c r="I3664" s="247" t="s">
        <v>2439</v>
      </c>
      <c r="J3664" s="247">
        <v>99</v>
      </c>
      <c r="K3664" s="247">
        <v>99</v>
      </c>
      <c r="L3664" s="249" t="s">
        <v>935</v>
      </c>
      <c r="M3664" s="249" t="s">
        <v>929</v>
      </c>
      <c r="N3664" s="248">
        <v>2378.48</v>
      </c>
      <c r="O3664" s="248">
        <v>5399.49</v>
      </c>
      <c r="P3664" s="247" t="s">
        <v>1631</v>
      </c>
      <c r="Q3664" s="247" t="s">
        <v>89</v>
      </c>
    </row>
    <row r="3665" spans="1:17" x14ac:dyDescent="0.25">
      <c r="A3665" s="247" t="s">
        <v>646</v>
      </c>
      <c r="B3665" s="247" t="s">
        <v>265</v>
      </c>
      <c r="C3665" s="247" t="s">
        <v>1620</v>
      </c>
      <c r="D3665" s="247" t="s">
        <v>1507</v>
      </c>
      <c r="E3665" s="247" t="s">
        <v>926</v>
      </c>
      <c r="F3665" s="247" t="s">
        <v>2438</v>
      </c>
      <c r="G3665" s="247" t="s">
        <v>321</v>
      </c>
      <c r="H3665" s="247"/>
      <c r="I3665" s="247" t="s">
        <v>2439</v>
      </c>
      <c r="J3665" s="247">
        <v>99</v>
      </c>
      <c r="K3665" s="247">
        <v>99</v>
      </c>
      <c r="L3665" s="249" t="s">
        <v>936</v>
      </c>
      <c r="M3665" s="249" t="s">
        <v>929</v>
      </c>
      <c r="N3665" s="248">
        <v>2226.14</v>
      </c>
      <c r="O3665" s="248">
        <v>7625.63</v>
      </c>
      <c r="P3665" s="247" t="s">
        <v>1631</v>
      </c>
      <c r="Q3665" s="247" t="s">
        <v>90</v>
      </c>
    </row>
    <row r="3666" spans="1:17" x14ac:dyDescent="0.25">
      <c r="A3666" s="247" t="s">
        <v>646</v>
      </c>
      <c r="B3666" s="247" t="s">
        <v>265</v>
      </c>
      <c r="C3666" s="247" t="s">
        <v>1620</v>
      </c>
      <c r="D3666" s="247" t="s">
        <v>1507</v>
      </c>
      <c r="E3666" s="247" t="s">
        <v>926</v>
      </c>
      <c r="F3666" s="247" t="s">
        <v>2438</v>
      </c>
      <c r="G3666" s="247" t="s">
        <v>321</v>
      </c>
      <c r="H3666" s="247"/>
      <c r="I3666" s="247" t="s">
        <v>2439</v>
      </c>
      <c r="J3666" s="247">
        <v>99</v>
      </c>
      <c r="K3666" s="247">
        <v>99</v>
      </c>
      <c r="L3666" s="249" t="s">
        <v>937</v>
      </c>
      <c r="M3666" s="249" t="s">
        <v>929</v>
      </c>
      <c r="N3666" s="248">
        <v>1684.35</v>
      </c>
      <c r="O3666" s="248">
        <v>9309.98</v>
      </c>
      <c r="P3666" s="247" t="s">
        <v>1631</v>
      </c>
      <c r="Q3666" s="247" t="s">
        <v>91</v>
      </c>
    </row>
    <row r="3667" spans="1:17" x14ac:dyDescent="0.25">
      <c r="A3667" s="247" t="s">
        <v>646</v>
      </c>
      <c r="B3667" s="247" t="s">
        <v>265</v>
      </c>
      <c r="C3667" s="247" t="s">
        <v>1620</v>
      </c>
      <c r="D3667" s="247" t="s">
        <v>1507</v>
      </c>
      <c r="E3667" s="247" t="s">
        <v>926</v>
      </c>
      <c r="F3667" s="247" t="s">
        <v>2438</v>
      </c>
      <c r="G3667" s="247" t="s">
        <v>321</v>
      </c>
      <c r="H3667" s="247"/>
      <c r="I3667" s="247" t="s">
        <v>2439</v>
      </c>
      <c r="J3667" s="247">
        <v>99</v>
      </c>
      <c r="K3667" s="247">
        <v>99</v>
      </c>
      <c r="L3667" s="249" t="s">
        <v>938</v>
      </c>
      <c r="M3667" s="249" t="s">
        <v>929</v>
      </c>
      <c r="N3667" s="248">
        <v>2246.6999999999998</v>
      </c>
      <c r="O3667" s="248">
        <v>11556.68</v>
      </c>
      <c r="P3667" s="247" t="s">
        <v>1631</v>
      </c>
      <c r="Q3667" s="247" t="s">
        <v>92</v>
      </c>
    </row>
    <row r="3668" spans="1:17" x14ac:dyDescent="0.25">
      <c r="A3668" s="247" t="s">
        <v>646</v>
      </c>
      <c r="B3668" s="247" t="s">
        <v>265</v>
      </c>
      <c r="C3668" s="247" t="s">
        <v>1620</v>
      </c>
      <c r="D3668" s="247" t="s">
        <v>1507</v>
      </c>
      <c r="E3668" s="247" t="s">
        <v>926</v>
      </c>
      <c r="F3668" s="247" t="s">
        <v>2438</v>
      </c>
      <c r="G3668" s="247" t="s">
        <v>321</v>
      </c>
      <c r="H3668" s="247"/>
      <c r="I3668" s="247" t="s">
        <v>2439</v>
      </c>
      <c r="J3668" s="247">
        <v>99</v>
      </c>
      <c r="K3668" s="247">
        <v>99</v>
      </c>
      <c r="L3668" s="249" t="s">
        <v>939</v>
      </c>
      <c r="M3668" s="249" t="s">
        <v>929</v>
      </c>
      <c r="N3668" s="248">
        <v>2082.7600000000002</v>
      </c>
      <c r="O3668" s="248">
        <v>13639.44</v>
      </c>
      <c r="P3668" s="247" t="s">
        <v>1631</v>
      </c>
      <c r="Q3668" s="247" t="s">
        <v>93</v>
      </c>
    </row>
    <row r="3669" spans="1:17" x14ac:dyDescent="0.25">
      <c r="A3669" s="247" t="s">
        <v>646</v>
      </c>
      <c r="B3669" s="247" t="s">
        <v>265</v>
      </c>
      <c r="C3669" s="247" t="s">
        <v>1620</v>
      </c>
      <c r="D3669" s="247" t="s">
        <v>1507</v>
      </c>
      <c r="E3669" s="247" t="s">
        <v>926</v>
      </c>
      <c r="F3669" s="247" t="s">
        <v>2438</v>
      </c>
      <c r="G3669" s="247" t="s">
        <v>321</v>
      </c>
      <c r="H3669" s="247"/>
      <c r="I3669" s="247" t="s">
        <v>2439</v>
      </c>
      <c r="J3669" s="247">
        <v>99</v>
      </c>
      <c r="K3669" s="247">
        <v>99</v>
      </c>
      <c r="L3669" s="249" t="s">
        <v>940</v>
      </c>
      <c r="M3669" s="249" t="s">
        <v>929</v>
      </c>
      <c r="N3669" s="248">
        <v>2270.85</v>
      </c>
      <c r="O3669" s="248">
        <v>15910.29</v>
      </c>
      <c r="P3669" s="247" t="s">
        <v>1631</v>
      </c>
      <c r="Q3669" s="247" t="s">
        <v>94</v>
      </c>
    </row>
    <row r="3670" spans="1:17" x14ac:dyDescent="0.25">
      <c r="A3670" s="247" t="s">
        <v>646</v>
      </c>
      <c r="B3670" s="247" t="s">
        <v>265</v>
      </c>
      <c r="C3670" s="247" t="s">
        <v>1620</v>
      </c>
      <c r="D3670" s="247" t="s">
        <v>1507</v>
      </c>
      <c r="E3670" s="247" t="s">
        <v>926</v>
      </c>
      <c r="F3670" s="247" t="s">
        <v>2438</v>
      </c>
      <c r="G3670" s="247" t="s">
        <v>321</v>
      </c>
      <c r="H3670" s="247"/>
      <c r="I3670" s="247" t="s">
        <v>2439</v>
      </c>
      <c r="J3670" s="247">
        <v>99</v>
      </c>
      <c r="K3670" s="247">
        <v>99</v>
      </c>
      <c r="L3670" s="249" t="s">
        <v>642</v>
      </c>
      <c r="M3670" s="249" t="s">
        <v>929</v>
      </c>
      <c r="N3670" s="248">
        <v>2169.6999999999998</v>
      </c>
      <c r="O3670" s="248">
        <v>18079.990000000002</v>
      </c>
      <c r="P3670" s="247" t="s">
        <v>1631</v>
      </c>
      <c r="Q3670" s="247" t="s">
        <v>95</v>
      </c>
    </row>
    <row r="3671" spans="1:17" x14ac:dyDescent="0.25">
      <c r="A3671" s="247" t="s">
        <v>646</v>
      </c>
      <c r="B3671" s="247" t="s">
        <v>265</v>
      </c>
      <c r="C3671" s="247" t="s">
        <v>1620</v>
      </c>
      <c r="D3671" s="247" t="s">
        <v>1529</v>
      </c>
      <c r="E3671" s="247" t="s">
        <v>926</v>
      </c>
      <c r="F3671" s="247" t="s">
        <v>2440</v>
      </c>
      <c r="G3671" s="247" t="s">
        <v>322</v>
      </c>
      <c r="H3671" s="247"/>
      <c r="I3671" s="247" t="s">
        <v>2441</v>
      </c>
      <c r="J3671" s="247">
        <v>97</v>
      </c>
      <c r="K3671" s="247">
        <v>97</v>
      </c>
      <c r="L3671" s="249" t="s">
        <v>646</v>
      </c>
      <c r="M3671" s="249" t="s">
        <v>933</v>
      </c>
      <c r="N3671" s="248">
        <v>3211.67</v>
      </c>
      <c r="O3671" s="248">
        <v>29527.61</v>
      </c>
      <c r="P3671" s="247" t="s">
        <v>1632</v>
      </c>
      <c r="Q3671" s="247" t="s">
        <v>84</v>
      </c>
    </row>
    <row r="3672" spans="1:17" x14ac:dyDescent="0.25">
      <c r="A3672" s="247" t="s">
        <v>646</v>
      </c>
      <c r="B3672" s="247" t="s">
        <v>265</v>
      </c>
      <c r="C3672" s="247" t="s">
        <v>1620</v>
      </c>
      <c r="D3672" s="247" t="s">
        <v>1529</v>
      </c>
      <c r="E3672" s="247" t="s">
        <v>926</v>
      </c>
      <c r="F3672" s="247" t="s">
        <v>2440</v>
      </c>
      <c r="G3672" s="247" t="s">
        <v>322</v>
      </c>
      <c r="H3672" s="247"/>
      <c r="I3672" s="247" t="s">
        <v>2441</v>
      </c>
      <c r="J3672" s="247">
        <v>97</v>
      </c>
      <c r="K3672" s="247">
        <v>97</v>
      </c>
      <c r="L3672" s="249" t="s">
        <v>650</v>
      </c>
      <c r="M3672" s="249" t="s">
        <v>933</v>
      </c>
      <c r="N3672" s="248">
        <v>9011.93</v>
      </c>
      <c r="O3672" s="248">
        <v>38539.54</v>
      </c>
      <c r="P3672" s="247" t="s">
        <v>1632</v>
      </c>
      <c r="Q3672" s="247" t="s">
        <v>85</v>
      </c>
    </row>
    <row r="3673" spans="1:17" x14ac:dyDescent="0.25">
      <c r="A3673" s="247" t="s">
        <v>646</v>
      </c>
      <c r="B3673" s="247" t="s">
        <v>265</v>
      </c>
      <c r="C3673" s="247" t="s">
        <v>1620</v>
      </c>
      <c r="D3673" s="247" t="s">
        <v>1529</v>
      </c>
      <c r="E3673" s="247" t="s">
        <v>926</v>
      </c>
      <c r="F3673" s="247" t="s">
        <v>2440</v>
      </c>
      <c r="G3673" s="247" t="s">
        <v>322</v>
      </c>
      <c r="H3673" s="247"/>
      <c r="I3673" s="247" t="s">
        <v>2441</v>
      </c>
      <c r="J3673" s="247">
        <v>97</v>
      </c>
      <c r="K3673" s="247">
        <v>97</v>
      </c>
      <c r="L3673" s="249" t="s">
        <v>652</v>
      </c>
      <c r="M3673" s="249" t="s">
        <v>933</v>
      </c>
      <c r="N3673" s="248">
        <v>2527.44</v>
      </c>
      <c r="O3673" s="248">
        <v>41066.980000000003</v>
      </c>
      <c r="P3673" s="247" t="s">
        <v>1632</v>
      </c>
      <c r="Q3673" s="247" t="s">
        <v>86</v>
      </c>
    </row>
    <row r="3674" spans="1:17" x14ac:dyDescent="0.25">
      <c r="A3674" s="247" t="s">
        <v>646</v>
      </c>
      <c r="B3674" s="247" t="s">
        <v>265</v>
      </c>
      <c r="C3674" s="247" t="s">
        <v>1620</v>
      </c>
      <c r="D3674" s="247" t="s">
        <v>1529</v>
      </c>
      <c r="E3674" s="247" t="s">
        <v>926</v>
      </c>
      <c r="F3674" s="247" t="s">
        <v>2440</v>
      </c>
      <c r="G3674" s="247" t="s">
        <v>322</v>
      </c>
      <c r="H3674" s="247"/>
      <c r="I3674" s="247" t="s">
        <v>2441</v>
      </c>
      <c r="J3674" s="247">
        <v>97</v>
      </c>
      <c r="K3674" s="247">
        <v>97</v>
      </c>
      <c r="L3674" s="249" t="s">
        <v>789</v>
      </c>
      <c r="M3674" s="249" t="s">
        <v>929</v>
      </c>
      <c r="N3674" s="248">
        <v>3777.83</v>
      </c>
      <c r="O3674" s="248">
        <v>3777.83</v>
      </c>
      <c r="P3674" s="247" t="s">
        <v>1632</v>
      </c>
      <c r="Q3674" s="247" t="s">
        <v>87</v>
      </c>
    </row>
    <row r="3675" spans="1:17" x14ac:dyDescent="0.25">
      <c r="A3675" s="247" t="s">
        <v>646</v>
      </c>
      <c r="B3675" s="247" t="s">
        <v>265</v>
      </c>
      <c r="C3675" s="247" t="s">
        <v>1620</v>
      </c>
      <c r="D3675" s="247" t="s">
        <v>1529</v>
      </c>
      <c r="E3675" s="247" t="s">
        <v>926</v>
      </c>
      <c r="F3675" s="247" t="s">
        <v>2440</v>
      </c>
      <c r="G3675" s="247" t="s">
        <v>322</v>
      </c>
      <c r="H3675" s="247"/>
      <c r="I3675" s="247" t="s">
        <v>2441</v>
      </c>
      <c r="J3675" s="247">
        <v>97</v>
      </c>
      <c r="K3675" s="247">
        <v>97</v>
      </c>
      <c r="L3675" s="249" t="s">
        <v>791</v>
      </c>
      <c r="M3675" s="249" t="s">
        <v>929</v>
      </c>
      <c r="N3675" s="248">
        <v>1767.01</v>
      </c>
      <c r="O3675" s="248">
        <v>5544.84</v>
      </c>
      <c r="P3675" s="247" t="s">
        <v>1632</v>
      </c>
      <c r="Q3675" s="247" t="s">
        <v>88</v>
      </c>
    </row>
    <row r="3676" spans="1:17" x14ac:dyDescent="0.25">
      <c r="A3676" s="247" t="s">
        <v>646</v>
      </c>
      <c r="B3676" s="247" t="s">
        <v>265</v>
      </c>
      <c r="C3676" s="247" t="s">
        <v>1620</v>
      </c>
      <c r="D3676" s="247" t="s">
        <v>1529</v>
      </c>
      <c r="E3676" s="247" t="s">
        <v>926</v>
      </c>
      <c r="F3676" s="247" t="s">
        <v>2440</v>
      </c>
      <c r="G3676" s="247" t="s">
        <v>322</v>
      </c>
      <c r="H3676" s="247"/>
      <c r="I3676" s="247" t="s">
        <v>2441</v>
      </c>
      <c r="J3676" s="247">
        <v>97</v>
      </c>
      <c r="K3676" s="247">
        <v>97</v>
      </c>
      <c r="L3676" s="249" t="s">
        <v>935</v>
      </c>
      <c r="M3676" s="249" t="s">
        <v>929</v>
      </c>
      <c r="N3676" s="248">
        <v>5272.56</v>
      </c>
      <c r="O3676" s="248">
        <v>10817.4</v>
      </c>
      <c r="P3676" s="247" t="s">
        <v>1632</v>
      </c>
      <c r="Q3676" s="247" t="s">
        <v>89</v>
      </c>
    </row>
    <row r="3677" spans="1:17" x14ac:dyDescent="0.25">
      <c r="A3677" s="247" t="s">
        <v>646</v>
      </c>
      <c r="B3677" s="247" t="s">
        <v>265</v>
      </c>
      <c r="C3677" s="247" t="s">
        <v>1620</v>
      </c>
      <c r="D3677" s="247" t="s">
        <v>1529</v>
      </c>
      <c r="E3677" s="247" t="s">
        <v>926</v>
      </c>
      <c r="F3677" s="247" t="s">
        <v>2440</v>
      </c>
      <c r="G3677" s="247" t="s">
        <v>322</v>
      </c>
      <c r="H3677" s="247"/>
      <c r="I3677" s="247" t="s">
        <v>2441</v>
      </c>
      <c r="J3677" s="247">
        <v>97</v>
      </c>
      <c r="K3677" s="247">
        <v>97</v>
      </c>
      <c r="L3677" s="249" t="s">
        <v>936</v>
      </c>
      <c r="M3677" s="249" t="s">
        <v>929</v>
      </c>
      <c r="N3677" s="248">
        <v>3302.77</v>
      </c>
      <c r="O3677" s="248">
        <v>14120.17</v>
      </c>
      <c r="P3677" s="247" t="s">
        <v>1632</v>
      </c>
      <c r="Q3677" s="247" t="s">
        <v>90</v>
      </c>
    </row>
    <row r="3678" spans="1:17" x14ac:dyDescent="0.25">
      <c r="A3678" s="247" t="s">
        <v>646</v>
      </c>
      <c r="B3678" s="247" t="s">
        <v>265</v>
      </c>
      <c r="C3678" s="247" t="s">
        <v>1620</v>
      </c>
      <c r="D3678" s="247" t="s">
        <v>1529</v>
      </c>
      <c r="E3678" s="247" t="s">
        <v>926</v>
      </c>
      <c r="F3678" s="247" t="s">
        <v>2440</v>
      </c>
      <c r="G3678" s="247" t="s">
        <v>322</v>
      </c>
      <c r="H3678" s="247"/>
      <c r="I3678" s="247" t="s">
        <v>2441</v>
      </c>
      <c r="J3678" s="247">
        <v>97</v>
      </c>
      <c r="K3678" s="247">
        <v>97</v>
      </c>
      <c r="L3678" s="249" t="s">
        <v>937</v>
      </c>
      <c r="M3678" s="249" t="s">
        <v>929</v>
      </c>
      <c r="N3678" s="248">
        <v>5692.63</v>
      </c>
      <c r="O3678" s="248">
        <v>19812.8</v>
      </c>
      <c r="P3678" s="247" t="s">
        <v>1632</v>
      </c>
      <c r="Q3678" s="247" t="s">
        <v>91</v>
      </c>
    </row>
    <row r="3679" spans="1:17" x14ac:dyDescent="0.25">
      <c r="A3679" s="247" t="s">
        <v>646</v>
      </c>
      <c r="B3679" s="247" t="s">
        <v>265</v>
      </c>
      <c r="C3679" s="247" t="s">
        <v>1620</v>
      </c>
      <c r="D3679" s="247" t="s">
        <v>1529</v>
      </c>
      <c r="E3679" s="247" t="s">
        <v>926</v>
      </c>
      <c r="F3679" s="247" t="s">
        <v>2440</v>
      </c>
      <c r="G3679" s="247" t="s">
        <v>322</v>
      </c>
      <c r="H3679" s="247"/>
      <c r="I3679" s="247" t="s">
        <v>2441</v>
      </c>
      <c r="J3679" s="247">
        <v>97</v>
      </c>
      <c r="K3679" s="247">
        <v>97</v>
      </c>
      <c r="L3679" s="249" t="s">
        <v>938</v>
      </c>
      <c r="M3679" s="249" t="s">
        <v>929</v>
      </c>
      <c r="N3679" s="248">
        <v>5589.21</v>
      </c>
      <c r="O3679" s="248">
        <v>25402.01</v>
      </c>
      <c r="P3679" s="247" t="s">
        <v>1632</v>
      </c>
      <c r="Q3679" s="247" t="s">
        <v>92</v>
      </c>
    </row>
    <row r="3680" spans="1:17" x14ac:dyDescent="0.25">
      <c r="A3680" s="247" t="s">
        <v>646</v>
      </c>
      <c r="B3680" s="247" t="s">
        <v>265</v>
      </c>
      <c r="C3680" s="247" t="s">
        <v>1620</v>
      </c>
      <c r="D3680" s="247" t="s">
        <v>1529</v>
      </c>
      <c r="E3680" s="247" t="s">
        <v>926</v>
      </c>
      <c r="F3680" s="247" t="s">
        <v>2440</v>
      </c>
      <c r="G3680" s="247" t="s">
        <v>322</v>
      </c>
      <c r="H3680" s="247"/>
      <c r="I3680" s="247" t="s">
        <v>2441</v>
      </c>
      <c r="J3680" s="247">
        <v>97</v>
      </c>
      <c r="K3680" s="247">
        <v>97</v>
      </c>
      <c r="L3680" s="249" t="s">
        <v>939</v>
      </c>
      <c r="M3680" s="249" t="s">
        <v>929</v>
      </c>
      <c r="N3680" s="248">
        <v>8908.8799999999992</v>
      </c>
      <c r="O3680" s="248">
        <v>34310.89</v>
      </c>
      <c r="P3680" s="247" t="s">
        <v>1632</v>
      </c>
      <c r="Q3680" s="247" t="s">
        <v>93</v>
      </c>
    </row>
    <row r="3681" spans="1:17" x14ac:dyDescent="0.25">
      <c r="A3681" s="247" t="s">
        <v>646</v>
      </c>
      <c r="B3681" s="247" t="s">
        <v>265</v>
      </c>
      <c r="C3681" s="247" t="s">
        <v>1620</v>
      </c>
      <c r="D3681" s="247" t="s">
        <v>1529</v>
      </c>
      <c r="E3681" s="247" t="s">
        <v>926</v>
      </c>
      <c r="F3681" s="247" t="s">
        <v>2440</v>
      </c>
      <c r="G3681" s="247" t="s">
        <v>322</v>
      </c>
      <c r="H3681" s="247"/>
      <c r="I3681" s="247" t="s">
        <v>2441</v>
      </c>
      <c r="J3681" s="247">
        <v>97</v>
      </c>
      <c r="K3681" s="247">
        <v>97</v>
      </c>
      <c r="L3681" s="249" t="s">
        <v>940</v>
      </c>
      <c r="M3681" s="249" t="s">
        <v>929</v>
      </c>
      <c r="N3681" s="248">
        <v>7611.94</v>
      </c>
      <c r="O3681" s="248">
        <v>41922.83</v>
      </c>
      <c r="P3681" s="247" t="s">
        <v>1632</v>
      </c>
      <c r="Q3681" s="247" t="s">
        <v>94</v>
      </c>
    </row>
    <row r="3682" spans="1:17" x14ac:dyDescent="0.25">
      <c r="A3682" s="247" t="s">
        <v>646</v>
      </c>
      <c r="B3682" s="247" t="s">
        <v>265</v>
      </c>
      <c r="C3682" s="247" t="s">
        <v>1620</v>
      </c>
      <c r="D3682" s="247" t="s">
        <v>1529</v>
      </c>
      <c r="E3682" s="247" t="s">
        <v>926</v>
      </c>
      <c r="F3682" s="247" t="s">
        <v>2440</v>
      </c>
      <c r="G3682" s="247" t="s">
        <v>322</v>
      </c>
      <c r="H3682" s="247"/>
      <c r="I3682" s="247" t="s">
        <v>2441</v>
      </c>
      <c r="J3682" s="247">
        <v>97</v>
      </c>
      <c r="K3682" s="247">
        <v>97</v>
      </c>
      <c r="L3682" s="249" t="s">
        <v>642</v>
      </c>
      <c r="M3682" s="249" t="s">
        <v>929</v>
      </c>
      <c r="N3682" s="248">
        <v>3062.55</v>
      </c>
      <c r="O3682" s="248">
        <v>44985.38</v>
      </c>
      <c r="P3682" s="247" t="s">
        <v>1632</v>
      </c>
      <c r="Q3682" s="247" t="s">
        <v>95</v>
      </c>
    </row>
    <row r="3683" spans="1:17" x14ac:dyDescent="0.25">
      <c r="A3683" s="247" t="s">
        <v>646</v>
      </c>
      <c r="B3683" s="247" t="s">
        <v>265</v>
      </c>
      <c r="C3683" s="247" t="s">
        <v>1620</v>
      </c>
      <c r="D3683" s="247" t="s">
        <v>946</v>
      </c>
      <c r="E3683" s="247" t="s">
        <v>926</v>
      </c>
      <c r="F3683" s="247" t="s">
        <v>2442</v>
      </c>
      <c r="G3683" s="247" t="s">
        <v>323</v>
      </c>
      <c r="H3683" s="247"/>
      <c r="I3683" s="247" t="s">
        <v>2443</v>
      </c>
      <c r="J3683" s="247">
        <v>100</v>
      </c>
      <c r="K3683" s="247">
        <v>100</v>
      </c>
      <c r="L3683" s="249" t="s">
        <v>646</v>
      </c>
      <c r="M3683" s="249" t="s">
        <v>933</v>
      </c>
      <c r="N3683" s="248">
        <v>0</v>
      </c>
      <c r="O3683" s="248">
        <v>8955.7999999999993</v>
      </c>
      <c r="P3683" s="247" t="s">
        <v>1633</v>
      </c>
      <c r="Q3683" s="247" t="s">
        <v>84</v>
      </c>
    </row>
    <row r="3684" spans="1:17" x14ac:dyDescent="0.25">
      <c r="A3684" s="247" t="s">
        <v>646</v>
      </c>
      <c r="B3684" s="247" t="s">
        <v>265</v>
      </c>
      <c r="C3684" s="247" t="s">
        <v>1620</v>
      </c>
      <c r="D3684" s="247" t="s">
        <v>946</v>
      </c>
      <c r="E3684" s="247" t="s">
        <v>926</v>
      </c>
      <c r="F3684" s="247" t="s">
        <v>2442</v>
      </c>
      <c r="G3684" s="247" t="s">
        <v>323</v>
      </c>
      <c r="H3684" s="247"/>
      <c r="I3684" s="247" t="s">
        <v>2443</v>
      </c>
      <c r="J3684" s="247">
        <v>100</v>
      </c>
      <c r="K3684" s="247">
        <v>100</v>
      </c>
      <c r="L3684" s="249" t="s">
        <v>650</v>
      </c>
      <c r="M3684" s="249" t="s">
        <v>933</v>
      </c>
      <c r="N3684" s="248">
        <v>0</v>
      </c>
      <c r="O3684" s="248">
        <v>8955.7999999999993</v>
      </c>
      <c r="P3684" s="247" t="s">
        <v>1633</v>
      </c>
      <c r="Q3684" s="247" t="s">
        <v>85</v>
      </c>
    </row>
    <row r="3685" spans="1:17" x14ac:dyDescent="0.25">
      <c r="A3685" s="247" t="s">
        <v>646</v>
      </c>
      <c r="B3685" s="247" t="s">
        <v>265</v>
      </c>
      <c r="C3685" s="247" t="s">
        <v>1620</v>
      </c>
      <c r="D3685" s="247" t="s">
        <v>946</v>
      </c>
      <c r="E3685" s="247" t="s">
        <v>926</v>
      </c>
      <c r="F3685" s="247" t="s">
        <v>2442</v>
      </c>
      <c r="G3685" s="247" t="s">
        <v>323</v>
      </c>
      <c r="H3685" s="247"/>
      <c r="I3685" s="247" t="s">
        <v>2443</v>
      </c>
      <c r="J3685" s="247">
        <v>100</v>
      </c>
      <c r="K3685" s="247">
        <v>100</v>
      </c>
      <c r="L3685" s="249" t="s">
        <v>652</v>
      </c>
      <c r="M3685" s="249" t="s">
        <v>933</v>
      </c>
      <c r="N3685" s="248">
        <v>561</v>
      </c>
      <c r="O3685" s="248">
        <v>9516.7999999999993</v>
      </c>
      <c r="P3685" s="247" t="s">
        <v>1633</v>
      </c>
      <c r="Q3685" s="247" t="s">
        <v>86</v>
      </c>
    </row>
    <row r="3686" spans="1:17" x14ac:dyDescent="0.25">
      <c r="A3686" s="247" t="s">
        <v>646</v>
      </c>
      <c r="B3686" s="247" t="s">
        <v>265</v>
      </c>
      <c r="C3686" s="247" t="s">
        <v>1620</v>
      </c>
      <c r="D3686" s="247" t="s">
        <v>946</v>
      </c>
      <c r="E3686" s="247" t="s">
        <v>926</v>
      </c>
      <c r="F3686" s="247" t="s">
        <v>2442</v>
      </c>
      <c r="G3686" s="247" t="s">
        <v>323</v>
      </c>
      <c r="H3686" s="247"/>
      <c r="I3686" s="247" t="s">
        <v>2443</v>
      </c>
      <c r="J3686" s="247">
        <v>100</v>
      </c>
      <c r="K3686" s="247">
        <v>100</v>
      </c>
      <c r="L3686" s="249" t="s">
        <v>789</v>
      </c>
      <c r="M3686" s="249" t="s">
        <v>929</v>
      </c>
      <c r="N3686" s="248">
        <v>675</v>
      </c>
      <c r="O3686" s="248">
        <v>675</v>
      </c>
      <c r="P3686" s="247" t="s">
        <v>1633</v>
      </c>
      <c r="Q3686" s="247" t="s">
        <v>87</v>
      </c>
    </row>
    <row r="3687" spans="1:17" x14ac:dyDescent="0.25">
      <c r="A3687" s="247" t="s">
        <v>646</v>
      </c>
      <c r="B3687" s="247" t="s">
        <v>265</v>
      </c>
      <c r="C3687" s="247" t="s">
        <v>1620</v>
      </c>
      <c r="D3687" s="247" t="s">
        <v>946</v>
      </c>
      <c r="E3687" s="247" t="s">
        <v>926</v>
      </c>
      <c r="F3687" s="247" t="s">
        <v>2442</v>
      </c>
      <c r="G3687" s="247" t="s">
        <v>323</v>
      </c>
      <c r="H3687" s="247"/>
      <c r="I3687" s="247" t="s">
        <v>2443</v>
      </c>
      <c r="J3687" s="247">
        <v>100</v>
      </c>
      <c r="K3687" s="247">
        <v>100</v>
      </c>
      <c r="L3687" s="249" t="s">
        <v>791</v>
      </c>
      <c r="M3687" s="249" t="s">
        <v>929</v>
      </c>
      <c r="N3687" s="248">
        <v>1055</v>
      </c>
      <c r="O3687" s="248">
        <v>1730</v>
      </c>
      <c r="P3687" s="247" t="s">
        <v>1633</v>
      </c>
      <c r="Q3687" s="247" t="s">
        <v>88</v>
      </c>
    </row>
    <row r="3688" spans="1:17" x14ac:dyDescent="0.25">
      <c r="A3688" s="247" t="s">
        <v>646</v>
      </c>
      <c r="B3688" s="247" t="s">
        <v>265</v>
      </c>
      <c r="C3688" s="247" t="s">
        <v>1620</v>
      </c>
      <c r="D3688" s="247" t="s">
        <v>946</v>
      </c>
      <c r="E3688" s="247" t="s">
        <v>926</v>
      </c>
      <c r="F3688" s="247" t="s">
        <v>2442</v>
      </c>
      <c r="G3688" s="247" t="s">
        <v>323</v>
      </c>
      <c r="H3688" s="247"/>
      <c r="I3688" s="247" t="s">
        <v>2443</v>
      </c>
      <c r="J3688" s="247">
        <v>100</v>
      </c>
      <c r="K3688" s="247">
        <v>100</v>
      </c>
      <c r="L3688" s="249" t="s">
        <v>935</v>
      </c>
      <c r="M3688" s="249" t="s">
        <v>929</v>
      </c>
      <c r="N3688" s="248">
        <v>225</v>
      </c>
      <c r="O3688" s="248">
        <v>1955</v>
      </c>
      <c r="P3688" s="247" t="s">
        <v>1633</v>
      </c>
      <c r="Q3688" s="247" t="s">
        <v>89</v>
      </c>
    </row>
    <row r="3689" spans="1:17" x14ac:dyDescent="0.25">
      <c r="A3689" s="247" t="s">
        <v>646</v>
      </c>
      <c r="B3689" s="247" t="s">
        <v>265</v>
      </c>
      <c r="C3689" s="247" t="s">
        <v>1620</v>
      </c>
      <c r="D3689" s="247" t="s">
        <v>946</v>
      </c>
      <c r="E3689" s="247" t="s">
        <v>926</v>
      </c>
      <c r="F3689" s="247" t="s">
        <v>2442</v>
      </c>
      <c r="G3689" s="247" t="s">
        <v>323</v>
      </c>
      <c r="H3689" s="247"/>
      <c r="I3689" s="247" t="s">
        <v>2443</v>
      </c>
      <c r="J3689" s="247">
        <v>100</v>
      </c>
      <c r="K3689" s="247">
        <v>100</v>
      </c>
      <c r="L3689" s="249" t="s">
        <v>936</v>
      </c>
      <c r="M3689" s="249" t="s">
        <v>929</v>
      </c>
      <c r="N3689" s="248">
        <v>95</v>
      </c>
      <c r="O3689" s="248">
        <v>2050</v>
      </c>
      <c r="P3689" s="247" t="s">
        <v>1633</v>
      </c>
      <c r="Q3689" s="247" t="s">
        <v>90</v>
      </c>
    </row>
    <row r="3690" spans="1:17" x14ac:dyDescent="0.25">
      <c r="A3690" s="247" t="s">
        <v>646</v>
      </c>
      <c r="B3690" s="247" t="s">
        <v>265</v>
      </c>
      <c r="C3690" s="247" t="s">
        <v>1620</v>
      </c>
      <c r="D3690" s="247" t="s">
        <v>946</v>
      </c>
      <c r="E3690" s="247" t="s">
        <v>926</v>
      </c>
      <c r="F3690" s="247" t="s">
        <v>2442</v>
      </c>
      <c r="G3690" s="247" t="s">
        <v>323</v>
      </c>
      <c r="H3690" s="247"/>
      <c r="I3690" s="247" t="s">
        <v>2443</v>
      </c>
      <c r="J3690" s="247">
        <v>100</v>
      </c>
      <c r="K3690" s="247">
        <v>100</v>
      </c>
      <c r="L3690" s="249" t="s">
        <v>937</v>
      </c>
      <c r="M3690" s="249" t="s">
        <v>929</v>
      </c>
      <c r="N3690" s="248">
        <v>1275</v>
      </c>
      <c r="O3690" s="248">
        <v>3325</v>
      </c>
      <c r="P3690" s="247" t="s">
        <v>1633</v>
      </c>
      <c r="Q3690" s="247" t="s">
        <v>91</v>
      </c>
    </row>
    <row r="3691" spans="1:17" x14ac:dyDescent="0.25">
      <c r="A3691" s="247" t="s">
        <v>646</v>
      </c>
      <c r="B3691" s="247" t="s">
        <v>265</v>
      </c>
      <c r="C3691" s="247" t="s">
        <v>1620</v>
      </c>
      <c r="D3691" s="247" t="s">
        <v>946</v>
      </c>
      <c r="E3691" s="247" t="s">
        <v>926</v>
      </c>
      <c r="F3691" s="247" t="s">
        <v>2442</v>
      </c>
      <c r="G3691" s="247" t="s">
        <v>323</v>
      </c>
      <c r="H3691" s="247"/>
      <c r="I3691" s="247" t="s">
        <v>2443</v>
      </c>
      <c r="J3691" s="247">
        <v>100</v>
      </c>
      <c r="K3691" s="247">
        <v>100</v>
      </c>
      <c r="L3691" s="249" t="s">
        <v>938</v>
      </c>
      <c r="M3691" s="249" t="s">
        <v>929</v>
      </c>
      <c r="N3691" s="248">
        <v>49</v>
      </c>
      <c r="O3691" s="248">
        <v>3374</v>
      </c>
      <c r="P3691" s="247" t="s">
        <v>1633</v>
      </c>
      <c r="Q3691" s="247" t="s">
        <v>92</v>
      </c>
    </row>
    <row r="3692" spans="1:17" x14ac:dyDescent="0.25">
      <c r="A3692" s="247" t="s">
        <v>646</v>
      </c>
      <c r="B3692" s="247" t="s">
        <v>265</v>
      </c>
      <c r="C3692" s="247" t="s">
        <v>1620</v>
      </c>
      <c r="D3692" s="247" t="s">
        <v>946</v>
      </c>
      <c r="E3692" s="247" t="s">
        <v>926</v>
      </c>
      <c r="F3692" s="247" t="s">
        <v>2442</v>
      </c>
      <c r="G3692" s="247" t="s">
        <v>323</v>
      </c>
      <c r="H3692" s="247"/>
      <c r="I3692" s="247" t="s">
        <v>2443</v>
      </c>
      <c r="J3692" s="247">
        <v>100</v>
      </c>
      <c r="K3692" s="247">
        <v>100</v>
      </c>
      <c r="L3692" s="249" t="s">
        <v>939</v>
      </c>
      <c r="M3692" s="249" t="s">
        <v>929</v>
      </c>
      <c r="N3692" s="248">
        <v>0</v>
      </c>
      <c r="O3692" s="248">
        <v>3374</v>
      </c>
      <c r="P3692" s="247" t="s">
        <v>1633</v>
      </c>
      <c r="Q3692" s="247" t="s">
        <v>93</v>
      </c>
    </row>
    <row r="3693" spans="1:17" x14ac:dyDescent="0.25">
      <c r="A3693" s="247" t="s">
        <v>646</v>
      </c>
      <c r="B3693" s="247" t="s">
        <v>265</v>
      </c>
      <c r="C3693" s="247" t="s">
        <v>1620</v>
      </c>
      <c r="D3693" s="247" t="s">
        <v>946</v>
      </c>
      <c r="E3693" s="247" t="s">
        <v>926</v>
      </c>
      <c r="F3693" s="247" t="s">
        <v>2442</v>
      </c>
      <c r="G3693" s="247" t="s">
        <v>323</v>
      </c>
      <c r="H3693" s="247"/>
      <c r="I3693" s="247" t="s">
        <v>2443</v>
      </c>
      <c r="J3693" s="247">
        <v>100</v>
      </c>
      <c r="K3693" s="247">
        <v>100</v>
      </c>
      <c r="L3693" s="249" t="s">
        <v>940</v>
      </c>
      <c r="M3693" s="249" t="s">
        <v>929</v>
      </c>
      <c r="N3693" s="248">
        <v>0</v>
      </c>
      <c r="O3693" s="248">
        <v>3374</v>
      </c>
      <c r="P3693" s="247" t="s">
        <v>1633</v>
      </c>
      <c r="Q3693" s="247" t="s">
        <v>94</v>
      </c>
    </row>
    <row r="3694" spans="1:17" x14ac:dyDescent="0.25">
      <c r="A3694" s="247" t="s">
        <v>646</v>
      </c>
      <c r="B3694" s="247" t="s">
        <v>265</v>
      </c>
      <c r="C3694" s="247" t="s">
        <v>1620</v>
      </c>
      <c r="D3694" s="247" t="s">
        <v>946</v>
      </c>
      <c r="E3694" s="247" t="s">
        <v>926</v>
      </c>
      <c r="F3694" s="247" t="s">
        <v>2442</v>
      </c>
      <c r="G3694" s="247" t="s">
        <v>323</v>
      </c>
      <c r="H3694" s="247"/>
      <c r="I3694" s="247" t="s">
        <v>2443</v>
      </c>
      <c r="J3694" s="247">
        <v>100</v>
      </c>
      <c r="K3694" s="247">
        <v>100</v>
      </c>
      <c r="L3694" s="249" t="s">
        <v>642</v>
      </c>
      <c r="M3694" s="249" t="s">
        <v>929</v>
      </c>
      <c r="N3694" s="248">
        <v>0</v>
      </c>
      <c r="O3694" s="248">
        <v>3374</v>
      </c>
      <c r="P3694" s="247" t="s">
        <v>1633</v>
      </c>
      <c r="Q3694" s="247" t="s">
        <v>95</v>
      </c>
    </row>
    <row r="3695" spans="1:17" x14ac:dyDescent="0.25">
      <c r="A3695" s="247" t="s">
        <v>646</v>
      </c>
      <c r="B3695" s="247" t="s">
        <v>265</v>
      </c>
      <c r="C3695" s="247" t="s">
        <v>1620</v>
      </c>
      <c r="D3695" s="247" t="s">
        <v>1537</v>
      </c>
      <c r="E3695" s="247" t="s">
        <v>926</v>
      </c>
      <c r="F3695" s="247" t="s">
        <v>2444</v>
      </c>
      <c r="G3695" s="247" t="s">
        <v>1634</v>
      </c>
      <c r="H3695" s="247"/>
      <c r="I3695" s="247" t="s">
        <v>2445</v>
      </c>
      <c r="J3695" s="247">
        <v>100</v>
      </c>
      <c r="K3695" s="247">
        <v>100</v>
      </c>
      <c r="L3695" s="249" t="s">
        <v>646</v>
      </c>
      <c r="M3695" s="249" t="s">
        <v>933</v>
      </c>
      <c r="N3695" s="248">
        <v>2140</v>
      </c>
      <c r="O3695" s="248">
        <v>11820</v>
      </c>
      <c r="P3695" s="247" t="s">
        <v>1635</v>
      </c>
      <c r="Q3695" s="247" t="s">
        <v>84</v>
      </c>
    </row>
    <row r="3696" spans="1:17" x14ac:dyDescent="0.25">
      <c r="A3696" s="247" t="s">
        <v>646</v>
      </c>
      <c r="B3696" s="247" t="s">
        <v>265</v>
      </c>
      <c r="C3696" s="247" t="s">
        <v>1620</v>
      </c>
      <c r="D3696" s="247" t="s">
        <v>1537</v>
      </c>
      <c r="E3696" s="247" t="s">
        <v>926</v>
      </c>
      <c r="F3696" s="247" t="s">
        <v>2444</v>
      </c>
      <c r="G3696" s="247" t="s">
        <v>1634</v>
      </c>
      <c r="H3696" s="247"/>
      <c r="I3696" s="247" t="s">
        <v>2445</v>
      </c>
      <c r="J3696" s="247">
        <v>100</v>
      </c>
      <c r="K3696" s="247">
        <v>100</v>
      </c>
      <c r="L3696" s="249" t="s">
        <v>650</v>
      </c>
      <c r="M3696" s="249" t="s">
        <v>933</v>
      </c>
      <c r="N3696" s="248">
        <v>1440</v>
      </c>
      <c r="O3696" s="248">
        <v>13260</v>
      </c>
      <c r="P3696" s="247" t="s">
        <v>1635</v>
      </c>
      <c r="Q3696" s="247" t="s">
        <v>85</v>
      </c>
    </row>
    <row r="3697" spans="1:17" x14ac:dyDescent="0.25">
      <c r="A3697" s="247" t="s">
        <v>646</v>
      </c>
      <c r="B3697" s="247" t="s">
        <v>265</v>
      </c>
      <c r="C3697" s="247" t="s">
        <v>1620</v>
      </c>
      <c r="D3697" s="247" t="s">
        <v>1537</v>
      </c>
      <c r="E3697" s="247" t="s">
        <v>926</v>
      </c>
      <c r="F3697" s="247" t="s">
        <v>2444</v>
      </c>
      <c r="G3697" s="247" t="s">
        <v>1634</v>
      </c>
      <c r="H3697" s="247"/>
      <c r="I3697" s="247" t="s">
        <v>2445</v>
      </c>
      <c r="J3697" s="247">
        <v>100</v>
      </c>
      <c r="K3697" s="247">
        <v>100</v>
      </c>
      <c r="L3697" s="249" t="s">
        <v>652</v>
      </c>
      <c r="M3697" s="249" t="s">
        <v>933</v>
      </c>
      <c r="N3697" s="248">
        <v>1790</v>
      </c>
      <c r="O3697" s="248">
        <v>15050</v>
      </c>
      <c r="P3697" s="247" t="s">
        <v>1635</v>
      </c>
      <c r="Q3697" s="247" t="s">
        <v>86</v>
      </c>
    </row>
    <row r="3698" spans="1:17" x14ac:dyDescent="0.25">
      <c r="A3698" s="247" t="s">
        <v>646</v>
      </c>
      <c r="B3698" s="247" t="s">
        <v>265</v>
      </c>
      <c r="C3698" s="247" t="s">
        <v>1620</v>
      </c>
      <c r="D3698" s="247" t="s">
        <v>1537</v>
      </c>
      <c r="E3698" s="247" t="s">
        <v>926</v>
      </c>
      <c r="F3698" s="247" t="s">
        <v>2444</v>
      </c>
      <c r="G3698" s="247" t="s">
        <v>1634</v>
      </c>
      <c r="H3698" s="247"/>
      <c r="I3698" s="247" t="s">
        <v>2445</v>
      </c>
      <c r="J3698" s="247">
        <v>100</v>
      </c>
      <c r="K3698" s="247">
        <v>100</v>
      </c>
      <c r="L3698" s="249" t="s">
        <v>789</v>
      </c>
      <c r="M3698" s="249" t="s">
        <v>929</v>
      </c>
      <c r="N3698" s="248">
        <v>1790</v>
      </c>
      <c r="O3698" s="248">
        <v>1790</v>
      </c>
      <c r="P3698" s="247" t="s">
        <v>1635</v>
      </c>
      <c r="Q3698" s="247" t="s">
        <v>87</v>
      </c>
    </row>
    <row r="3699" spans="1:17" x14ac:dyDescent="0.25">
      <c r="A3699" s="247" t="s">
        <v>646</v>
      </c>
      <c r="B3699" s="247" t="s">
        <v>265</v>
      </c>
      <c r="C3699" s="247" t="s">
        <v>1620</v>
      </c>
      <c r="D3699" s="247" t="s">
        <v>1537</v>
      </c>
      <c r="E3699" s="247" t="s">
        <v>926</v>
      </c>
      <c r="F3699" s="247" t="s">
        <v>2444</v>
      </c>
      <c r="G3699" s="247" t="s">
        <v>1634</v>
      </c>
      <c r="H3699" s="247"/>
      <c r="I3699" s="247" t="s">
        <v>2445</v>
      </c>
      <c r="J3699" s="247">
        <v>100</v>
      </c>
      <c r="K3699" s="247">
        <v>100</v>
      </c>
      <c r="L3699" s="249" t="s">
        <v>791</v>
      </c>
      <c r="M3699" s="249" t="s">
        <v>929</v>
      </c>
      <c r="N3699" s="248">
        <v>1790</v>
      </c>
      <c r="O3699" s="248">
        <v>3580</v>
      </c>
      <c r="P3699" s="247" t="s">
        <v>1635</v>
      </c>
      <c r="Q3699" s="247" t="s">
        <v>88</v>
      </c>
    </row>
    <row r="3700" spans="1:17" x14ac:dyDescent="0.25">
      <c r="A3700" s="247" t="s">
        <v>646</v>
      </c>
      <c r="B3700" s="247" t="s">
        <v>265</v>
      </c>
      <c r="C3700" s="247" t="s">
        <v>1620</v>
      </c>
      <c r="D3700" s="247" t="s">
        <v>1537</v>
      </c>
      <c r="E3700" s="247" t="s">
        <v>926</v>
      </c>
      <c r="F3700" s="247" t="s">
        <v>2444</v>
      </c>
      <c r="G3700" s="247" t="s">
        <v>1634</v>
      </c>
      <c r="H3700" s="247"/>
      <c r="I3700" s="247" t="s">
        <v>2445</v>
      </c>
      <c r="J3700" s="247">
        <v>100</v>
      </c>
      <c r="K3700" s="247">
        <v>100</v>
      </c>
      <c r="L3700" s="249" t="s">
        <v>935</v>
      </c>
      <c r="M3700" s="249" t="s">
        <v>929</v>
      </c>
      <c r="N3700" s="248">
        <v>1790</v>
      </c>
      <c r="O3700" s="248">
        <v>5370</v>
      </c>
      <c r="P3700" s="247" t="s">
        <v>1635</v>
      </c>
      <c r="Q3700" s="247" t="s">
        <v>89</v>
      </c>
    </row>
    <row r="3701" spans="1:17" x14ac:dyDescent="0.25">
      <c r="A3701" s="247" t="s">
        <v>646</v>
      </c>
      <c r="B3701" s="247" t="s">
        <v>265</v>
      </c>
      <c r="C3701" s="247" t="s">
        <v>1620</v>
      </c>
      <c r="D3701" s="247" t="s">
        <v>1537</v>
      </c>
      <c r="E3701" s="247" t="s">
        <v>926</v>
      </c>
      <c r="F3701" s="247" t="s">
        <v>2444</v>
      </c>
      <c r="G3701" s="247" t="s">
        <v>1634</v>
      </c>
      <c r="H3701" s="247"/>
      <c r="I3701" s="247" t="s">
        <v>2445</v>
      </c>
      <c r="J3701" s="247">
        <v>100</v>
      </c>
      <c r="K3701" s="247">
        <v>100</v>
      </c>
      <c r="L3701" s="249" t="s">
        <v>936</v>
      </c>
      <c r="M3701" s="249" t="s">
        <v>929</v>
      </c>
      <c r="N3701" s="248">
        <v>1790</v>
      </c>
      <c r="O3701" s="248">
        <v>7160</v>
      </c>
      <c r="P3701" s="247" t="s">
        <v>1635</v>
      </c>
      <c r="Q3701" s="247" t="s">
        <v>90</v>
      </c>
    </row>
    <row r="3702" spans="1:17" x14ac:dyDescent="0.25">
      <c r="A3702" s="247" t="s">
        <v>646</v>
      </c>
      <c r="B3702" s="247" t="s">
        <v>265</v>
      </c>
      <c r="C3702" s="247" t="s">
        <v>1620</v>
      </c>
      <c r="D3702" s="247" t="s">
        <v>1537</v>
      </c>
      <c r="E3702" s="247" t="s">
        <v>926</v>
      </c>
      <c r="F3702" s="247" t="s">
        <v>2444</v>
      </c>
      <c r="G3702" s="247" t="s">
        <v>1634</v>
      </c>
      <c r="H3702" s="247"/>
      <c r="I3702" s="247" t="s">
        <v>2445</v>
      </c>
      <c r="J3702" s="247">
        <v>100</v>
      </c>
      <c r="K3702" s="247">
        <v>100</v>
      </c>
      <c r="L3702" s="249" t="s">
        <v>937</v>
      </c>
      <c r="M3702" s="249" t="s">
        <v>929</v>
      </c>
      <c r="N3702" s="248">
        <v>1790</v>
      </c>
      <c r="O3702" s="248">
        <v>8950</v>
      </c>
      <c r="P3702" s="247" t="s">
        <v>1635</v>
      </c>
      <c r="Q3702" s="247" t="s">
        <v>91</v>
      </c>
    </row>
    <row r="3703" spans="1:17" x14ac:dyDescent="0.25">
      <c r="A3703" s="247" t="s">
        <v>646</v>
      </c>
      <c r="B3703" s="247" t="s">
        <v>265</v>
      </c>
      <c r="C3703" s="247" t="s">
        <v>1620</v>
      </c>
      <c r="D3703" s="247" t="s">
        <v>1537</v>
      </c>
      <c r="E3703" s="247" t="s">
        <v>926</v>
      </c>
      <c r="F3703" s="247" t="s">
        <v>2444</v>
      </c>
      <c r="G3703" s="247" t="s">
        <v>1634</v>
      </c>
      <c r="H3703" s="247"/>
      <c r="I3703" s="247" t="s">
        <v>2445</v>
      </c>
      <c r="J3703" s="247">
        <v>100</v>
      </c>
      <c r="K3703" s="247">
        <v>100</v>
      </c>
      <c r="L3703" s="249" t="s">
        <v>938</v>
      </c>
      <c r="M3703" s="249" t="s">
        <v>929</v>
      </c>
      <c r="N3703" s="248">
        <v>1790</v>
      </c>
      <c r="O3703" s="248">
        <v>10740</v>
      </c>
      <c r="P3703" s="247" t="s">
        <v>1635</v>
      </c>
      <c r="Q3703" s="247" t="s">
        <v>92</v>
      </c>
    </row>
    <row r="3704" spans="1:17" x14ac:dyDescent="0.25">
      <c r="A3704" s="247" t="s">
        <v>646</v>
      </c>
      <c r="B3704" s="247" t="s">
        <v>265</v>
      </c>
      <c r="C3704" s="247" t="s">
        <v>1620</v>
      </c>
      <c r="D3704" s="247" t="s">
        <v>1537</v>
      </c>
      <c r="E3704" s="247" t="s">
        <v>926</v>
      </c>
      <c r="F3704" s="247" t="s">
        <v>2444</v>
      </c>
      <c r="G3704" s="247" t="s">
        <v>1634</v>
      </c>
      <c r="H3704" s="247"/>
      <c r="I3704" s="247" t="s">
        <v>2445</v>
      </c>
      <c r="J3704" s="247">
        <v>100</v>
      </c>
      <c r="K3704" s="247">
        <v>100</v>
      </c>
      <c r="L3704" s="249" t="s">
        <v>939</v>
      </c>
      <c r="M3704" s="249" t="s">
        <v>929</v>
      </c>
      <c r="N3704" s="248">
        <v>1790</v>
      </c>
      <c r="O3704" s="248">
        <v>12530</v>
      </c>
      <c r="P3704" s="247" t="s">
        <v>1635</v>
      </c>
      <c r="Q3704" s="247" t="s">
        <v>93</v>
      </c>
    </row>
    <row r="3705" spans="1:17" x14ac:dyDescent="0.25">
      <c r="A3705" s="247" t="s">
        <v>646</v>
      </c>
      <c r="B3705" s="247" t="s">
        <v>265</v>
      </c>
      <c r="C3705" s="247" t="s">
        <v>1620</v>
      </c>
      <c r="D3705" s="247" t="s">
        <v>1537</v>
      </c>
      <c r="E3705" s="247" t="s">
        <v>926</v>
      </c>
      <c r="F3705" s="247" t="s">
        <v>2444</v>
      </c>
      <c r="G3705" s="247" t="s">
        <v>1634</v>
      </c>
      <c r="H3705" s="247"/>
      <c r="I3705" s="247" t="s">
        <v>2445</v>
      </c>
      <c r="J3705" s="247">
        <v>100</v>
      </c>
      <c r="K3705" s="247">
        <v>100</v>
      </c>
      <c r="L3705" s="249" t="s">
        <v>940</v>
      </c>
      <c r="M3705" s="249" t="s">
        <v>929</v>
      </c>
      <c r="N3705" s="248">
        <v>1790</v>
      </c>
      <c r="O3705" s="248">
        <v>14320</v>
      </c>
      <c r="P3705" s="247" t="s">
        <v>1635</v>
      </c>
      <c r="Q3705" s="247" t="s">
        <v>94</v>
      </c>
    </row>
    <row r="3706" spans="1:17" x14ac:dyDescent="0.25">
      <c r="A3706" s="247" t="s">
        <v>646</v>
      </c>
      <c r="B3706" s="247" t="s">
        <v>265</v>
      </c>
      <c r="C3706" s="247" t="s">
        <v>1620</v>
      </c>
      <c r="D3706" s="247" t="s">
        <v>1537</v>
      </c>
      <c r="E3706" s="247" t="s">
        <v>926</v>
      </c>
      <c r="F3706" s="247" t="s">
        <v>2444</v>
      </c>
      <c r="G3706" s="247" t="s">
        <v>1634</v>
      </c>
      <c r="H3706" s="247"/>
      <c r="I3706" s="247" t="s">
        <v>2445</v>
      </c>
      <c r="J3706" s="247">
        <v>100</v>
      </c>
      <c r="K3706" s="247">
        <v>100</v>
      </c>
      <c r="L3706" s="249" t="s">
        <v>642</v>
      </c>
      <c r="M3706" s="249" t="s">
        <v>929</v>
      </c>
      <c r="N3706" s="248">
        <v>1790</v>
      </c>
      <c r="O3706" s="248">
        <v>16110</v>
      </c>
      <c r="P3706" s="247" t="s">
        <v>1635</v>
      </c>
      <c r="Q3706" s="247" t="s">
        <v>95</v>
      </c>
    </row>
    <row r="3707" spans="1:17" x14ac:dyDescent="0.25">
      <c r="A3707" s="247" t="s">
        <v>646</v>
      </c>
      <c r="B3707" s="247" t="s">
        <v>265</v>
      </c>
      <c r="C3707" s="247" t="s">
        <v>1620</v>
      </c>
      <c r="D3707" s="247" t="s">
        <v>1361</v>
      </c>
      <c r="E3707" s="247" t="s">
        <v>926</v>
      </c>
      <c r="F3707" s="247" t="s">
        <v>2446</v>
      </c>
      <c r="G3707" s="247" t="s">
        <v>324</v>
      </c>
      <c r="H3707" s="247"/>
      <c r="I3707" s="247" t="s">
        <v>2447</v>
      </c>
      <c r="J3707" s="247">
        <v>101</v>
      </c>
      <c r="K3707" s="247">
        <v>101</v>
      </c>
      <c r="L3707" s="249" t="s">
        <v>646</v>
      </c>
      <c r="M3707" s="249" t="s">
        <v>933</v>
      </c>
      <c r="N3707" s="248">
        <v>0</v>
      </c>
      <c r="O3707" s="248">
        <v>7104</v>
      </c>
      <c r="P3707" s="247" t="s">
        <v>1636</v>
      </c>
      <c r="Q3707" s="247" t="s">
        <v>84</v>
      </c>
    </row>
    <row r="3708" spans="1:17" x14ac:dyDescent="0.25">
      <c r="A3708" s="247" t="s">
        <v>646</v>
      </c>
      <c r="B3708" s="247" t="s">
        <v>265</v>
      </c>
      <c r="C3708" s="247" t="s">
        <v>1620</v>
      </c>
      <c r="D3708" s="247" t="s">
        <v>1361</v>
      </c>
      <c r="E3708" s="247" t="s">
        <v>926</v>
      </c>
      <c r="F3708" s="247" t="s">
        <v>2446</v>
      </c>
      <c r="G3708" s="247" t="s">
        <v>324</v>
      </c>
      <c r="H3708" s="247"/>
      <c r="I3708" s="247" t="s">
        <v>2447</v>
      </c>
      <c r="J3708" s="247">
        <v>101</v>
      </c>
      <c r="K3708" s="247">
        <v>101</v>
      </c>
      <c r="L3708" s="249" t="s">
        <v>650</v>
      </c>
      <c r="M3708" s="249" t="s">
        <v>933</v>
      </c>
      <c r="N3708" s="248">
        <v>0</v>
      </c>
      <c r="O3708" s="248">
        <v>7104</v>
      </c>
      <c r="P3708" s="247" t="s">
        <v>1636</v>
      </c>
      <c r="Q3708" s="247" t="s">
        <v>85</v>
      </c>
    </row>
    <row r="3709" spans="1:17" x14ac:dyDescent="0.25">
      <c r="A3709" s="247" t="s">
        <v>646</v>
      </c>
      <c r="B3709" s="247" t="s">
        <v>265</v>
      </c>
      <c r="C3709" s="247" t="s">
        <v>1620</v>
      </c>
      <c r="D3709" s="247" t="s">
        <v>1361</v>
      </c>
      <c r="E3709" s="247" t="s">
        <v>926</v>
      </c>
      <c r="F3709" s="247" t="s">
        <v>2446</v>
      </c>
      <c r="G3709" s="247" t="s">
        <v>324</v>
      </c>
      <c r="H3709" s="247"/>
      <c r="I3709" s="247" t="s">
        <v>2447</v>
      </c>
      <c r="J3709" s="247">
        <v>101</v>
      </c>
      <c r="K3709" s="247">
        <v>101</v>
      </c>
      <c r="L3709" s="249" t="s">
        <v>652</v>
      </c>
      <c r="M3709" s="249" t="s">
        <v>933</v>
      </c>
      <c r="N3709" s="248">
        <v>1875</v>
      </c>
      <c r="O3709" s="248">
        <v>8979</v>
      </c>
      <c r="P3709" s="247" t="s">
        <v>1636</v>
      </c>
      <c r="Q3709" s="247" t="s">
        <v>86</v>
      </c>
    </row>
    <row r="3710" spans="1:17" x14ac:dyDescent="0.25">
      <c r="A3710" s="247" t="s">
        <v>646</v>
      </c>
      <c r="B3710" s="247" t="s">
        <v>265</v>
      </c>
      <c r="C3710" s="247" t="s">
        <v>1620</v>
      </c>
      <c r="D3710" s="247" t="s">
        <v>1361</v>
      </c>
      <c r="E3710" s="247" t="s">
        <v>926</v>
      </c>
      <c r="F3710" s="247" t="s">
        <v>2446</v>
      </c>
      <c r="G3710" s="247" t="s">
        <v>324</v>
      </c>
      <c r="H3710" s="247"/>
      <c r="I3710" s="247" t="s">
        <v>2447</v>
      </c>
      <c r="J3710" s="247">
        <v>101</v>
      </c>
      <c r="K3710" s="247">
        <v>101</v>
      </c>
      <c r="L3710" s="249" t="s">
        <v>789</v>
      </c>
      <c r="M3710" s="249" t="s">
        <v>929</v>
      </c>
      <c r="N3710" s="248">
        <v>130</v>
      </c>
      <c r="O3710" s="248">
        <v>130</v>
      </c>
      <c r="P3710" s="247" t="s">
        <v>1636</v>
      </c>
      <c r="Q3710" s="247" t="s">
        <v>87</v>
      </c>
    </row>
    <row r="3711" spans="1:17" x14ac:dyDescent="0.25">
      <c r="A3711" s="247" t="s">
        <v>646</v>
      </c>
      <c r="B3711" s="247" t="s">
        <v>265</v>
      </c>
      <c r="C3711" s="247" t="s">
        <v>1620</v>
      </c>
      <c r="D3711" s="247" t="s">
        <v>1361</v>
      </c>
      <c r="E3711" s="247" t="s">
        <v>926</v>
      </c>
      <c r="F3711" s="247" t="s">
        <v>2446</v>
      </c>
      <c r="G3711" s="247" t="s">
        <v>324</v>
      </c>
      <c r="H3711" s="247"/>
      <c r="I3711" s="247" t="s">
        <v>2447</v>
      </c>
      <c r="J3711" s="247">
        <v>101</v>
      </c>
      <c r="K3711" s="247">
        <v>101</v>
      </c>
      <c r="L3711" s="249" t="s">
        <v>791</v>
      </c>
      <c r="M3711" s="249" t="s">
        <v>929</v>
      </c>
      <c r="N3711" s="248">
        <v>0</v>
      </c>
      <c r="O3711" s="248">
        <v>130</v>
      </c>
      <c r="P3711" s="247" t="s">
        <v>1636</v>
      </c>
      <c r="Q3711" s="247" t="s">
        <v>88</v>
      </c>
    </row>
    <row r="3712" spans="1:17" x14ac:dyDescent="0.25">
      <c r="A3712" s="247" t="s">
        <v>646</v>
      </c>
      <c r="B3712" s="247" t="s">
        <v>265</v>
      </c>
      <c r="C3712" s="247" t="s">
        <v>1620</v>
      </c>
      <c r="D3712" s="247" t="s">
        <v>1361</v>
      </c>
      <c r="E3712" s="247" t="s">
        <v>926</v>
      </c>
      <c r="F3712" s="247" t="s">
        <v>2446</v>
      </c>
      <c r="G3712" s="247" t="s">
        <v>324</v>
      </c>
      <c r="H3712" s="247"/>
      <c r="I3712" s="247" t="s">
        <v>2447</v>
      </c>
      <c r="J3712" s="247">
        <v>101</v>
      </c>
      <c r="K3712" s="247">
        <v>101</v>
      </c>
      <c r="L3712" s="249" t="s">
        <v>935</v>
      </c>
      <c r="M3712" s="249" t="s">
        <v>929</v>
      </c>
      <c r="N3712" s="248">
        <v>1875</v>
      </c>
      <c r="O3712" s="248">
        <v>2005</v>
      </c>
      <c r="P3712" s="247" t="s">
        <v>1636</v>
      </c>
      <c r="Q3712" s="247" t="s">
        <v>89</v>
      </c>
    </row>
    <row r="3713" spans="1:17" x14ac:dyDescent="0.25">
      <c r="A3713" s="247" t="s">
        <v>646</v>
      </c>
      <c r="B3713" s="247" t="s">
        <v>265</v>
      </c>
      <c r="C3713" s="247" t="s">
        <v>1620</v>
      </c>
      <c r="D3713" s="247" t="s">
        <v>1361</v>
      </c>
      <c r="E3713" s="247" t="s">
        <v>926</v>
      </c>
      <c r="F3713" s="247" t="s">
        <v>2446</v>
      </c>
      <c r="G3713" s="247" t="s">
        <v>324</v>
      </c>
      <c r="H3713" s="247"/>
      <c r="I3713" s="247" t="s">
        <v>2447</v>
      </c>
      <c r="J3713" s="247">
        <v>101</v>
      </c>
      <c r="K3713" s="247">
        <v>101</v>
      </c>
      <c r="L3713" s="249" t="s">
        <v>936</v>
      </c>
      <c r="M3713" s="249" t="s">
        <v>929</v>
      </c>
      <c r="N3713" s="248">
        <v>0</v>
      </c>
      <c r="O3713" s="248">
        <v>2005</v>
      </c>
      <c r="P3713" s="247" t="s">
        <v>1636</v>
      </c>
      <c r="Q3713" s="247" t="s">
        <v>90</v>
      </c>
    </row>
    <row r="3714" spans="1:17" x14ac:dyDescent="0.25">
      <c r="A3714" s="247" t="s">
        <v>646</v>
      </c>
      <c r="B3714" s="247" t="s">
        <v>265</v>
      </c>
      <c r="C3714" s="247" t="s">
        <v>1620</v>
      </c>
      <c r="D3714" s="247" t="s">
        <v>1361</v>
      </c>
      <c r="E3714" s="247" t="s">
        <v>926</v>
      </c>
      <c r="F3714" s="247" t="s">
        <v>2446</v>
      </c>
      <c r="G3714" s="247" t="s">
        <v>324</v>
      </c>
      <c r="H3714" s="247"/>
      <c r="I3714" s="247" t="s">
        <v>2447</v>
      </c>
      <c r="J3714" s="247">
        <v>101</v>
      </c>
      <c r="K3714" s="247">
        <v>101</v>
      </c>
      <c r="L3714" s="249" t="s">
        <v>937</v>
      </c>
      <c r="M3714" s="249" t="s">
        <v>929</v>
      </c>
      <c r="N3714" s="248">
        <v>0</v>
      </c>
      <c r="O3714" s="248">
        <v>2005</v>
      </c>
      <c r="P3714" s="247" t="s">
        <v>1636</v>
      </c>
      <c r="Q3714" s="247" t="s">
        <v>91</v>
      </c>
    </row>
    <row r="3715" spans="1:17" x14ac:dyDescent="0.25">
      <c r="A3715" s="247" t="s">
        <v>646</v>
      </c>
      <c r="B3715" s="247" t="s">
        <v>265</v>
      </c>
      <c r="C3715" s="247" t="s">
        <v>1620</v>
      </c>
      <c r="D3715" s="247" t="s">
        <v>1361</v>
      </c>
      <c r="E3715" s="247" t="s">
        <v>926</v>
      </c>
      <c r="F3715" s="247" t="s">
        <v>2446</v>
      </c>
      <c r="G3715" s="247" t="s">
        <v>324</v>
      </c>
      <c r="H3715" s="247"/>
      <c r="I3715" s="247" t="s">
        <v>2447</v>
      </c>
      <c r="J3715" s="247">
        <v>101</v>
      </c>
      <c r="K3715" s="247">
        <v>101</v>
      </c>
      <c r="L3715" s="249" t="s">
        <v>938</v>
      </c>
      <c r="M3715" s="249" t="s">
        <v>929</v>
      </c>
      <c r="N3715" s="248">
        <v>1875</v>
      </c>
      <c r="O3715" s="248">
        <v>3880</v>
      </c>
      <c r="P3715" s="247" t="s">
        <v>1636</v>
      </c>
      <c r="Q3715" s="247" t="s">
        <v>92</v>
      </c>
    </row>
    <row r="3716" spans="1:17" x14ac:dyDescent="0.25">
      <c r="A3716" s="247" t="s">
        <v>646</v>
      </c>
      <c r="B3716" s="247" t="s">
        <v>265</v>
      </c>
      <c r="C3716" s="247" t="s">
        <v>1620</v>
      </c>
      <c r="D3716" s="247" t="s">
        <v>1361</v>
      </c>
      <c r="E3716" s="247" t="s">
        <v>926</v>
      </c>
      <c r="F3716" s="247" t="s">
        <v>2446</v>
      </c>
      <c r="G3716" s="247" t="s">
        <v>324</v>
      </c>
      <c r="H3716" s="247"/>
      <c r="I3716" s="247" t="s">
        <v>2447</v>
      </c>
      <c r="J3716" s="247">
        <v>101</v>
      </c>
      <c r="K3716" s="247">
        <v>101</v>
      </c>
      <c r="L3716" s="249" t="s">
        <v>939</v>
      </c>
      <c r="M3716" s="249" t="s">
        <v>929</v>
      </c>
      <c r="N3716" s="248">
        <v>0</v>
      </c>
      <c r="O3716" s="248">
        <v>3880</v>
      </c>
      <c r="P3716" s="247" t="s">
        <v>1636</v>
      </c>
      <c r="Q3716" s="247" t="s">
        <v>93</v>
      </c>
    </row>
    <row r="3717" spans="1:17" x14ac:dyDescent="0.25">
      <c r="A3717" s="247" t="s">
        <v>646</v>
      </c>
      <c r="B3717" s="247" t="s">
        <v>265</v>
      </c>
      <c r="C3717" s="247" t="s">
        <v>1620</v>
      </c>
      <c r="D3717" s="247" t="s">
        <v>1361</v>
      </c>
      <c r="E3717" s="247" t="s">
        <v>926</v>
      </c>
      <c r="F3717" s="247" t="s">
        <v>2446</v>
      </c>
      <c r="G3717" s="247" t="s">
        <v>324</v>
      </c>
      <c r="H3717" s="247"/>
      <c r="I3717" s="247" t="s">
        <v>2447</v>
      </c>
      <c r="J3717" s="247">
        <v>101</v>
      </c>
      <c r="K3717" s="247">
        <v>101</v>
      </c>
      <c r="L3717" s="249" t="s">
        <v>940</v>
      </c>
      <c r="M3717" s="249" t="s">
        <v>929</v>
      </c>
      <c r="N3717" s="248">
        <v>100</v>
      </c>
      <c r="O3717" s="248">
        <v>3980</v>
      </c>
      <c r="P3717" s="247" t="s">
        <v>1636</v>
      </c>
      <c r="Q3717" s="247" t="s">
        <v>94</v>
      </c>
    </row>
    <row r="3718" spans="1:17" x14ac:dyDescent="0.25">
      <c r="A3718" s="247" t="s">
        <v>646</v>
      </c>
      <c r="B3718" s="247" t="s">
        <v>265</v>
      </c>
      <c r="C3718" s="247" t="s">
        <v>1620</v>
      </c>
      <c r="D3718" s="247" t="s">
        <v>1361</v>
      </c>
      <c r="E3718" s="247" t="s">
        <v>926</v>
      </c>
      <c r="F3718" s="247" t="s">
        <v>2446</v>
      </c>
      <c r="G3718" s="247" t="s">
        <v>324</v>
      </c>
      <c r="H3718" s="247"/>
      <c r="I3718" s="247" t="s">
        <v>2447</v>
      </c>
      <c r="J3718" s="247">
        <v>101</v>
      </c>
      <c r="K3718" s="247">
        <v>101</v>
      </c>
      <c r="L3718" s="249" t="s">
        <v>642</v>
      </c>
      <c r="M3718" s="249" t="s">
        <v>929</v>
      </c>
      <c r="N3718" s="248">
        <v>1875</v>
      </c>
      <c r="O3718" s="248">
        <v>5855</v>
      </c>
      <c r="P3718" s="247" t="s">
        <v>1636</v>
      </c>
      <c r="Q3718" s="247" t="s">
        <v>95</v>
      </c>
    </row>
    <row r="3719" spans="1:17" x14ac:dyDescent="0.25">
      <c r="A3719" s="247" t="s">
        <v>646</v>
      </c>
      <c r="B3719" s="247" t="s">
        <v>265</v>
      </c>
      <c r="C3719" s="247" t="s">
        <v>1620</v>
      </c>
      <c r="D3719" s="247" t="s">
        <v>1637</v>
      </c>
      <c r="E3719" s="247" t="s">
        <v>926</v>
      </c>
      <c r="F3719" s="247" t="s">
        <v>2448</v>
      </c>
      <c r="G3719" s="247" t="s">
        <v>1638</v>
      </c>
      <c r="H3719" s="247"/>
      <c r="I3719" s="247" t="s">
        <v>2449</v>
      </c>
      <c r="J3719" s="247">
        <v>103</v>
      </c>
      <c r="K3719" s="247">
        <v>103</v>
      </c>
      <c r="L3719" s="249" t="s">
        <v>646</v>
      </c>
      <c r="M3719" s="249" t="s">
        <v>933</v>
      </c>
      <c r="N3719" s="248">
        <v>0</v>
      </c>
      <c r="O3719" s="248">
        <v>9666.83</v>
      </c>
      <c r="P3719" s="247" t="s">
        <v>1639</v>
      </c>
      <c r="Q3719" s="247" t="s">
        <v>84</v>
      </c>
    </row>
    <row r="3720" spans="1:17" x14ac:dyDescent="0.25">
      <c r="A3720" s="247" t="s">
        <v>646</v>
      </c>
      <c r="B3720" s="247" t="s">
        <v>265</v>
      </c>
      <c r="C3720" s="247" t="s">
        <v>1620</v>
      </c>
      <c r="D3720" s="247" t="s">
        <v>1637</v>
      </c>
      <c r="E3720" s="247" t="s">
        <v>926</v>
      </c>
      <c r="F3720" s="247" t="s">
        <v>2448</v>
      </c>
      <c r="G3720" s="247" t="s">
        <v>1638</v>
      </c>
      <c r="H3720" s="247"/>
      <c r="I3720" s="247" t="s">
        <v>2449</v>
      </c>
      <c r="J3720" s="247">
        <v>103</v>
      </c>
      <c r="K3720" s="247">
        <v>103</v>
      </c>
      <c r="L3720" s="249" t="s">
        <v>650</v>
      </c>
      <c r="M3720" s="249" t="s">
        <v>933</v>
      </c>
      <c r="N3720" s="248">
        <v>0</v>
      </c>
      <c r="O3720" s="248">
        <v>9666.83</v>
      </c>
      <c r="P3720" s="247" t="s">
        <v>1639</v>
      </c>
      <c r="Q3720" s="247" t="s">
        <v>85</v>
      </c>
    </row>
    <row r="3721" spans="1:17" x14ac:dyDescent="0.25">
      <c r="A3721" s="247" t="s">
        <v>646</v>
      </c>
      <c r="B3721" s="247" t="s">
        <v>265</v>
      </c>
      <c r="C3721" s="247" t="s">
        <v>1620</v>
      </c>
      <c r="D3721" s="247" t="s">
        <v>1637</v>
      </c>
      <c r="E3721" s="247" t="s">
        <v>926</v>
      </c>
      <c r="F3721" s="247" t="s">
        <v>2448</v>
      </c>
      <c r="G3721" s="247" t="s">
        <v>1638</v>
      </c>
      <c r="H3721" s="247"/>
      <c r="I3721" s="247" t="s">
        <v>2449</v>
      </c>
      <c r="J3721" s="247">
        <v>103</v>
      </c>
      <c r="K3721" s="247">
        <v>103</v>
      </c>
      <c r="L3721" s="249" t="s">
        <v>652</v>
      </c>
      <c r="M3721" s="249" t="s">
        <v>933</v>
      </c>
      <c r="N3721" s="248">
        <v>2319.6999999999998</v>
      </c>
      <c r="O3721" s="248">
        <v>11986.53</v>
      </c>
      <c r="P3721" s="247" t="s">
        <v>1639</v>
      </c>
      <c r="Q3721" s="247" t="s">
        <v>86</v>
      </c>
    </row>
    <row r="3722" spans="1:17" x14ac:dyDescent="0.25">
      <c r="A3722" s="247" t="s">
        <v>646</v>
      </c>
      <c r="B3722" s="247" t="s">
        <v>265</v>
      </c>
      <c r="C3722" s="247" t="s">
        <v>1620</v>
      </c>
      <c r="D3722" s="247" t="s">
        <v>1637</v>
      </c>
      <c r="E3722" s="247" t="s">
        <v>926</v>
      </c>
      <c r="F3722" s="247" t="s">
        <v>2448</v>
      </c>
      <c r="G3722" s="247" t="s">
        <v>1638</v>
      </c>
      <c r="H3722" s="247"/>
      <c r="I3722" s="247" t="s">
        <v>2449</v>
      </c>
      <c r="J3722" s="247">
        <v>103</v>
      </c>
      <c r="K3722" s="247">
        <v>103</v>
      </c>
      <c r="L3722" s="249" t="s">
        <v>791</v>
      </c>
      <c r="M3722" s="249" t="s">
        <v>929</v>
      </c>
      <c r="N3722" s="248">
        <v>323.48</v>
      </c>
      <c r="O3722" s="248">
        <v>323.48</v>
      </c>
      <c r="P3722" s="247" t="s">
        <v>1639</v>
      </c>
      <c r="Q3722" s="247" t="s">
        <v>88</v>
      </c>
    </row>
    <row r="3723" spans="1:17" x14ac:dyDescent="0.25">
      <c r="A3723" s="247" t="s">
        <v>646</v>
      </c>
      <c r="B3723" s="247" t="s">
        <v>265</v>
      </c>
      <c r="C3723" s="247" t="s">
        <v>1620</v>
      </c>
      <c r="D3723" s="247" t="s">
        <v>1637</v>
      </c>
      <c r="E3723" s="247" t="s">
        <v>926</v>
      </c>
      <c r="F3723" s="247" t="s">
        <v>2448</v>
      </c>
      <c r="G3723" s="247" t="s">
        <v>1638</v>
      </c>
      <c r="H3723" s="247"/>
      <c r="I3723" s="247" t="s">
        <v>2449</v>
      </c>
      <c r="J3723" s="247">
        <v>103</v>
      </c>
      <c r="K3723" s="247">
        <v>103</v>
      </c>
      <c r="L3723" s="249" t="s">
        <v>935</v>
      </c>
      <c r="M3723" s="249" t="s">
        <v>929</v>
      </c>
      <c r="N3723" s="248">
        <v>0</v>
      </c>
      <c r="O3723" s="248">
        <v>323.48</v>
      </c>
      <c r="P3723" s="247" t="s">
        <v>1639</v>
      </c>
      <c r="Q3723" s="247" t="s">
        <v>89</v>
      </c>
    </row>
    <row r="3724" spans="1:17" x14ac:dyDescent="0.25">
      <c r="A3724" s="247" t="s">
        <v>646</v>
      </c>
      <c r="B3724" s="247" t="s">
        <v>265</v>
      </c>
      <c r="C3724" s="247" t="s">
        <v>1620</v>
      </c>
      <c r="D3724" s="247" t="s">
        <v>1637</v>
      </c>
      <c r="E3724" s="247" t="s">
        <v>926</v>
      </c>
      <c r="F3724" s="247" t="s">
        <v>2448</v>
      </c>
      <c r="G3724" s="247" t="s">
        <v>1638</v>
      </c>
      <c r="H3724" s="247"/>
      <c r="I3724" s="247" t="s">
        <v>2449</v>
      </c>
      <c r="J3724" s="247">
        <v>103</v>
      </c>
      <c r="K3724" s="247">
        <v>103</v>
      </c>
      <c r="L3724" s="249" t="s">
        <v>936</v>
      </c>
      <c r="M3724" s="249" t="s">
        <v>929</v>
      </c>
      <c r="N3724" s="248">
        <v>950</v>
      </c>
      <c r="O3724" s="248">
        <v>1273.48</v>
      </c>
      <c r="P3724" s="247" t="s">
        <v>1639</v>
      </c>
      <c r="Q3724" s="247" t="s">
        <v>90</v>
      </c>
    </row>
    <row r="3725" spans="1:17" x14ac:dyDescent="0.25">
      <c r="A3725" s="247" t="s">
        <v>646</v>
      </c>
      <c r="B3725" s="247" t="s">
        <v>265</v>
      </c>
      <c r="C3725" s="247" t="s">
        <v>1620</v>
      </c>
      <c r="D3725" s="247" t="s">
        <v>1637</v>
      </c>
      <c r="E3725" s="247" t="s">
        <v>926</v>
      </c>
      <c r="F3725" s="247" t="s">
        <v>2448</v>
      </c>
      <c r="G3725" s="247" t="s">
        <v>1638</v>
      </c>
      <c r="H3725" s="247"/>
      <c r="I3725" s="247" t="s">
        <v>2449</v>
      </c>
      <c r="J3725" s="247">
        <v>103</v>
      </c>
      <c r="K3725" s="247">
        <v>103</v>
      </c>
      <c r="L3725" s="249" t="s">
        <v>937</v>
      </c>
      <c r="M3725" s="249" t="s">
        <v>929</v>
      </c>
      <c r="N3725" s="248">
        <v>0</v>
      </c>
      <c r="O3725" s="248">
        <v>1273.48</v>
      </c>
      <c r="P3725" s="247" t="s">
        <v>1639</v>
      </c>
      <c r="Q3725" s="247" t="s">
        <v>91</v>
      </c>
    </row>
    <row r="3726" spans="1:17" x14ac:dyDescent="0.25">
      <c r="A3726" s="247" t="s">
        <v>646</v>
      </c>
      <c r="B3726" s="247" t="s">
        <v>265</v>
      </c>
      <c r="C3726" s="247" t="s">
        <v>1620</v>
      </c>
      <c r="D3726" s="247" t="s">
        <v>1637</v>
      </c>
      <c r="E3726" s="247" t="s">
        <v>926</v>
      </c>
      <c r="F3726" s="247" t="s">
        <v>2448</v>
      </c>
      <c r="G3726" s="247" t="s">
        <v>1638</v>
      </c>
      <c r="H3726" s="247"/>
      <c r="I3726" s="247" t="s">
        <v>2449</v>
      </c>
      <c r="J3726" s="247">
        <v>103</v>
      </c>
      <c r="K3726" s="247">
        <v>103</v>
      </c>
      <c r="L3726" s="249" t="s">
        <v>938</v>
      </c>
      <c r="M3726" s="249" t="s">
        <v>929</v>
      </c>
      <c r="N3726" s="248">
        <v>0</v>
      </c>
      <c r="O3726" s="248">
        <v>1273.48</v>
      </c>
      <c r="P3726" s="247" t="s">
        <v>1639</v>
      </c>
      <c r="Q3726" s="247" t="s">
        <v>92</v>
      </c>
    </row>
    <row r="3727" spans="1:17" x14ac:dyDescent="0.25">
      <c r="A3727" s="247" t="s">
        <v>646</v>
      </c>
      <c r="B3727" s="247" t="s">
        <v>265</v>
      </c>
      <c r="C3727" s="247" t="s">
        <v>1620</v>
      </c>
      <c r="D3727" s="247" t="s">
        <v>1637</v>
      </c>
      <c r="E3727" s="247" t="s">
        <v>926</v>
      </c>
      <c r="F3727" s="247" t="s">
        <v>2448</v>
      </c>
      <c r="G3727" s="247" t="s">
        <v>1638</v>
      </c>
      <c r="H3727" s="247"/>
      <c r="I3727" s="247" t="s">
        <v>2449</v>
      </c>
      <c r="J3727" s="247">
        <v>103</v>
      </c>
      <c r="K3727" s="247">
        <v>103</v>
      </c>
      <c r="L3727" s="249" t="s">
        <v>939</v>
      </c>
      <c r="M3727" s="249" t="s">
        <v>929</v>
      </c>
      <c r="N3727" s="248">
        <v>2356.62</v>
      </c>
      <c r="O3727" s="248">
        <v>3630.1</v>
      </c>
      <c r="P3727" s="247" t="s">
        <v>1639</v>
      </c>
      <c r="Q3727" s="247" t="s">
        <v>93</v>
      </c>
    </row>
    <row r="3728" spans="1:17" x14ac:dyDescent="0.25">
      <c r="A3728" s="247" t="s">
        <v>646</v>
      </c>
      <c r="B3728" s="247" t="s">
        <v>265</v>
      </c>
      <c r="C3728" s="247" t="s">
        <v>1620</v>
      </c>
      <c r="D3728" s="247" t="s">
        <v>1637</v>
      </c>
      <c r="E3728" s="247" t="s">
        <v>926</v>
      </c>
      <c r="F3728" s="247" t="s">
        <v>2448</v>
      </c>
      <c r="G3728" s="247" t="s">
        <v>1638</v>
      </c>
      <c r="H3728" s="247"/>
      <c r="I3728" s="247" t="s">
        <v>2449</v>
      </c>
      <c r="J3728" s="247">
        <v>103</v>
      </c>
      <c r="K3728" s="247">
        <v>103</v>
      </c>
      <c r="L3728" s="249" t="s">
        <v>940</v>
      </c>
      <c r="M3728" s="249" t="s">
        <v>929</v>
      </c>
      <c r="N3728" s="248">
        <v>0</v>
      </c>
      <c r="O3728" s="248">
        <v>3630.1</v>
      </c>
      <c r="P3728" s="247" t="s">
        <v>1639</v>
      </c>
      <c r="Q3728" s="247" t="s">
        <v>94</v>
      </c>
    </row>
    <row r="3729" spans="1:17" x14ac:dyDescent="0.25">
      <c r="A3729" s="247" t="s">
        <v>646</v>
      </c>
      <c r="B3729" s="247" t="s">
        <v>265</v>
      </c>
      <c r="C3729" s="247" t="s">
        <v>1620</v>
      </c>
      <c r="D3729" s="247" t="s">
        <v>1637</v>
      </c>
      <c r="E3729" s="247" t="s">
        <v>926</v>
      </c>
      <c r="F3729" s="247" t="s">
        <v>2448</v>
      </c>
      <c r="G3729" s="247" t="s">
        <v>1638</v>
      </c>
      <c r="H3729" s="247"/>
      <c r="I3729" s="247" t="s">
        <v>2449</v>
      </c>
      <c r="J3729" s="247">
        <v>103</v>
      </c>
      <c r="K3729" s="247">
        <v>103</v>
      </c>
      <c r="L3729" s="249" t="s">
        <v>642</v>
      </c>
      <c r="M3729" s="249" t="s">
        <v>929</v>
      </c>
      <c r="N3729" s="248">
        <v>4256.62</v>
      </c>
      <c r="O3729" s="248">
        <v>7886.72</v>
      </c>
      <c r="P3729" s="247" t="s">
        <v>1639</v>
      </c>
      <c r="Q3729" s="247" t="s">
        <v>95</v>
      </c>
    </row>
    <row r="3730" spans="1:17" x14ac:dyDescent="0.25">
      <c r="A3730" s="247" t="s">
        <v>646</v>
      </c>
      <c r="B3730" s="247" t="s">
        <v>265</v>
      </c>
      <c r="C3730" s="247" t="s">
        <v>1620</v>
      </c>
      <c r="D3730" s="247" t="s">
        <v>1640</v>
      </c>
      <c r="E3730" s="247" t="s">
        <v>926</v>
      </c>
      <c r="F3730" s="247" t="s">
        <v>2450</v>
      </c>
      <c r="G3730" s="247" t="s">
        <v>1641</v>
      </c>
      <c r="H3730" s="247"/>
      <c r="I3730" s="247" t="s">
        <v>2451</v>
      </c>
      <c r="J3730" s="247">
        <v>104</v>
      </c>
      <c r="K3730" s="247">
        <v>104</v>
      </c>
      <c r="L3730" s="249" t="s">
        <v>646</v>
      </c>
      <c r="M3730" s="249" t="s">
        <v>933</v>
      </c>
      <c r="N3730" s="248">
        <v>300.29000000000002</v>
      </c>
      <c r="O3730" s="248">
        <v>11475.01</v>
      </c>
      <c r="P3730" s="247" t="s">
        <v>1642</v>
      </c>
      <c r="Q3730" s="247" t="s">
        <v>84</v>
      </c>
    </row>
    <row r="3731" spans="1:17" x14ac:dyDescent="0.25">
      <c r="A3731" s="247" t="s">
        <v>646</v>
      </c>
      <c r="B3731" s="247" t="s">
        <v>265</v>
      </c>
      <c r="C3731" s="247" t="s">
        <v>1620</v>
      </c>
      <c r="D3731" s="247" t="s">
        <v>1640</v>
      </c>
      <c r="E3731" s="247" t="s">
        <v>926</v>
      </c>
      <c r="F3731" s="247" t="s">
        <v>2450</v>
      </c>
      <c r="G3731" s="247" t="s">
        <v>1641</v>
      </c>
      <c r="H3731" s="247"/>
      <c r="I3731" s="247" t="s">
        <v>2451</v>
      </c>
      <c r="J3731" s="247">
        <v>104</v>
      </c>
      <c r="K3731" s="247">
        <v>104</v>
      </c>
      <c r="L3731" s="249" t="s">
        <v>650</v>
      </c>
      <c r="M3731" s="249" t="s">
        <v>933</v>
      </c>
      <c r="N3731" s="248">
        <v>735.21</v>
      </c>
      <c r="O3731" s="248">
        <v>12210.22</v>
      </c>
      <c r="P3731" s="247" t="s">
        <v>1642</v>
      </c>
      <c r="Q3731" s="247" t="s">
        <v>85</v>
      </c>
    </row>
    <row r="3732" spans="1:17" x14ac:dyDescent="0.25">
      <c r="A3732" s="247" t="s">
        <v>646</v>
      </c>
      <c r="B3732" s="247" t="s">
        <v>265</v>
      </c>
      <c r="C3732" s="247" t="s">
        <v>1620</v>
      </c>
      <c r="D3732" s="247" t="s">
        <v>1640</v>
      </c>
      <c r="E3732" s="247" t="s">
        <v>926</v>
      </c>
      <c r="F3732" s="247" t="s">
        <v>2450</v>
      </c>
      <c r="G3732" s="247" t="s">
        <v>1641</v>
      </c>
      <c r="H3732" s="247"/>
      <c r="I3732" s="247" t="s">
        <v>2451</v>
      </c>
      <c r="J3732" s="247">
        <v>104</v>
      </c>
      <c r="K3732" s="247">
        <v>104</v>
      </c>
      <c r="L3732" s="249" t="s">
        <v>652</v>
      </c>
      <c r="M3732" s="249" t="s">
        <v>933</v>
      </c>
      <c r="N3732" s="248">
        <v>6351.21</v>
      </c>
      <c r="O3732" s="248">
        <v>18561.43</v>
      </c>
      <c r="P3732" s="247" t="s">
        <v>1642</v>
      </c>
      <c r="Q3732" s="247" t="s">
        <v>86</v>
      </c>
    </row>
    <row r="3733" spans="1:17" x14ac:dyDescent="0.25">
      <c r="A3733" s="247" t="s">
        <v>646</v>
      </c>
      <c r="B3733" s="247" t="s">
        <v>265</v>
      </c>
      <c r="C3733" s="247" t="s">
        <v>1620</v>
      </c>
      <c r="D3733" s="247" t="s">
        <v>1640</v>
      </c>
      <c r="E3733" s="247" t="s">
        <v>926</v>
      </c>
      <c r="F3733" s="247" t="s">
        <v>2450</v>
      </c>
      <c r="G3733" s="247" t="s">
        <v>1641</v>
      </c>
      <c r="H3733" s="247"/>
      <c r="I3733" s="247" t="s">
        <v>2451</v>
      </c>
      <c r="J3733" s="247">
        <v>104</v>
      </c>
      <c r="K3733" s="247">
        <v>104</v>
      </c>
      <c r="L3733" s="249" t="s">
        <v>789</v>
      </c>
      <c r="M3733" s="249" t="s">
        <v>929</v>
      </c>
      <c r="N3733" s="248">
        <v>1937</v>
      </c>
      <c r="O3733" s="248">
        <v>1937</v>
      </c>
      <c r="P3733" s="247" t="s">
        <v>1642</v>
      </c>
      <c r="Q3733" s="247" t="s">
        <v>87</v>
      </c>
    </row>
    <row r="3734" spans="1:17" x14ac:dyDescent="0.25">
      <c r="A3734" s="247" t="s">
        <v>646</v>
      </c>
      <c r="B3734" s="247" t="s">
        <v>265</v>
      </c>
      <c r="C3734" s="247" t="s">
        <v>1620</v>
      </c>
      <c r="D3734" s="247" t="s">
        <v>1640</v>
      </c>
      <c r="E3734" s="247" t="s">
        <v>926</v>
      </c>
      <c r="F3734" s="247" t="s">
        <v>2450</v>
      </c>
      <c r="G3734" s="247" t="s">
        <v>1641</v>
      </c>
      <c r="H3734" s="247"/>
      <c r="I3734" s="247" t="s">
        <v>2451</v>
      </c>
      <c r="J3734" s="247">
        <v>104</v>
      </c>
      <c r="K3734" s="247">
        <v>104</v>
      </c>
      <c r="L3734" s="249" t="s">
        <v>791</v>
      </c>
      <c r="M3734" s="249" t="s">
        <v>929</v>
      </c>
      <c r="N3734" s="248">
        <v>366.21</v>
      </c>
      <c r="O3734" s="248">
        <v>2303.21</v>
      </c>
      <c r="P3734" s="247" t="s">
        <v>1642</v>
      </c>
      <c r="Q3734" s="247" t="s">
        <v>88</v>
      </c>
    </row>
    <row r="3735" spans="1:17" x14ac:dyDescent="0.25">
      <c r="A3735" s="247" t="s">
        <v>646</v>
      </c>
      <c r="B3735" s="247" t="s">
        <v>265</v>
      </c>
      <c r="C3735" s="247" t="s">
        <v>1620</v>
      </c>
      <c r="D3735" s="247" t="s">
        <v>1640</v>
      </c>
      <c r="E3735" s="247" t="s">
        <v>926</v>
      </c>
      <c r="F3735" s="247" t="s">
        <v>2450</v>
      </c>
      <c r="G3735" s="247" t="s">
        <v>1641</v>
      </c>
      <c r="H3735" s="247"/>
      <c r="I3735" s="247" t="s">
        <v>2451</v>
      </c>
      <c r="J3735" s="247">
        <v>104</v>
      </c>
      <c r="K3735" s="247">
        <v>104</v>
      </c>
      <c r="L3735" s="249" t="s">
        <v>935</v>
      </c>
      <c r="M3735" s="249" t="s">
        <v>929</v>
      </c>
      <c r="N3735" s="248">
        <v>2567.4499999999998</v>
      </c>
      <c r="O3735" s="248">
        <v>4870.66</v>
      </c>
      <c r="P3735" s="247" t="s">
        <v>1642</v>
      </c>
      <c r="Q3735" s="247" t="s">
        <v>89</v>
      </c>
    </row>
    <row r="3736" spans="1:17" x14ac:dyDescent="0.25">
      <c r="A3736" s="247" t="s">
        <v>646</v>
      </c>
      <c r="B3736" s="247" t="s">
        <v>265</v>
      </c>
      <c r="C3736" s="247" t="s">
        <v>1620</v>
      </c>
      <c r="D3736" s="247" t="s">
        <v>1640</v>
      </c>
      <c r="E3736" s="247" t="s">
        <v>926</v>
      </c>
      <c r="F3736" s="247" t="s">
        <v>2450</v>
      </c>
      <c r="G3736" s="247" t="s">
        <v>1641</v>
      </c>
      <c r="H3736" s="247"/>
      <c r="I3736" s="247" t="s">
        <v>2451</v>
      </c>
      <c r="J3736" s="247">
        <v>104</v>
      </c>
      <c r="K3736" s="247">
        <v>104</v>
      </c>
      <c r="L3736" s="249" t="s">
        <v>936</v>
      </c>
      <c r="M3736" s="249" t="s">
        <v>929</v>
      </c>
      <c r="N3736" s="248">
        <v>1846.29</v>
      </c>
      <c r="O3736" s="248">
        <v>6716.95</v>
      </c>
      <c r="P3736" s="247" t="s">
        <v>1642</v>
      </c>
      <c r="Q3736" s="247" t="s">
        <v>90</v>
      </c>
    </row>
    <row r="3737" spans="1:17" x14ac:dyDescent="0.25">
      <c r="A3737" s="247" t="s">
        <v>646</v>
      </c>
      <c r="B3737" s="247" t="s">
        <v>265</v>
      </c>
      <c r="C3737" s="247" t="s">
        <v>1620</v>
      </c>
      <c r="D3737" s="247" t="s">
        <v>1640</v>
      </c>
      <c r="E3737" s="247" t="s">
        <v>926</v>
      </c>
      <c r="F3737" s="247" t="s">
        <v>2450</v>
      </c>
      <c r="G3737" s="247" t="s">
        <v>1641</v>
      </c>
      <c r="H3737" s="247"/>
      <c r="I3737" s="247" t="s">
        <v>2451</v>
      </c>
      <c r="J3737" s="247">
        <v>104</v>
      </c>
      <c r="K3737" s="247">
        <v>104</v>
      </c>
      <c r="L3737" s="249" t="s">
        <v>937</v>
      </c>
      <c r="M3737" s="249" t="s">
        <v>929</v>
      </c>
      <c r="N3737" s="248">
        <v>1017.64</v>
      </c>
      <c r="O3737" s="248">
        <v>7734.59</v>
      </c>
      <c r="P3737" s="247" t="s">
        <v>1642</v>
      </c>
      <c r="Q3737" s="247" t="s">
        <v>91</v>
      </c>
    </row>
    <row r="3738" spans="1:17" x14ac:dyDescent="0.25">
      <c r="A3738" s="247" t="s">
        <v>646</v>
      </c>
      <c r="B3738" s="247" t="s">
        <v>265</v>
      </c>
      <c r="C3738" s="247" t="s">
        <v>1620</v>
      </c>
      <c r="D3738" s="247" t="s">
        <v>1640</v>
      </c>
      <c r="E3738" s="247" t="s">
        <v>926</v>
      </c>
      <c r="F3738" s="247" t="s">
        <v>2450</v>
      </c>
      <c r="G3738" s="247" t="s">
        <v>1641</v>
      </c>
      <c r="H3738" s="247"/>
      <c r="I3738" s="247" t="s">
        <v>2451</v>
      </c>
      <c r="J3738" s="247">
        <v>104</v>
      </c>
      <c r="K3738" s="247">
        <v>104</v>
      </c>
      <c r="L3738" s="249" t="s">
        <v>938</v>
      </c>
      <c r="M3738" s="249" t="s">
        <v>929</v>
      </c>
      <c r="N3738" s="248">
        <v>379.5</v>
      </c>
      <c r="O3738" s="248">
        <v>8114.09</v>
      </c>
      <c r="P3738" s="247" t="s">
        <v>1642</v>
      </c>
      <c r="Q3738" s="247" t="s">
        <v>92</v>
      </c>
    </row>
    <row r="3739" spans="1:17" x14ac:dyDescent="0.25">
      <c r="A3739" s="247" t="s">
        <v>646</v>
      </c>
      <c r="B3739" s="247" t="s">
        <v>265</v>
      </c>
      <c r="C3739" s="247" t="s">
        <v>1620</v>
      </c>
      <c r="D3739" s="247" t="s">
        <v>1640</v>
      </c>
      <c r="E3739" s="247" t="s">
        <v>926</v>
      </c>
      <c r="F3739" s="247" t="s">
        <v>2450</v>
      </c>
      <c r="G3739" s="247" t="s">
        <v>1641</v>
      </c>
      <c r="H3739" s="247"/>
      <c r="I3739" s="247" t="s">
        <v>2451</v>
      </c>
      <c r="J3739" s="247">
        <v>104</v>
      </c>
      <c r="K3739" s="247">
        <v>104</v>
      </c>
      <c r="L3739" s="249" t="s">
        <v>939</v>
      </c>
      <c r="M3739" s="249" t="s">
        <v>929</v>
      </c>
      <c r="N3739" s="248">
        <v>19.5</v>
      </c>
      <c r="O3739" s="248">
        <v>8133.59</v>
      </c>
      <c r="P3739" s="247" t="s">
        <v>1642</v>
      </c>
      <c r="Q3739" s="247" t="s">
        <v>93</v>
      </c>
    </row>
    <row r="3740" spans="1:17" x14ac:dyDescent="0.25">
      <c r="A3740" s="247" t="s">
        <v>646</v>
      </c>
      <c r="B3740" s="247" t="s">
        <v>265</v>
      </c>
      <c r="C3740" s="247" t="s">
        <v>1620</v>
      </c>
      <c r="D3740" s="247" t="s">
        <v>1640</v>
      </c>
      <c r="E3740" s="247" t="s">
        <v>926</v>
      </c>
      <c r="F3740" s="247" t="s">
        <v>2450</v>
      </c>
      <c r="G3740" s="247" t="s">
        <v>1641</v>
      </c>
      <c r="H3740" s="247"/>
      <c r="I3740" s="247" t="s">
        <v>2451</v>
      </c>
      <c r="J3740" s="247">
        <v>104</v>
      </c>
      <c r="K3740" s="247">
        <v>104</v>
      </c>
      <c r="L3740" s="249" t="s">
        <v>940</v>
      </c>
      <c r="M3740" s="249" t="s">
        <v>929</v>
      </c>
      <c r="N3740" s="248">
        <v>5708.77</v>
      </c>
      <c r="O3740" s="248">
        <v>13842.36</v>
      </c>
      <c r="P3740" s="247" t="s">
        <v>1642</v>
      </c>
      <c r="Q3740" s="247" t="s">
        <v>94</v>
      </c>
    </row>
    <row r="3741" spans="1:17" x14ac:dyDescent="0.25">
      <c r="A3741" s="247" t="s">
        <v>646</v>
      </c>
      <c r="B3741" s="247" t="s">
        <v>265</v>
      </c>
      <c r="C3741" s="247" t="s">
        <v>1620</v>
      </c>
      <c r="D3741" s="247" t="s">
        <v>1640</v>
      </c>
      <c r="E3741" s="247" t="s">
        <v>926</v>
      </c>
      <c r="F3741" s="247" t="s">
        <v>2450</v>
      </c>
      <c r="G3741" s="247" t="s">
        <v>1641</v>
      </c>
      <c r="H3741" s="247"/>
      <c r="I3741" s="247" t="s">
        <v>2451</v>
      </c>
      <c r="J3741" s="247">
        <v>104</v>
      </c>
      <c r="K3741" s="247">
        <v>104</v>
      </c>
      <c r="L3741" s="249" t="s">
        <v>642</v>
      </c>
      <c r="M3741" s="249" t="s">
        <v>929</v>
      </c>
      <c r="N3741" s="248">
        <v>1175</v>
      </c>
      <c r="O3741" s="248">
        <v>15017.36</v>
      </c>
      <c r="P3741" s="247" t="s">
        <v>1642</v>
      </c>
      <c r="Q3741" s="247" t="s">
        <v>95</v>
      </c>
    </row>
    <row r="3742" spans="1:17" x14ac:dyDescent="0.25">
      <c r="A3742" s="247" t="s">
        <v>646</v>
      </c>
      <c r="B3742" s="247" t="s">
        <v>265</v>
      </c>
      <c r="C3742" s="247" t="s">
        <v>1620</v>
      </c>
      <c r="D3742" s="247" t="s">
        <v>1643</v>
      </c>
      <c r="E3742" s="247" t="s">
        <v>926</v>
      </c>
      <c r="F3742" s="247" t="s">
        <v>2452</v>
      </c>
      <c r="G3742" s="247" t="s">
        <v>1644</v>
      </c>
      <c r="H3742" s="247"/>
      <c r="I3742" s="247" t="s">
        <v>2453</v>
      </c>
      <c r="J3742" s="247">
        <v>105</v>
      </c>
      <c r="K3742" s="247">
        <v>105</v>
      </c>
      <c r="L3742" s="249" t="s">
        <v>646</v>
      </c>
      <c r="M3742" s="249" t="s">
        <v>933</v>
      </c>
      <c r="N3742" s="248">
        <v>0</v>
      </c>
      <c r="O3742" s="248">
        <v>2542.91</v>
      </c>
      <c r="P3742" s="247" t="s">
        <v>1645</v>
      </c>
      <c r="Q3742" s="247" t="s">
        <v>84</v>
      </c>
    </row>
    <row r="3743" spans="1:17" x14ac:dyDescent="0.25">
      <c r="A3743" s="247" t="s">
        <v>646</v>
      </c>
      <c r="B3743" s="247" t="s">
        <v>265</v>
      </c>
      <c r="C3743" s="247" t="s">
        <v>1620</v>
      </c>
      <c r="D3743" s="247" t="s">
        <v>1643</v>
      </c>
      <c r="E3743" s="247" t="s">
        <v>926</v>
      </c>
      <c r="F3743" s="247" t="s">
        <v>2452</v>
      </c>
      <c r="G3743" s="247" t="s">
        <v>1644</v>
      </c>
      <c r="H3743" s="247"/>
      <c r="I3743" s="247" t="s">
        <v>2453</v>
      </c>
      <c r="J3743" s="247">
        <v>105</v>
      </c>
      <c r="K3743" s="247">
        <v>105</v>
      </c>
      <c r="L3743" s="249" t="s">
        <v>650</v>
      </c>
      <c r="M3743" s="249" t="s">
        <v>933</v>
      </c>
      <c r="N3743" s="248">
        <v>0</v>
      </c>
      <c r="O3743" s="248">
        <v>2542.91</v>
      </c>
      <c r="P3743" s="247" t="s">
        <v>1645</v>
      </c>
      <c r="Q3743" s="247" t="s">
        <v>85</v>
      </c>
    </row>
    <row r="3744" spans="1:17" x14ac:dyDescent="0.25">
      <c r="A3744" s="247" t="s">
        <v>646</v>
      </c>
      <c r="B3744" s="247" t="s">
        <v>265</v>
      </c>
      <c r="C3744" s="247" t="s">
        <v>1620</v>
      </c>
      <c r="D3744" s="247" t="s">
        <v>1643</v>
      </c>
      <c r="E3744" s="247" t="s">
        <v>926</v>
      </c>
      <c r="F3744" s="247" t="s">
        <v>2452</v>
      </c>
      <c r="G3744" s="247" t="s">
        <v>1644</v>
      </c>
      <c r="H3744" s="247"/>
      <c r="I3744" s="247" t="s">
        <v>2453</v>
      </c>
      <c r="J3744" s="247">
        <v>105</v>
      </c>
      <c r="K3744" s="247">
        <v>105</v>
      </c>
      <c r="L3744" s="249" t="s">
        <v>652</v>
      </c>
      <c r="M3744" s="249" t="s">
        <v>933</v>
      </c>
      <c r="N3744" s="248">
        <v>0</v>
      </c>
      <c r="O3744" s="248">
        <v>2542.91</v>
      </c>
      <c r="P3744" s="247" t="s">
        <v>1645</v>
      </c>
      <c r="Q3744" s="247" t="s">
        <v>86</v>
      </c>
    </row>
    <row r="3745" spans="1:17" x14ac:dyDescent="0.25">
      <c r="A3745" s="247" t="s">
        <v>646</v>
      </c>
      <c r="B3745" s="247" t="s">
        <v>265</v>
      </c>
      <c r="C3745" s="247" t="s">
        <v>1620</v>
      </c>
      <c r="D3745" s="247" t="s">
        <v>1643</v>
      </c>
      <c r="E3745" s="247" t="s">
        <v>926</v>
      </c>
      <c r="F3745" s="247" t="s">
        <v>2452</v>
      </c>
      <c r="G3745" s="247" t="s">
        <v>1644</v>
      </c>
      <c r="H3745" s="247"/>
      <c r="I3745" s="247" t="s">
        <v>2453</v>
      </c>
      <c r="J3745" s="247">
        <v>105</v>
      </c>
      <c r="K3745" s="247">
        <v>105</v>
      </c>
      <c r="L3745" s="249" t="s">
        <v>789</v>
      </c>
      <c r="M3745" s="249" t="s">
        <v>929</v>
      </c>
      <c r="N3745" s="248">
        <v>92</v>
      </c>
      <c r="O3745" s="248">
        <v>92</v>
      </c>
      <c r="P3745" s="247" t="s">
        <v>1645</v>
      </c>
      <c r="Q3745" s="247" t="s">
        <v>87</v>
      </c>
    </row>
    <row r="3746" spans="1:17" x14ac:dyDescent="0.25">
      <c r="A3746" s="247" t="s">
        <v>646</v>
      </c>
      <c r="B3746" s="247" t="s">
        <v>265</v>
      </c>
      <c r="C3746" s="247" t="s">
        <v>1620</v>
      </c>
      <c r="D3746" s="247" t="s">
        <v>1643</v>
      </c>
      <c r="E3746" s="247" t="s">
        <v>926</v>
      </c>
      <c r="F3746" s="247" t="s">
        <v>2452</v>
      </c>
      <c r="G3746" s="247" t="s">
        <v>1644</v>
      </c>
      <c r="H3746" s="247"/>
      <c r="I3746" s="247" t="s">
        <v>2453</v>
      </c>
      <c r="J3746" s="247">
        <v>105</v>
      </c>
      <c r="K3746" s="247">
        <v>105</v>
      </c>
      <c r="L3746" s="249" t="s">
        <v>791</v>
      </c>
      <c r="M3746" s="249" t="s">
        <v>929</v>
      </c>
      <c r="N3746" s="248">
        <v>4348</v>
      </c>
      <c r="O3746" s="248">
        <v>4440</v>
      </c>
      <c r="P3746" s="247" t="s">
        <v>1645</v>
      </c>
      <c r="Q3746" s="247" t="s">
        <v>88</v>
      </c>
    </row>
    <row r="3747" spans="1:17" x14ac:dyDescent="0.25">
      <c r="A3747" s="247" t="s">
        <v>646</v>
      </c>
      <c r="B3747" s="247" t="s">
        <v>265</v>
      </c>
      <c r="C3747" s="247" t="s">
        <v>1620</v>
      </c>
      <c r="D3747" s="247" t="s">
        <v>1643</v>
      </c>
      <c r="E3747" s="247" t="s">
        <v>926</v>
      </c>
      <c r="F3747" s="247" t="s">
        <v>2452</v>
      </c>
      <c r="G3747" s="247" t="s">
        <v>1644</v>
      </c>
      <c r="H3747" s="247"/>
      <c r="I3747" s="247" t="s">
        <v>2453</v>
      </c>
      <c r="J3747" s="247">
        <v>105</v>
      </c>
      <c r="K3747" s="247">
        <v>105</v>
      </c>
      <c r="L3747" s="249" t="s">
        <v>935</v>
      </c>
      <c r="M3747" s="249" t="s">
        <v>929</v>
      </c>
      <c r="N3747" s="248">
        <v>158</v>
      </c>
      <c r="O3747" s="248">
        <v>4598</v>
      </c>
      <c r="P3747" s="247" t="s">
        <v>1645</v>
      </c>
      <c r="Q3747" s="247" t="s">
        <v>89</v>
      </c>
    </row>
    <row r="3748" spans="1:17" x14ac:dyDescent="0.25">
      <c r="A3748" s="247" t="s">
        <v>646</v>
      </c>
      <c r="B3748" s="247" t="s">
        <v>265</v>
      </c>
      <c r="C3748" s="247" t="s">
        <v>1620</v>
      </c>
      <c r="D3748" s="247" t="s">
        <v>1643</v>
      </c>
      <c r="E3748" s="247" t="s">
        <v>926</v>
      </c>
      <c r="F3748" s="247" t="s">
        <v>2452</v>
      </c>
      <c r="G3748" s="247" t="s">
        <v>1644</v>
      </c>
      <c r="H3748" s="247"/>
      <c r="I3748" s="247" t="s">
        <v>2453</v>
      </c>
      <c r="J3748" s="247">
        <v>105</v>
      </c>
      <c r="K3748" s="247">
        <v>105</v>
      </c>
      <c r="L3748" s="249" t="s">
        <v>936</v>
      </c>
      <c r="M3748" s="249" t="s">
        <v>929</v>
      </c>
      <c r="N3748" s="248">
        <v>0</v>
      </c>
      <c r="O3748" s="248">
        <v>4598</v>
      </c>
      <c r="P3748" s="247" t="s">
        <v>1645</v>
      </c>
      <c r="Q3748" s="247" t="s">
        <v>90</v>
      </c>
    </row>
    <row r="3749" spans="1:17" x14ac:dyDescent="0.25">
      <c r="A3749" s="247" t="s">
        <v>646</v>
      </c>
      <c r="B3749" s="247" t="s">
        <v>265</v>
      </c>
      <c r="C3749" s="247" t="s">
        <v>1620</v>
      </c>
      <c r="D3749" s="247" t="s">
        <v>1643</v>
      </c>
      <c r="E3749" s="247" t="s">
        <v>926</v>
      </c>
      <c r="F3749" s="247" t="s">
        <v>2452</v>
      </c>
      <c r="G3749" s="247" t="s">
        <v>1644</v>
      </c>
      <c r="H3749" s="247"/>
      <c r="I3749" s="247" t="s">
        <v>2453</v>
      </c>
      <c r="J3749" s="247">
        <v>105</v>
      </c>
      <c r="K3749" s="247">
        <v>105</v>
      </c>
      <c r="L3749" s="249" t="s">
        <v>937</v>
      </c>
      <c r="M3749" s="249" t="s">
        <v>929</v>
      </c>
      <c r="N3749" s="248">
        <v>8035</v>
      </c>
      <c r="O3749" s="248">
        <v>12633</v>
      </c>
      <c r="P3749" s="247" t="s">
        <v>1645</v>
      </c>
      <c r="Q3749" s="247" t="s">
        <v>91</v>
      </c>
    </row>
    <row r="3750" spans="1:17" x14ac:dyDescent="0.25">
      <c r="A3750" s="247" t="s">
        <v>646</v>
      </c>
      <c r="B3750" s="247" t="s">
        <v>265</v>
      </c>
      <c r="C3750" s="247" t="s">
        <v>1620</v>
      </c>
      <c r="D3750" s="247" t="s">
        <v>1643</v>
      </c>
      <c r="E3750" s="247" t="s">
        <v>926</v>
      </c>
      <c r="F3750" s="247" t="s">
        <v>2452</v>
      </c>
      <c r="G3750" s="247" t="s">
        <v>1644</v>
      </c>
      <c r="H3750" s="247"/>
      <c r="I3750" s="247" t="s">
        <v>2453</v>
      </c>
      <c r="J3750" s="247">
        <v>105</v>
      </c>
      <c r="K3750" s="247">
        <v>105</v>
      </c>
      <c r="L3750" s="249" t="s">
        <v>938</v>
      </c>
      <c r="M3750" s="249" t="s">
        <v>929</v>
      </c>
      <c r="N3750" s="248">
        <v>0</v>
      </c>
      <c r="O3750" s="248">
        <v>12633</v>
      </c>
      <c r="P3750" s="247" t="s">
        <v>1645</v>
      </c>
      <c r="Q3750" s="247" t="s">
        <v>92</v>
      </c>
    </row>
    <row r="3751" spans="1:17" x14ac:dyDescent="0.25">
      <c r="A3751" s="247" t="s">
        <v>646</v>
      </c>
      <c r="B3751" s="247" t="s">
        <v>265</v>
      </c>
      <c r="C3751" s="247" t="s">
        <v>1620</v>
      </c>
      <c r="D3751" s="247" t="s">
        <v>1643</v>
      </c>
      <c r="E3751" s="247" t="s">
        <v>926</v>
      </c>
      <c r="F3751" s="247" t="s">
        <v>2452</v>
      </c>
      <c r="G3751" s="247" t="s">
        <v>1644</v>
      </c>
      <c r="H3751" s="247"/>
      <c r="I3751" s="247" t="s">
        <v>2453</v>
      </c>
      <c r="J3751" s="247">
        <v>105</v>
      </c>
      <c r="K3751" s="247">
        <v>105</v>
      </c>
      <c r="L3751" s="249" t="s">
        <v>939</v>
      </c>
      <c r="M3751" s="249" t="s">
        <v>929</v>
      </c>
      <c r="N3751" s="248">
        <v>0</v>
      </c>
      <c r="O3751" s="248">
        <v>12633</v>
      </c>
      <c r="P3751" s="247" t="s">
        <v>1645</v>
      </c>
      <c r="Q3751" s="247" t="s">
        <v>93</v>
      </c>
    </row>
    <row r="3752" spans="1:17" x14ac:dyDescent="0.25">
      <c r="A3752" s="247" t="s">
        <v>646</v>
      </c>
      <c r="B3752" s="247" t="s">
        <v>265</v>
      </c>
      <c r="C3752" s="247" t="s">
        <v>1620</v>
      </c>
      <c r="D3752" s="247" t="s">
        <v>1643</v>
      </c>
      <c r="E3752" s="247" t="s">
        <v>926</v>
      </c>
      <c r="F3752" s="247" t="s">
        <v>2452</v>
      </c>
      <c r="G3752" s="247" t="s">
        <v>1644</v>
      </c>
      <c r="H3752" s="247"/>
      <c r="I3752" s="247" t="s">
        <v>2453</v>
      </c>
      <c r="J3752" s="247">
        <v>105</v>
      </c>
      <c r="K3752" s="247">
        <v>105</v>
      </c>
      <c r="L3752" s="249" t="s">
        <v>940</v>
      </c>
      <c r="M3752" s="249" t="s">
        <v>929</v>
      </c>
      <c r="N3752" s="248">
        <v>432.58</v>
      </c>
      <c r="O3752" s="248">
        <v>13065.58</v>
      </c>
      <c r="P3752" s="247" t="s">
        <v>1645</v>
      </c>
      <c r="Q3752" s="247" t="s">
        <v>94</v>
      </c>
    </row>
    <row r="3753" spans="1:17" x14ac:dyDescent="0.25">
      <c r="A3753" s="247" t="s">
        <v>646</v>
      </c>
      <c r="B3753" s="247" t="s">
        <v>265</v>
      </c>
      <c r="C3753" s="247" t="s">
        <v>1620</v>
      </c>
      <c r="D3753" s="247" t="s">
        <v>1643</v>
      </c>
      <c r="E3753" s="247" t="s">
        <v>926</v>
      </c>
      <c r="F3753" s="247" t="s">
        <v>2452</v>
      </c>
      <c r="G3753" s="247" t="s">
        <v>1644</v>
      </c>
      <c r="H3753" s="247"/>
      <c r="I3753" s="247" t="s">
        <v>2453</v>
      </c>
      <c r="J3753" s="247">
        <v>105</v>
      </c>
      <c r="K3753" s="247">
        <v>105</v>
      </c>
      <c r="L3753" s="249" t="s">
        <v>642</v>
      </c>
      <c r="M3753" s="249" t="s">
        <v>929</v>
      </c>
      <c r="N3753" s="248">
        <v>0</v>
      </c>
      <c r="O3753" s="248">
        <v>13065.58</v>
      </c>
      <c r="P3753" s="247" t="s">
        <v>1645</v>
      </c>
      <c r="Q3753" s="247" t="s">
        <v>95</v>
      </c>
    </row>
    <row r="3754" spans="1:17" x14ac:dyDescent="0.25">
      <c r="A3754" s="247" t="s">
        <v>646</v>
      </c>
      <c r="B3754" s="247" t="s">
        <v>265</v>
      </c>
      <c r="C3754" s="247" t="s">
        <v>1620</v>
      </c>
      <c r="D3754" s="247" t="s">
        <v>1049</v>
      </c>
      <c r="E3754" s="247" t="s">
        <v>926</v>
      </c>
      <c r="F3754" s="247" t="s">
        <v>2454</v>
      </c>
      <c r="G3754" s="247" t="s">
        <v>1646</v>
      </c>
      <c r="H3754" s="247"/>
      <c r="I3754" s="247" t="s">
        <v>2455</v>
      </c>
      <c r="J3754" s="247">
        <v>105</v>
      </c>
      <c r="K3754" s="247">
        <v>105</v>
      </c>
      <c r="L3754" s="249" t="s">
        <v>646</v>
      </c>
      <c r="M3754" s="249" t="s">
        <v>933</v>
      </c>
      <c r="N3754" s="248">
        <v>4.5999999999999996</v>
      </c>
      <c r="O3754" s="248">
        <v>6618.24</v>
      </c>
      <c r="P3754" s="247" t="s">
        <v>1647</v>
      </c>
      <c r="Q3754" s="247" t="s">
        <v>84</v>
      </c>
    </row>
    <row r="3755" spans="1:17" x14ac:dyDescent="0.25">
      <c r="A3755" s="247" t="s">
        <v>646</v>
      </c>
      <c r="B3755" s="247" t="s">
        <v>265</v>
      </c>
      <c r="C3755" s="247" t="s">
        <v>1620</v>
      </c>
      <c r="D3755" s="247" t="s">
        <v>1049</v>
      </c>
      <c r="E3755" s="247" t="s">
        <v>926</v>
      </c>
      <c r="F3755" s="247" t="s">
        <v>2454</v>
      </c>
      <c r="G3755" s="247" t="s">
        <v>1646</v>
      </c>
      <c r="H3755" s="247"/>
      <c r="I3755" s="247" t="s">
        <v>2455</v>
      </c>
      <c r="J3755" s="247">
        <v>105</v>
      </c>
      <c r="K3755" s="247">
        <v>105</v>
      </c>
      <c r="L3755" s="249" t="s">
        <v>650</v>
      </c>
      <c r="M3755" s="249" t="s">
        <v>933</v>
      </c>
      <c r="N3755" s="248">
        <v>643.04</v>
      </c>
      <c r="O3755" s="248">
        <v>7261.28</v>
      </c>
      <c r="P3755" s="247" t="s">
        <v>1647</v>
      </c>
      <c r="Q3755" s="247" t="s">
        <v>85</v>
      </c>
    </row>
    <row r="3756" spans="1:17" x14ac:dyDescent="0.25">
      <c r="A3756" s="247" t="s">
        <v>646</v>
      </c>
      <c r="B3756" s="247" t="s">
        <v>265</v>
      </c>
      <c r="C3756" s="247" t="s">
        <v>1620</v>
      </c>
      <c r="D3756" s="247" t="s">
        <v>1049</v>
      </c>
      <c r="E3756" s="247" t="s">
        <v>926</v>
      </c>
      <c r="F3756" s="247" t="s">
        <v>2454</v>
      </c>
      <c r="G3756" s="247" t="s">
        <v>1646</v>
      </c>
      <c r="H3756" s="247"/>
      <c r="I3756" s="247" t="s">
        <v>2455</v>
      </c>
      <c r="J3756" s="247">
        <v>105</v>
      </c>
      <c r="K3756" s="247">
        <v>105</v>
      </c>
      <c r="L3756" s="249" t="s">
        <v>652</v>
      </c>
      <c r="M3756" s="249" t="s">
        <v>933</v>
      </c>
      <c r="N3756" s="248">
        <v>95.3</v>
      </c>
      <c r="O3756" s="248">
        <v>7356.58</v>
      </c>
      <c r="P3756" s="247" t="s">
        <v>1647</v>
      </c>
      <c r="Q3756" s="247" t="s">
        <v>86</v>
      </c>
    </row>
    <row r="3757" spans="1:17" x14ac:dyDescent="0.25">
      <c r="A3757" s="247" t="s">
        <v>646</v>
      </c>
      <c r="B3757" s="247" t="s">
        <v>265</v>
      </c>
      <c r="C3757" s="247" t="s">
        <v>1620</v>
      </c>
      <c r="D3757" s="247" t="s">
        <v>1049</v>
      </c>
      <c r="E3757" s="247" t="s">
        <v>926</v>
      </c>
      <c r="F3757" s="247" t="s">
        <v>2454</v>
      </c>
      <c r="G3757" s="247" t="s">
        <v>1646</v>
      </c>
      <c r="H3757" s="247"/>
      <c r="I3757" s="247" t="s">
        <v>2455</v>
      </c>
      <c r="J3757" s="247">
        <v>105</v>
      </c>
      <c r="K3757" s="247">
        <v>105</v>
      </c>
      <c r="L3757" s="249" t="s">
        <v>789</v>
      </c>
      <c r="M3757" s="249" t="s">
        <v>929</v>
      </c>
      <c r="N3757" s="248">
        <v>2828.2</v>
      </c>
      <c r="O3757" s="248">
        <v>2828.2</v>
      </c>
      <c r="P3757" s="247" t="s">
        <v>1647</v>
      </c>
      <c r="Q3757" s="247" t="s">
        <v>87</v>
      </c>
    </row>
    <row r="3758" spans="1:17" x14ac:dyDescent="0.25">
      <c r="A3758" s="247" t="s">
        <v>646</v>
      </c>
      <c r="B3758" s="247" t="s">
        <v>265</v>
      </c>
      <c r="C3758" s="247" t="s">
        <v>1620</v>
      </c>
      <c r="D3758" s="247" t="s">
        <v>1049</v>
      </c>
      <c r="E3758" s="247" t="s">
        <v>926</v>
      </c>
      <c r="F3758" s="247" t="s">
        <v>2454</v>
      </c>
      <c r="G3758" s="247" t="s">
        <v>1646</v>
      </c>
      <c r="H3758" s="247"/>
      <c r="I3758" s="247" t="s">
        <v>2455</v>
      </c>
      <c r="J3758" s="247">
        <v>105</v>
      </c>
      <c r="K3758" s="247">
        <v>105</v>
      </c>
      <c r="L3758" s="249" t="s">
        <v>791</v>
      </c>
      <c r="M3758" s="249" t="s">
        <v>929</v>
      </c>
      <c r="N3758" s="248">
        <v>342.18</v>
      </c>
      <c r="O3758" s="248">
        <v>3170.38</v>
      </c>
      <c r="P3758" s="247" t="s">
        <v>1647</v>
      </c>
      <c r="Q3758" s="247" t="s">
        <v>88</v>
      </c>
    </row>
    <row r="3759" spans="1:17" x14ac:dyDescent="0.25">
      <c r="A3759" s="247" t="s">
        <v>646</v>
      </c>
      <c r="B3759" s="247" t="s">
        <v>265</v>
      </c>
      <c r="C3759" s="247" t="s">
        <v>1620</v>
      </c>
      <c r="D3759" s="247" t="s">
        <v>1049</v>
      </c>
      <c r="E3759" s="247" t="s">
        <v>926</v>
      </c>
      <c r="F3759" s="247" t="s">
        <v>2454</v>
      </c>
      <c r="G3759" s="247" t="s">
        <v>1646</v>
      </c>
      <c r="H3759" s="247"/>
      <c r="I3759" s="247" t="s">
        <v>2455</v>
      </c>
      <c r="J3759" s="247">
        <v>105</v>
      </c>
      <c r="K3759" s="247">
        <v>105</v>
      </c>
      <c r="L3759" s="249" t="s">
        <v>935</v>
      </c>
      <c r="M3759" s="249" t="s">
        <v>929</v>
      </c>
      <c r="N3759" s="248">
        <v>2399.4</v>
      </c>
      <c r="O3759" s="248">
        <v>5569.78</v>
      </c>
      <c r="P3759" s="247" t="s">
        <v>1647</v>
      </c>
      <c r="Q3759" s="247" t="s">
        <v>89</v>
      </c>
    </row>
    <row r="3760" spans="1:17" x14ac:dyDescent="0.25">
      <c r="A3760" s="247" t="s">
        <v>646</v>
      </c>
      <c r="B3760" s="247" t="s">
        <v>265</v>
      </c>
      <c r="C3760" s="247" t="s">
        <v>1620</v>
      </c>
      <c r="D3760" s="247" t="s">
        <v>1049</v>
      </c>
      <c r="E3760" s="247" t="s">
        <v>926</v>
      </c>
      <c r="F3760" s="247" t="s">
        <v>2454</v>
      </c>
      <c r="G3760" s="247" t="s">
        <v>1646</v>
      </c>
      <c r="H3760" s="247"/>
      <c r="I3760" s="247" t="s">
        <v>2455</v>
      </c>
      <c r="J3760" s="247">
        <v>105</v>
      </c>
      <c r="K3760" s="247">
        <v>105</v>
      </c>
      <c r="L3760" s="249" t="s">
        <v>936</v>
      </c>
      <c r="M3760" s="249" t="s">
        <v>929</v>
      </c>
      <c r="N3760" s="248">
        <v>-20.8</v>
      </c>
      <c r="O3760" s="248">
        <v>5548.98</v>
      </c>
      <c r="P3760" s="247" t="s">
        <v>1647</v>
      </c>
      <c r="Q3760" s="247" t="s">
        <v>90</v>
      </c>
    </row>
    <row r="3761" spans="1:17" x14ac:dyDescent="0.25">
      <c r="A3761" s="247" t="s">
        <v>646</v>
      </c>
      <c r="B3761" s="247" t="s">
        <v>265</v>
      </c>
      <c r="C3761" s="247" t="s">
        <v>1620</v>
      </c>
      <c r="D3761" s="247" t="s">
        <v>1049</v>
      </c>
      <c r="E3761" s="247" t="s">
        <v>926</v>
      </c>
      <c r="F3761" s="247" t="s">
        <v>2454</v>
      </c>
      <c r="G3761" s="247" t="s">
        <v>1646</v>
      </c>
      <c r="H3761" s="247"/>
      <c r="I3761" s="247" t="s">
        <v>2455</v>
      </c>
      <c r="J3761" s="247">
        <v>105</v>
      </c>
      <c r="K3761" s="247">
        <v>105</v>
      </c>
      <c r="L3761" s="249" t="s">
        <v>937</v>
      </c>
      <c r="M3761" s="249" t="s">
        <v>929</v>
      </c>
      <c r="N3761" s="248">
        <v>556.26</v>
      </c>
      <c r="O3761" s="248">
        <v>6105.24</v>
      </c>
      <c r="P3761" s="247" t="s">
        <v>1647</v>
      </c>
      <c r="Q3761" s="247" t="s">
        <v>91</v>
      </c>
    </row>
    <row r="3762" spans="1:17" x14ac:dyDescent="0.25">
      <c r="A3762" s="247" t="s">
        <v>646</v>
      </c>
      <c r="B3762" s="247" t="s">
        <v>265</v>
      </c>
      <c r="C3762" s="247" t="s">
        <v>1620</v>
      </c>
      <c r="D3762" s="247" t="s">
        <v>1049</v>
      </c>
      <c r="E3762" s="247" t="s">
        <v>926</v>
      </c>
      <c r="F3762" s="247" t="s">
        <v>2454</v>
      </c>
      <c r="G3762" s="247" t="s">
        <v>1646</v>
      </c>
      <c r="H3762" s="247"/>
      <c r="I3762" s="247" t="s">
        <v>2455</v>
      </c>
      <c r="J3762" s="247">
        <v>105</v>
      </c>
      <c r="K3762" s="247">
        <v>105</v>
      </c>
      <c r="L3762" s="249" t="s">
        <v>938</v>
      </c>
      <c r="M3762" s="249" t="s">
        <v>929</v>
      </c>
      <c r="N3762" s="248">
        <v>173.89</v>
      </c>
      <c r="O3762" s="248">
        <v>6279.13</v>
      </c>
      <c r="P3762" s="247" t="s">
        <v>1647</v>
      </c>
      <c r="Q3762" s="247" t="s">
        <v>92</v>
      </c>
    </row>
    <row r="3763" spans="1:17" x14ac:dyDescent="0.25">
      <c r="A3763" s="247" t="s">
        <v>646</v>
      </c>
      <c r="B3763" s="247" t="s">
        <v>265</v>
      </c>
      <c r="C3763" s="247" t="s">
        <v>1620</v>
      </c>
      <c r="D3763" s="247" t="s">
        <v>1049</v>
      </c>
      <c r="E3763" s="247" t="s">
        <v>926</v>
      </c>
      <c r="F3763" s="247" t="s">
        <v>2454</v>
      </c>
      <c r="G3763" s="247" t="s">
        <v>1646</v>
      </c>
      <c r="H3763" s="247"/>
      <c r="I3763" s="247" t="s">
        <v>2455</v>
      </c>
      <c r="J3763" s="247">
        <v>105</v>
      </c>
      <c r="K3763" s="247">
        <v>105</v>
      </c>
      <c r="L3763" s="249" t="s">
        <v>939</v>
      </c>
      <c r="M3763" s="249" t="s">
        <v>929</v>
      </c>
      <c r="N3763" s="248">
        <v>1429.83</v>
      </c>
      <c r="O3763" s="248">
        <v>7708.96</v>
      </c>
      <c r="P3763" s="247" t="s">
        <v>1647</v>
      </c>
      <c r="Q3763" s="247" t="s">
        <v>93</v>
      </c>
    </row>
    <row r="3764" spans="1:17" x14ac:dyDescent="0.25">
      <c r="A3764" s="247" t="s">
        <v>646</v>
      </c>
      <c r="B3764" s="247" t="s">
        <v>265</v>
      </c>
      <c r="C3764" s="247" t="s">
        <v>1620</v>
      </c>
      <c r="D3764" s="247" t="s">
        <v>1049</v>
      </c>
      <c r="E3764" s="247" t="s">
        <v>926</v>
      </c>
      <c r="F3764" s="247" t="s">
        <v>2454</v>
      </c>
      <c r="G3764" s="247" t="s">
        <v>1646</v>
      </c>
      <c r="H3764" s="247"/>
      <c r="I3764" s="247" t="s">
        <v>2455</v>
      </c>
      <c r="J3764" s="247">
        <v>105</v>
      </c>
      <c r="K3764" s="247">
        <v>105</v>
      </c>
      <c r="L3764" s="249" t="s">
        <v>940</v>
      </c>
      <c r="M3764" s="249" t="s">
        <v>929</v>
      </c>
      <c r="N3764" s="248">
        <v>0</v>
      </c>
      <c r="O3764" s="248">
        <v>7708.96</v>
      </c>
      <c r="P3764" s="247" t="s">
        <v>1647</v>
      </c>
      <c r="Q3764" s="247" t="s">
        <v>94</v>
      </c>
    </row>
    <row r="3765" spans="1:17" x14ac:dyDescent="0.25">
      <c r="A3765" s="247" t="s">
        <v>646</v>
      </c>
      <c r="B3765" s="247" t="s">
        <v>265</v>
      </c>
      <c r="C3765" s="247" t="s">
        <v>1620</v>
      </c>
      <c r="D3765" s="247" t="s">
        <v>1049</v>
      </c>
      <c r="E3765" s="247" t="s">
        <v>926</v>
      </c>
      <c r="F3765" s="247" t="s">
        <v>2454</v>
      </c>
      <c r="G3765" s="247" t="s">
        <v>1646</v>
      </c>
      <c r="H3765" s="247"/>
      <c r="I3765" s="247" t="s">
        <v>2455</v>
      </c>
      <c r="J3765" s="247">
        <v>105</v>
      </c>
      <c r="K3765" s="247">
        <v>105</v>
      </c>
      <c r="L3765" s="249" t="s">
        <v>642</v>
      </c>
      <c r="M3765" s="249" t="s">
        <v>929</v>
      </c>
      <c r="N3765" s="248">
        <v>1074.8800000000001</v>
      </c>
      <c r="O3765" s="248">
        <v>8783.84</v>
      </c>
      <c r="P3765" s="247" t="s">
        <v>1647</v>
      </c>
      <c r="Q3765" s="247" t="s">
        <v>95</v>
      </c>
    </row>
    <row r="3766" spans="1:17" x14ac:dyDescent="0.25">
      <c r="A3766" s="247" t="s">
        <v>646</v>
      </c>
      <c r="B3766" s="247" t="s">
        <v>265</v>
      </c>
      <c r="C3766" s="247" t="s">
        <v>1620</v>
      </c>
      <c r="D3766" s="247" t="s">
        <v>1648</v>
      </c>
      <c r="E3766" s="247" t="s">
        <v>926</v>
      </c>
      <c r="F3766" s="247" t="s">
        <v>2456</v>
      </c>
      <c r="G3766" s="247" t="s">
        <v>1649</v>
      </c>
      <c r="H3766" s="247"/>
      <c r="I3766" s="247" t="s">
        <v>2457</v>
      </c>
      <c r="J3766" s="247">
        <v>105</v>
      </c>
      <c r="K3766" s="247">
        <v>105</v>
      </c>
      <c r="L3766" s="249" t="s">
        <v>646</v>
      </c>
      <c r="M3766" s="249" t="s">
        <v>933</v>
      </c>
      <c r="N3766" s="248">
        <v>0</v>
      </c>
      <c r="O3766" s="248">
        <v>367.82</v>
      </c>
      <c r="P3766" s="247" t="s">
        <v>1650</v>
      </c>
      <c r="Q3766" s="247" t="s">
        <v>84</v>
      </c>
    </row>
    <row r="3767" spans="1:17" x14ac:dyDescent="0.25">
      <c r="A3767" s="247" t="s">
        <v>646</v>
      </c>
      <c r="B3767" s="247" t="s">
        <v>265</v>
      </c>
      <c r="C3767" s="247" t="s">
        <v>1620</v>
      </c>
      <c r="D3767" s="247" t="s">
        <v>1648</v>
      </c>
      <c r="E3767" s="247" t="s">
        <v>926</v>
      </c>
      <c r="F3767" s="247" t="s">
        <v>2456</v>
      </c>
      <c r="G3767" s="247" t="s">
        <v>1649</v>
      </c>
      <c r="H3767" s="247"/>
      <c r="I3767" s="247" t="s">
        <v>2457</v>
      </c>
      <c r="J3767" s="247">
        <v>105</v>
      </c>
      <c r="K3767" s="247">
        <v>105</v>
      </c>
      <c r="L3767" s="249" t="s">
        <v>650</v>
      </c>
      <c r="M3767" s="249" t="s">
        <v>933</v>
      </c>
      <c r="N3767" s="248">
        <v>48.78</v>
      </c>
      <c r="O3767" s="248">
        <v>416.6</v>
      </c>
      <c r="P3767" s="247" t="s">
        <v>1650</v>
      </c>
      <c r="Q3767" s="247" t="s">
        <v>85</v>
      </c>
    </row>
    <row r="3768" spans="1:17" x14ac:dyDescent="0.25">
      <c r="A3768" s="247" t="s">
        <v>646</v>
      </c>
      <c r="B3768" s="247" t="s">
        <v>265</v>
      </c>
      <c r="C3768" s="247" t="s">
        <v>1620</v>
      </c>
      <c r="D3768" s="247" t="s">
        <v>1648</v>
      </c>
      <c r="E3768" s="247" t="s">
        <v>926</v>
      </c>
      <c r="F3768" s="247" t="s">
        <v>2456</v>
      </c>
      <c r="G3768" s="247" t="s">
        <v>1649</v>
      </c>
      <c r="H3768" s="247"/>
      <c r="I3768" s="247" t="s">
        <v>2457</v>
      </c>
      <c r="J3768" s="247">
        <v>105</v>
      </c>
      <c r="K3768" s="247">
        <v>105</v>
      </c>
      <c r="L3768" s="249" t="s">
        <v>652</v>
      </c>
      <c r="M3768" s="249" t="s">
        <v>933</v>
      </c>
      <c r="N3768" s="248">
        <v>0</v>
      </c>
      <c r="O3768" s="248">
        <v>416.6</v>
      </c>
      <c r="P3768" s="247" t="s">
        <v>1650</v>
      </c>
      <c r="Q3768" s="247" t="s">
        <v>86</v>
      </c>
    </row>
    <row r="3769" spans="1:17" x14ac:dyDescent="0.25">
      <c r="A3769" s="247" t="s">
        <v>646</v>
      </c>
      <c r="B3769" s="247" t="s">
        <v>265</v>
      </c>
      <c r="C3769" s="247" t="s">
        <v>1620</v>
      </c>
      <c r="D3769" s="247" t="s">
        <v>1651</v>
      </c>
      <c r="E3769" s="247" t="s">
        <v>926</v>
      </c>
      <c r="F3769" s="247" t="s">
        <v>2458</v>
      </c>
      <c r="G3769" s="247" t="s">
        <v>1652</v>
      </c>
      <c r="H3769" s="247"/>
      <c r="I3769" s="247" t="s">
        <v>2459</v>
      </c>
      <c r="J3769" s="247">
        <v>105</v>
      </c>
      <c r="K3769" s="247">
        <v>105</v>
      </c>
      <c r="L3769" s="249" t="s">
        <v>789</v>
      </c>
      <c r="M3769" s="249" t="s">
        <v>929</v>
      </c>
      <c r="N3769" s="248">
        <v>80.28</v>
      </c>
      <c r="O3769" s="248">
        <v>80.28</v>
      </c>
      <c r="P3769" s="247" t="s">
        <v>1653</v>
      </c>
      <c r="Q3769" s="247" t="s">
        <v>87</v>
      </c>
    </row>
    <row r="3770" spans="1:17" x14ac:dyDescent="0.25">
      <c r="A3770" s="247" t="s">
        <v>646</v>
      </c>
      <c r="B3770" s="247" t="s">
        <v>265</v>
      </c>
      <c r="C3770" s="247" t="s">
        <v>1620</v>
      </c>
      <c r="D3770" s="247" t="s">
        <v>1651</v>
      </c>
      <c r="E3770" s="247" t="s">
        <v>926</v>
      </c>
      <c r="F3770" s="247" t="s">
        <v>2458</v>
      </c>
      <c r="G3770" s="247" t="s">
        <v>1652</v>
      </c>
      <c r="H3770" s="247"/>
      <c r="I3770" s="247" t="s">
        <v>2459</v>
      </c>
      <c r="J3770" s="247">
        <v>105</v>
      </c>
      <c r="K3770" s="247">
        <v>105</v>
      </c>
      <c r="L3770" s="249" t="s">
        <v>791</v>
      </c>
      <c r="M3770" s="249" t="s">
        <v>929</v>
      </c>
      <c r="N3770" s="248">
        <v>0</v>
      </c>
      <c r="O3770" s="248">
        <v>80.28</v>
      </c>
      <c r="P3770" s="247" t="s">
        <v>1653</v>
      </c>
      <c r="Q3770" s="247" t="s">
        <v>88</v>
      </c>
    </row>
    <row r="3771" spans="1:17" x14ac:dyDescent="0.25">
      <c r="A3771" s="247" t="s">
        <v>646</v>
      </c>
      <c r="B3771" s="247" t="s">
        <v>265</v>
      </c>
      <c r="C3771" s="247" t="s">
        <v>1620</v>
      </c>
      <c r="D3771" s="247" t="s">
        <v>1651</v>
      </c>
      <c r="E3771" s="247" t="s">
        <v>926</v>
      </c>
      <c r="F3771" s="247" t="s">
        <v>2458</v>
      </c>
      <c r="G3771" s="247" t="s">
        <v>1652</v>
      </c>
      <c r="H3771" s="247"/>
      <c r="I3771" s="247" t="s">
        <v>2459</v>
      </c>
      <c r="J3771" s="247">
        <v>105</v>
      </c>
      <c r="K3771" s="247">
        <v>105</v>
      </c>
      <c r="L3771" s="249" t="s">
        <v>935</v>
      </c>
      <c r="M3771" s="249" t="s">
        <v>929</v>
      </c>
      <c r="N3771" s="248">
        <v>0</v>
      </c>
      <c r="O3771" s="248">
        <v>80.28</v>
      </c>
      <c r="P3771" s="247" t="s">
        <v>1653</v>
      </c>
      <c r="Q3771" s="247" t="s">
        <v>89</v>
      </c>
    </row>
    <row r="3772" spans="1:17" x14ac:dyDescent="0.25">
      <c r="A3772" s="247" t="s">
        <v>646</v>
      </c>
      <c r="B3772" s="247" t="s">
        <v>265</v>
      </c>
      <c r="C3772" s="247" t="s">
        <v>1620</v>
      </c>
      <c r="D3772" s="247" t="s">
        <v>1651</v>
      </c>
      <c r="E3772" s="247" t="s">
        <v>926</v>
      </c>
      <c r="F3772" s="247" t="s">
        <v>2458</v>
      </c>
      <c r="G3772" s="247" t="s">
        <v>1652</v>
      </c>
      <c r="H3772" s="247"/>
      <c r="I3772" s="247" t="s">
        <v>2459</v>
      </c>
      <c r="J3772" s="247">
        <v>105</v>
      </c>
      <c r="K3772" s="247">
        <v>105</v>
      </c>
      <c r="L3772" s="249" t="s">
        <v>936</v>
      </c>
      <c r="M3772" s="249" t="s">
        <v>929</v>
      </c>
      <c r="N3772" s="248">
        <v>0</v>
      </c>
      <c r="O3772" s="248">
        <v>80.28</v>
      </c>
      <c r="P3772" s="247" t="s">
        <v>1653</v>
      </c>
      <c r="Q3772" s="247" t="s">
        <v>90</v>
      </c>
    </row>
    <row r="3773" spans="1:17" x14ac:dyDescent="0.25">
      <c r="A3773" s="247" t="s">
        <v>646</v>
      </c>
      <c r="B3773" s="247" t="s">
        <v>265</v>
      </c>
      <c r="C3773" s="247" t="s">
        <v>1620</v>
      </c>
      <c r="D3773" s="247" t="s">
        <v>1651</v>
      </c>
      <c r="E3773" s="247" t="s">
        <v>926</v>
      </c>
      <c r="F3773" s="247" t="s">
        <v>2458</v>
      </c>
      <c r="G3773" s="247" t="s">
        <v>1652</v>
      </c>
      <c r="H3773" s="247"/>
      <c r="I3773" s="247" t="s">
        <v>2459</v>
      </c>
      <c r="J3773" s="247">
        <v>105</v>
      </c>
      <c r="K3773" s="247">
        <v>105</v>
      </c>
      <c r="L3773" s="249" t="s">
        <v>937</v>
      </c>
      <c r="M3773" s="249" t="s">
        <v>929</v>
      </c>
      <c r="N3773" s="248">
        <v>0</v>
      </c>
      <c r="O3773" s="248">
        <v>80.28</v>
      </c>
      <c r="P3773" s="247" t="s">
        <v>1653</v>
      </c>
      <c r="Q3773" s="247" t="s">
        <v>91</v>
      </c>
    </row>
    <row r="3774" spans="1:17" x14ac:dyDescent="0.25">
      <c r="A3774" s="247" t="s">
        <v>646</v>
      </c>
      <c r="B3774" s="247" t="s">
        <v>265</v>
      </c>
      <c r="C3774" s="247" t="s">
        <v>1620</v>
      </c>
      <c r="D3774" s="247" t="s">
        <v>1651</v>
      </c>
      <c r="E3774" s="247" t="s">
        <v>926</v>
      </c>
      <c r="F3774" s="247" t="s">
        <v>2458</v>
      </c>
      <c r="G3774" s="247" t="s">
        <v>1652</v>
      </c>
      <c r="H3774" s="247"/>
      <c r="I3774" s="247" t="s">
        <v>2459</v>
      </c>
      <c r="J3774" s="247">
        <v>105</v>
      </c>
      <c r="K3774" s="247">
        <v>105</v>
      </c>
      <c r="L3774" s="249" t="s">
        <v>938</v>
      </c>
      <c r="M3774" s="249" t="s">
        <v>929</v>
      </c>
      <c r="N3774" s="248">
        <v>0</v>
      </c>
      <c r="O3774" s="248">
        <v>80.28</v>
      </c>
      <c r="P3774" s="247" t="s">
        <v>1653</v>
      </c>
      <c r="Q3774" s="247" t="s">
        <v>92</v>
      </c>
    </row>
    <row r="3775" spans="1:17" x14ac:dyDescent="0.25">
      <c r="A3775" s="247" t="s">
        <v>646</v>
      </c>
      <c r="B3775" s="247" t="s">
        <v>265</v>
      </c>
      <c r="C3775" s="247" t="s">
        <v>1620</v>
      </c>
      <c r="D3775" s="247" t="s">
        <v>1651</v>
      </c>
      <c r="E3775" s="247" t="s">
        <v>926</v>
      </c>
      <c r="F3775" s="247" t="s">
        <v>2458</v>
      </c>
      <c r="G3775" s="247" t="s">
        <v>1652</v>
      </c>
      <c r="H3775" s="247"/>
      <c r="I3775" s="247" t="s">
        <v>2459</v>
      </c>
      <c r="J3775" s="247">
        <v>105</v>
      </c>
      <c r="K3775" s="247">
        <v>105</v>
      </c>
      <c r="L3775" s="249" t="s">
        <v>939</v>
      </c>
      <c r="M3775" s="249" t="s">
        <v>929</v>
      </c>
      <c r="N3775" s="248">
        <v>0</v>
      </c>
      <c r="O3775" s="248">
        <v>80.28</v>
      </c>
      <c r="P3775" s="247" t="s">
        <v>1653</v>
      </c>
      <c r="Q3775" s="247" t="s">
        <v>93</v>
      </c>
    </row>
    <row r="3776" spans="1:17" x14ac:dyDescent="0.25">
      <c r="A3776" s="247" t="s">
        <v>646</v>
      </c>
      <c r="B3776" s="247" t="s">
        <v>265</v>
      </c>
      <c r="C3776" s="247" t="s">
        <v>1620</v>
      </c>
      <c r="D3776" s="247" t="s">
        <v>1651</v>
      </c>
      <c r="E3776" s="247" t="s">
        <v>926</v>
      </c>
      <c r="F3776" s="247" t="s">
        <v>2458</v>
      </c>
      <c r="G3776" s="247" t="s">
        <v>1652</v>
      </c>
      <c r="H3776" s="247"/>
      <c r="I3776" s="247" t="s">
        <v>2459</v>
      </c>
      <c r="J3776" s="247">
        <v>105</v>
      </c>
      <c r="K3776" s="247">
        <v>105</v>
      </c>
      <c r="L3776" s="249" t="s">
        <v>940</v>
      </c>
      <c r="M3776" s="249" t="s">
        <v>929</v>
      </c>
      <c r="N3776" s="248">
        <v>0</v>
      </c>
      <c r="O3776" s="248">
        <v>80.28</v>
      </c>
      <c r="P3776" s="247" t="s">
        <v>1653</v>
      </c>
      <c r="Q3776" s="247" t="s">
        <v>94</v>
      </c>
    </row>
    <row r="3777" spans="1:17" x14ac:dyDescent="0.25">
      <c r="A3777" s="247" t="s">
        <v>646</v>
      </c>
      <c r="B3777" s="247" t="s">
        <v>265</v>
      </c>
      <c r="C3777" s="247" t="s">
        <v>1620</v>
      </c>
      <c r="D3777" s="247" t="s">
        <v>1651</v>
      </c>
      <c r="E3777" s="247" t="s">
        <v>926</v>
      </c>
      <c r="F3777" s="247" t="s">
        <v>2458</v>
      </c>
      <c r="G3777" s="247" t="s">
        <v>1652</v>
      </c>
      <c r="H3777" s="247"/>
      <c r="I3777" s="247" t="s">
        <v>2459</v>
      </c>
      <c r="J3777" s="247">
        <v>105</v>
      </c>
      <c r="K3777" s="247">
        <v>105</v>
      </c>
      <c r="L3777" s="249" t="s">
        <v>642</v>
      </c>
      <c r="M3777" s="249" t="s">
        <v>929</v>
      </c>
      <c r="N3777" s="248">
        <v>0</v>
      </c>
      <c r="O3777" s="248">
        <v>80.28</v>
      </c>
      <c r="P3777" s="247" t="s">
        <v>1653</v>
      </c>
      <c r="Q3777" s="247" t="s">
        <v>95</v>
      </c>
    </row>
    <row r="3778" spans="1:17" x14ac:dyDescent="0.25">
      <c r="A3778" s="247" t="s">
        <v>646</v>
      </c>
      <c r="B3778" s="247" t="s">
        <v>265</v>
      </c>
      <c r="C3778" s="247" t="s">
        <v>1620</v>
      </c>
      <c r="D3778" s="247" t="s">
        <v>1172</v>
      </c>
      <c r="E3778" s="247" t="s">
        <v>926</v>
      </c>
      <c r="F3778" s="247" t="s">
        <v>2460</v>
      </c>
      <c r="G3778" s="247" t="s">
        <v>1654</v>
      </c>
      <c r="H3778" s="247"/>
      <c r="I3778" s="247" t="s">
        <v>2461</v>
      </c>
      <c r="J3778" s="247">
        <v>106</v>
      </c>
      <c r="K3778" s="247">
        <v>106</v>
      </c>
      <c r="L3778" s="249" t="s">
        <v>646</v>
      </c>
      <c r="M3778" s="249" t="s">
        <v>933</v>
      </c>
      <c r="N3778" s="248">
        <v>1751.55</v>
      </c>
      <c r="O3778" s="248">
        <v>21591.29</v>
      </c>
      <c r="P3778" s="247" t="s">
        <v>1655</v>
      </c>
      <c r="Q3778" s="247" t="s">
        <v>84</v>
      </c>
    </row>
    <row r="3779" spans="1:17" x14ac:dyDescent="0.25">
      <c r="A3779" s="247" t="s">
        <v>646</v>
      </c>
      <c r="B3779" s="247" t="s">
        <v>265</v>
      </c>
      <c r="C3779" s="247" t="s">
        <v>1620</v>
      </c>
      <c r="D3779" s="247" t="s">
        <v>1172</v>
      </c>
      <c r="E3779" s="247" t="s">
        <v>926</v>
      </c>
      <c r="F3779" s="247" t="s">
        <v>2460</v>
      </c>
      <c r="G3779" s="247" t="s">
        <v>1654</v>
      </c>
      <c r="H3779" s="247"/>
      <c r="I3779" s="247" t="s">
        <v>2461</v>
      </c>
      <c r="J3779" s="247">
        <v>106</v>
      </c>
      <c r="K3779" s="247">
        <v>106</v>
      </c>
      <c r="L3779" s="249" t="s">
        <v>650</v>
      </c>
      <c r="M3779" s="249" t="s">
        <v>933</v>
      </c>
      <c r="N3779" s="248">
        <v>2160.25</v>
      </c>
      <c r="O3779" s="248">
        <v>23751.54</v>
      </c>
      <c r="P3779" s="247" t="s">
        <v>1655</v>
      </c>
      <c r="Q3779" s="247" t="s">
        <v>85</v>
      </c>
    </row>
    <row r="3780" spans="1:17" x14ac:dyDescent="0.25">
      <c r="A3780" s="247" t="s">
        <v>646</v>
      </c>
      <c r="B3780" s="247" t="s">
        <v>265</v>
      </c>
      <c r="C3780" s="247" t="s">
        <v>1620</v>
      </c>
      <c r="D3780" s="247" t="s">
        <v>1172</v>
      </c>
      <c r="E3780" s="247" t="s">
        <v>926</v>
      </c>
      <c r="F3780" s="247" t="s">
        <v>2460</v>
      </c>
      <c r="G3780" s="247" t="s">
        <v>1654</v>
      </c>
      <c r="H3780" s="247"/>
      <c r="I3780" s="247" t="s">
        <v>2461</v>
      </c>
      <c r="J3780" s="247">
        <v>106</v>
      </c>
      <c r="K3780" s="247">
        <v>106</v>
      </c>
      <c r="L3780" s="249" t="s">
        <v>652</v>
      </c>
      <c r="M3780" s="249" t="s">
        <v>933</v>
      </c>
      <c r="N3780" s="248">
        <v>1955.9</v>
      </c>
      <c r="O3780" s="248">
        <v>25707.439999999999</v>
      </c>
      <c r="P3780" s="247" t="s">
        <v>1655</v>
      </c>
      <c r="Q3780" s="247" t="s">
        <v>86</v>
      </c>
    </row>
    <row r="3781" spans="1:17" x14ac:dyDescent="0.25">
      <c r="A3781" s="247" t="s">
        <v>646</v>
      </c>
      <c r="B3781" s="247" t="s">
        <v>265</v>
      </c>
      <c r="C3781" s="247" t="s">
        <v>1620</v>
      </c>
      <c r="D3781" s="247" t="s">
        <v>1172</v>
      </c>
      <c r="E3781" s="247" t="s">
        <v>926</v>
      </c>
      <c r="F3781" s="247" t="s">
        <v>2460</v>
      </c>
      <c r="G3781" s="247" t="s">
        <v>1654</v>
      </c>
      <c r="H3781" s="247"/>
      <c r="I3781" s="247" t="s">
        <v>2461</v>
      </c>
      <c r="J3781" s="247">
        <v>106</v>
      </c>
      <c r="K3781" s="247">
        <v>106</v>
      </c>
      <c r="L3781" s="249" t="s">
        <v>789</v>
      </c>
      <c r="M3781" s="249" t="s">
        <v>929</v>
      </c>
      <c r="N3781" s="248">
        <v>1955.9</v>
      </c>
      <c r="O3781" s="248">
        <v>1955.9</v>
      </c>
      <c r="P3781" s="247" t="s">
        <v>1655</v>
      </c>
      <c r="Q3781" s="247" t="s">
        <v>87</v>
      </c>
    </row>
    <row r="3782" spans="1:17" x14ac:dyDescent="0.25">
      <c r="A3782" s="247" t="s">
        <v>646</v>
      </c>
      <c r="B3782" s="247" t="s">
        <v>265</v>
      </c>
      <c r="C3782" s="247" t="s">
        <v>1620</v>
      </c>
      <c r="D3782" s="247" t="s">
        <v>1172</v>
      </c>
      <c r="E3782" s="247" t="s">
        <v>926</v>
      </c>
      <c r="F3782" s="247" t="s">
        <v>2460</v>
      </c>
      <c r="G3782" s="247" t="s">
        <v>1654</v>
      </c>
      <c r="H3782" s="247"/>
      <c r="I3782" s="247" t="s">
        <v>2461</v>
      </c>
      <c r="J3782" s="247">
        <v>106</v>
      </c>
      <c r="K3782" s="247">
        <v>106</v>
      </c>
      <c r="L3782" s="249" t="s">
        <v>791</v>
      </c>
      <c r="M3782" s="249" t="s">
        <v>929</v>
      </c>
      <c r="N3782" s="248">
        <v>3420.7</v>
      </c>
      <c r="O3782" s="248">
        <v>5376.6</v>
      </c>
      <c r="P3782" s="247" t="s">
        <v>1655</v>
      </c>
      <c r="Q3782" s="247" t="s">
        <v>88</v>
      </c>
    </row>
    <row r="3783" spans="1:17" x14ac:dyDescent="0.25">
      <c r="A3783" s="247" t="s">
        <v>646</v>
      </c>
      <c r="B3783" s="247" t="s">
        <v>265</v>
      </c>
      <c r="C3783" s="247" t="s">
        <v>1620</v>
      </c>
      <c r="D3783" s="247" t="s">
        <v>1172</v>
      </c>
      <c r="E3783" s="247" t="s">
        <v>926</v>
      </c>
      <c r="F3783" s="247" t="s">
        <v>2460</v>
      </c>
      <c r="G3783" s="247" t="s">
        <v>1654</v>
      </c>
      <c r="H3783" s="247"/>
      <c r="I3783" s="247" t="s">
        <v>2461</v>
      </c>
      <c r="J3783" s="247">
        <v>106</v>
      </c>
      <c r="K3783" s="247">
        <v>106</v>
      </c>
      <c r="L3783" s="249" t="s">
        <v>935</v>
      </c>
      <c r="M3783" s="249" t="s">
        <v>929</v>
      </c>
      <c r="N3783" s="248">
        <v>2101.5500000000002</v>
      </c>
      <c r="O3783" s="248">
        <v>7478.15</v>
      </c>
      <c r="P3783" s="247" t="s">
        <v>1655</v>
      </c>
      <c r="Q3783" s="247" t="s">
        <v>89</v>
      </c>
    </row>
    <row r="3784" spans="1:17" x14ac:dyDescent="0.25">
      <c r="A3784" s="247" t="s">
        <v>646</v>
      </c>
      <c r="B3784" s="247" t="s">
        <v>265</v>
      </c>
      <c r="C3784" s="247" t="s">
        <v>1620</v>
      </c>
      <c r="D3784" s="247" t="s">
        <v>1172</v>
      </c>
      <c r="E3784" s="247" t="s">
        <v>926</v>
      </c>
      <c r="F3784" s="247" t="s">
        <v>2460</v>
      </c>
      <c r="G3784" s="247" t="s">
        <v>1654</v>
      </c>
      <c r="H3784" s="247"/>
      <c r="I3784" s="247" t="s">
        <v>2461</v>
      </c>
      <c r="J3784" s="247">
        <v>106</v>
      </c>
      <c r="K3784" s="247">
        <v>106</v>
      </c>
      <c r="L3784" s="249" t="s">
        <v>936</v>
      </c>
      <c r="M3784" s="249" t="s">
        <v>929</v>
      </c>
      <c r="N3784" s="248">
        <v>3350</v>
      </c>
      <c r="O3784" s="248">
        <v>10828.15</v>
      </c>
      <c r="P3784" s="247" t="s">
        <v>1655</v>
      </c>
      <c r="Q3784" s="247" t="s">
        <v>90</v>
      </c>
    </row>
    <row r="3785" spans="1:17" x14ac:dyDescent="0.25">
      <c r="A3785" s="247" t="s">
        <v>646</v>
      </c>
      <c r="B3785" s="247" t="s">
        <v>265</v>
      </c>
      <c r="C3785" s="247" t="s">
        <v>1620</v>
      </c>
      <c r="D3785" s="247" t="s">
        <v>1172</v>
      </c>
      <c r="E3785" s="247" t="s">
        <v>926</v>
      </c>
      <c r="F3785" s="247" t="s">
        <v>2460</v>
      </c>
      <c r="G3785" s="247" t="s">
        <v>1654</v>
      </c>
      <c r="H3785" s="247"/>
      <c r="I3785" s="247" t="s">
        <v>2461</v>
      </c>
      <c r="J3785" s="247">
        <v>106</v>
      </c>
      <c r="K3785" s="247">
        <v>106</v>
      </c>
      <c r="L3785" s="249" t="s">
        <v>937</v>
      </c>
      <c r="M3785" s="249" t="s">
        <v>929</v>
      </c>
      <c r="N3785" s="248">
        <v>853.1</v>
      </c>
      <c r="O3785" s="248">
        <v>11681.25</v>
      </c>
      <c r="P3785" s="247" t="s">
        <v>1655</v>
      </c>
      <c r="Q3785" s="247" t="s">
        <v>91</v>
      </c>
    </row>
    <row r="3786" spans="1:17" x14ac:dyDescent="0.25">
      <c r="A3786" s="247" t="s">
        <v>646</v>
      </c>
      <c r="B3786" s="247" t="s">
        <v>265</v>
      </c>
      <c r="C3786" s="247" t="s">
        <v>1620</v>
      </c>
      <c r="D3786" s="247" t="s">
        <v>1172</v>
      </c>
      <c r="E3786" s="247" t="s">
        <v>926</v>
      </c>
      <c r="F3786" s="247" t="s">
        <v>2460</v>
      </c>
      <c r="G3786" s="247" t="s">
        <v>1654</v>
      </c>
      <c r="H3786" s="247"/>
      <c r="I3786" s="247" t="s">
        <v>2461</v>
      </c>
      <c r="J3786" s="247">
        <v>106</v>
      </c>
      <c r="K3786" s="247">
        <v>106</v>
      </c>
      <c r="L3786" s="249" t="s">
        <v>938</v>
      </c>
      <c r="M3786" s="249" t="s">
        <v>929</v>
      </c>
      <c r="N3786" s="248">
        <v>2101.5500000000002</v>
      </c>
      <c r="O3786" s="248">
        <v>13782.8</v>
      </c>
      <c r="P3786" s="247" t="s">
        <v>1655</v>
      </c>
      <c r="Q3786" s="247" t="s">
        <v>92</v>
      </c>
    </row>
    <row r="3787" spans="1:17" x14ac:dyDescent="0.25">
      <c r="A3787" s="247" t="s">
        <v>646</v>
      </c>
      <c r="B3787" s="247" t="s">
        <v>265</v>
      </c>
      <c r="C3787" s="247" t="s">
        <v>1620</v>
      </c>
      <c r="D3787" s="247" t="s">
        <v>1172</v>
      </c>
      <c r="E3787" s="247" t="s">
        <v>926</v>
      </c>
      <c r="F3787" s="247" t="s">
        <v>2460</v>
      </c>
      <c r="G3787" s="247" t="s">
        <v>1654</v>
      </c>
      <c r="H3787" s="247"/>
      <c r="I3787" s="247" t="s">
        <v>2461</v>
      </c>
      <c r="J3787" s="247">
        <v>106</v>
      </c>
      <c r="K3787" s="247">
        <v>106</v>
      </c>
      <c r="L3787" s="249" t="s">
        <v>939</v>
      </c>
      <c r="M3787" s="249" t="s">
        <v>929</v>
      </c>
      <c r="N3787" s="248">
        <v>3468.27</v>
      </c>
      <c r="O3787" s="248">
        <v>17251.07</v>
      </c>
      <c r="P3787" s="247" t="s">
        <v>1655</v>
      </c>
      <c r="Q3787" s="247" t="s">
        <v>93</v>
      </c>
    </row>
    <row r="3788" spans="1:17" x14ac:dyDescent="0.25">
      <c r="A3788" s="247" t="s">
        <v>646</v>
      </c>
      <c r="B3788" s="247" t="s">
        <v>265</v>
      </c>
      <c r="C3788" s="247" t="s">
        <v>1620</v>
      </c>
      <c r="D3788" s="247" t="s">
        <v>1172</v>
      </c>
      <c r="E3788" s="247" t="s">
        <v>926</v>
      </c>
      <c r="F3788" s="247" t="s">
        <v>2460</v>
      </c>
      <c r="G3788" s="247" t="s">
        <v>1654</v>
      </c>
      <c r="H3788" s="247"/>
      <c r="I3788" s="247" t="s">
        <v>2461</v>
      </c>
      <c r="J3788" s="247">
        <v>106</v>
      </c>
      <c r="K3788" s="247">
        <v>106</v>
      </c>
      <c r="L3788" s="249" t="s">
        <v>940</v>
      </c>
      <c r="M3788" s="249" t="s">
        <v>929</v>
      </c>
      <c r="N3788" s="248">
        <v>1955.9</v>
      </c>
      <c r="O3788" s="248">
        <v>19206.97</v>
      </c>
      <c r="P3788" s="247" t="s">
        <v>1655</v>
      </c>
      <c r="Q3788" s="247" t="s">
        <v>94</v>
      </c>
    </row>
    <row r="3789" spans="1:17" x14ac:dyDescent="0.25">
      <c r="A3789" s="247" t="s">
        <v>646</v>
      </c>
      <c r="B3789" s="247" t="s">
        <v>265</v>
      </c>
      <c r="C3789" s="247" t="s">
        <v>1620</v>
      </c>
      <c r="D3789" s="247" t="s">
        <v>1172</v>
      </c>
      <c r="E3789" s="247" t="s">
        <v>926</v>
      </c>
      <c r="F3789" s="247" t="s">
        <v>2460</v>
      </c>
      <c r="G3789" s="247" t="s">
        <v>1654</v>
      </c>
      <c r="H3789" s="247"/>
      <c r="I3789" s="247" t="s">
        <v>2461</v>
      </c>
      <c r="J3789" s="247">
        <v>106</v>
      </c>
      <c r="K3789" s="247">
        <v>106</v>
      </c>
      <c r="L3789" s="249" t="s">
        <v>642</v>
      </c>
      <c r="M3789" s="249" t="s">
        <v>929</v>
      </c>
      <c r="N3789" s="248">
        <v>2101.5500000000002</v>
      </c>
      <c r="O3789" s="248">
        <v>21308.52</v>
      </c>
      <c r="P3789" s="247" t="s">
        <v>1655</v>
      </c>
      <c r="Q3789" s="247" t="s">
        <v>95</v>
      </c>
    </row>
    <row r="3790" spans="1:17" x14ac:dyDescent="0.25">
      <c r="A3790" s="247" t="s">
        <v>646</v>
      </c>
      <c r="B3790" s="247" t="s">
        <v>265</v>
      </c>
      <c r="C3790" s="247" t="s">
        <v>1620</v>
      </c>
      <c r="D3790" s="247" t="s">
        <v>1656</v>
      </c>
      <c r="E3790" s="247" t="s">
        <v>926</v>
      </c>
      <c r="F3790" s="247" t="s">
        <v>2462</v>
      </c>
      <c r="G3790" s="247" t="s">
        <v>328</v>
      </c>
      <c r="H3790" s="247"/>
      <c r="I3790" s="247" t="s">
        <v>2463</v>
      </c>
      <c r="J3790" s="247">
        <v>107</v>
      </c>
      <c r="K3790" s="247">
        <v>107</v>
      </c>
      <c r="L3790" s="249" t="s">
        <v>646</v>
      </c>
      <c r="M3790" s="249" t="s">
        <v>933</v>
      </c>
      <c r="N3790" s="248">
        <v>4505.43</v>
      </c>
      <c r="O3790" s="248">
        <v>63770.63</v>
      </c>
      <c r="P3790" s="247" t="s">
        <v>1657</v>
      </c>
      <c r="Q3790" s="247" t="s">
        <v>84</v>
      </c>
    </row>
    <row r="3791" spans="1:17" x14ac:dyDescent="0.25">
      <c r="A3791" s="247" t="s">
        <v>646</v>
      </c>
      <c r="B3791" s="247" t="s">
        <v>265</v>
      </c>
      <c r="C3791" s="247" t="s">
        <v>1620</v>
      </c>
      <c r="D3791" s="247" t="s">
        <v>1656</v>
      </c>
      <c r="E3791" s="247" t="s">
        <v>926</v>
      </c>
      <c r="F3791" s="247" t="s">
        <v>2462</v>
      </c>
      <c r="G3791" s="247" t="s">
        <v>328</v>
      </c>
      <c r="H3791" s="247"/>
      <c r="I3791" s="247" t="s">
        <v>2463</v>
      </c>
      <c r="J3791" s="247">
        <v>107</v>
      </c>
      <c r="K3791" s="247">
        <v>107</v>
      </c>
      <c r="L3791" s="249" t="s">
        <v>650</v>
      </c>
      <c r="M3791" s="249" t="s">
        <v>933</v>
      </c>
      <c r="N3791" s="248">
        <v>76.66</v>
      </c>
      <c r="O3791" s="248">
        <v>63847.29</v>
      </c>
      <c r="P3791" s="247" t="s">
        <v>1657</v>
      </c>
      <c r="Q3791" s="247" t="s">
        <v>85</v>
      </c>
    </row>
    <row r="3792" spans="1:17" x14ac:dyDescent="0.25">
      <c r="A3792" s="247" t="s">
        <v>646</v>
      </c>
      <c r="B3792" s="247" t="s">
        <v>265</v>
      </c>
      <c r="C3792" s="247" t="s">
        <v>1620</v>
      </c>
      <c r="D3792" s="247" t="s">
        <v>1656</v>
      </c>
      <c r="E3792" s="247" t="s">
        <v>926</v>
      </c>
      <c r="F3792" s="247" t="s">
        <v>2462</v>
      </c>
      <c r="G3792" s="247" t="s">
        <v>328</v>
      </c>
      <c r="H3792" s="247"/>
      <c r="I3792" s="247" t="s">
        <v>2463</v>
      </c>
      <c r="J3792" s="247">
        <v>107</v>
      </c>
      <c r="K3792" s="247">
        <v>107</v>
      </c>
      <c r="L3792" s="249" t="s">
        <v>652</v>
      </c>
      <c r="M3792" s="249" t="s">
        <v>933</v>
      </c>
      <c r="N3792" s="248">
        <v>6766.77</v>
      </c>
      <c r="O3792" s="248">
        <v>70614.06</v>
      </c>
      <c r="P3792" s="247" t="s">
        <v>1657</v>
      </c>
      <c r="Q3792" s="247" t="s">
        <v>86</v>
      </c>
    </row>
    <row r="3793" spans="1:17" x14ac:dyDescent="0.25">
      <c r="A3793" s="247" t="s">
        <v>646</v>
      </c>
      <c r="B3793" s="247" t="s">
        <v>265</v>
      </c>
      <c r="C3793" s="247" t="s">
        <v>1620</v>
      </c>
      <c r="D3793" s="247" t="s">
        <v>1656</v>
      </c>
      <c r="E3793" s="247" t="s">
        <v>926</v>
      </c>
      <c r="F3793" s="247" t="s">
        <v>2462</v>
      </c>
      <c r="G3793" s="247" t="s">
        <v>328</v>
      </c>
      <c r="H3793" s="247"/>
      <c r="I3793" s="247" t="s">
        <v>2463</v>
      </c>
      <c r="J3793" s="247">
        <v>107</v>
      </c>
      <c r="K3793" s="247">
        <v>107</v>
      </c>
      <c r="L3793" s="249" t="s">
        <v>789</v>
      </c>
      <c r="M3793" s="249" t="s">
        <v>929</v>
      </c>
      <c r="N3793" s="248">
        <v>4794.3999999999996</v>
      </c>
      <c r="O3793" s="248">
        <v>4794.3999999999996</v>
      </c>
      <c r="P3793" s="247" t="s">
        <v>1657</v>
      </c>
      <c r="Q3793" s="247" t="s">
        <v>87</v>
      </c>
    </row>
    <row r="3794" spans="1:17" x14ac:dyDescent="0.25">
      <c r="A3794" s="247" t="s">
        <v>646</v>
      </c>
      <c r="B3794" s="247" t="s">
        <v>265</v>
      </c>
      <c r="C3794" s="247" t="s">
        <v>1620</v>
      </c>
      <c r="D3794" s="247" t="s">
        <v>1656</v>
      </c>
      <c r="E3794" s="247" t="s">
        <v>926</v>
      </c>
      <c r="F3794" s="247" t="s">
        <v>2462</v>
      </c>
      <c r="G3794" s="247" t="s">
        <v>328</v>
      </c>
      <c r="H3794" s="247"/>
      <c r="I3794" s="247" t="s">
        <v>2463</v>
      </c>
      <c r="J3794" s="247">
        <v>107</v>
      </c>
      <c r="K3794" s="247">
        <v>107</v>
      </c>
      <c r="L3794" s="249" t="s">
        <v>791</v>
      </c>
      <c r="M3794" s="249" t="s">
        <v>929</v>
      </c>
      <c r="N3794" s="248">
        <v>7082.27</v>
      </c>
      <c r="O3794" s="248">
        <v>11876.67</v>
      </c>
      <c r="P3794" s="247" t="s">
        <v>1657</v>
      </c>
      <c r="Q3794" s="247" t="s">
        <v>88</v>
      </c>
    </row>
    <row r="3795" spans="1:17" x14ac:dyDescent="0.25">
      <c r="A3795" s="247" t="s">
        <v>646</v>
      </c>
      <c r="B3795" s="247" t="s">
        <v>265</v>
      </c>
      <c r="C3795" s="247" t="s">
        <v>1620</v>
      </c>
      <c r="D3795" s="247" t="s">
        <v>1656</v>
      </c>
      <c r="E3795" s="247" t="s">
        <v>926</v>
      </c>
      <c r="F3795" s="247" t="s">
        <v>2462</v>
      </c>
      <c r="G3795" s="247" t="s">
        <v>328</v>
      </c>
      <c r="H3795" s="247"/>
      <c r="I3795" s="247" t="s">
        <v>2463</v>
      </c>
      <c r="J3795" s="247">
        <v>107</v>
      </c>
      <c r="K3795" s="247">
        <v>107</v>
      </c>
      <c r="L3795" s="249" t="s">
        <v>935</v>
      </c>
      <c r="M3795" s="249" t="s">
        <v>929</v>
      </c>
      <c r="N3795" s="248">
        <v>14388.2</v>
      </c>
      <c r="O3795" s="248">
        <v>26264.87</v>
      </c>
      <c r="P3795" s="247" t="s">
        <v>1657</v>
      </c>
      <c r="Q3795" s="247" t="s">
        <v>89</v>
      </c>
    </row>
    <row r="3796" spans="1:17" x14ac:dyDescent="0.25">
      <c r="A3796" s="247" t="s">
        <v>646</v>
      </c>
      <c r="B3796" s="247" t="s">
        <v>265</v>
      </c>
      <c r="C3796" s="247" t="s">
        <v>1620</v>
      </c>
      <c r="D3796" s="247" t="s">
        <v>1656</v>
      </c>
      <c r="E3796" s="247" t="s">
        <v>926</v>
      </c>
      <c r="F3796" s="247" t="s">
        <v>2462</v>
      </c>
      <c r="G3796" s="247" t="s">
        <v>328</v>
      </c>
      <c r="H3796" s="247"/>
      <c r="I3796" s="247" t="s">
        <v>2463</v>
      </c>
      <c r="J3796" s="247">
        <v>107</v>
      </c>
      <c r="K3796" s="247">
        <v>107</v>
      </c>
      <c r="L3796" s="249" t="s">
        <v>936</v>
      </c>
      <c r="M3796" s="249" t="s">
        <v>929</v>
      </c>
      <c r="N3796" s="248">
        <v>5578.15</v>
      </c>
      <c r="O3796" s="248">
        <v>31843.02</v>
      </c>
      <c r="P3796" s="247" t="s">
        <v>1657</v>
      </c>
      <c r="Q3796" s="247" t="s">
        <v>90</v>
      </c>
    </row>
    <row r="3797" spans="1:17" x14ac:dyDescent="0.25">
      <c r="A3797" s="247" t="s">
        <v>646</v>
      </c>
      <c r="B3797" s="247" t="s">
        <v>265</v>
      </c>
      <c r="C3797" s="247" t="s">
        <v>1620</v>
      </c>
      <c r="D3797" s="247" t="s">
        <v>1656</v>
      </c>
      <c r="E3797" s="247" t="s">
        <v>926</v>
      </c>
      <c r="F3797" s="247" t="s">
        <v>2462</v>
      </c>
      <c r="G3797" s="247" t="s">
        <v>328</v>
      </c>
      <c r="H3797" s="247"/>
      <c r="I3797" s="247" t="s">
        <v>2463</v>
      </c>
      <c r="J3797" s="247">
        <v>107</v>
      </c>
      <c r="K3797" s="247">
        <v>107</v>
      </c>
      <c r="L3797" s="249" t="s">
        <v>937</v>
      </c>
      <c r="M3797" s="249" t="s">
        <v>929</v>
      </c>
      <c r="N3797" s="248">
        <v>3100.48</v>
      </c>
      <c r="O3797" s="248">
        <v>34943.5</v>
      </c>
      <c r="P3797" s="247" t="s">
        <v>1657</v>
      </c>
      <c r="Q3797" s="247" t="s">
        <v>91</v>
      </c>
    </row>
    <row r="3798" spans="1:17" x14ac:dyDescent="0.25">
      <c r="A3798" s="247" t="s">
        <v>646</v>
      </c>
      <c r="B3798" s="247" t="s">
        <v>265</v>
      </c>
      <c r="C3798" s="247" t="s">
        <v>1620</v>
      </c>
      <c r="D3798" s="247" t="s">
        <v>1656</v>
      </c>
      <c r="E3798" s="247" t="s">
        <v>926</v>
      </c>
      <c r="F3798" s="247" t="s">
        <v>2462</v>
      </c>
      <c r="G3798" s="247" t="s">
        <v>328</v>
      </c>
      <c r="H3798" s="247"/>
      <c r="I3798" s="247" t="s">
        <v>2463</v>
      </c>
      <c r="J3798" s="247">
        <v>107</v>
      </c>
      <c r="K3798" s="247">
        <v>107</v>
      </c>
      <c r="L3798" s="249" t="s">
        <v>938</v>
      </c>
      <c r="M3798" s="249" t="s">
        <v>929</v>
      </c>
      <c r="N3798" s="248">
        <v>3394.84</v>
      </c>
      <c r="O3798" s="248">
        <v>38338.339999999997</v>
      </c>
      <c r="P3798" s="247" t="s">
        <v>1657</v>
      </c>
      <c r="Q3798" s="247" t="s">
        <v>92</v>
      </c>
    </row>
    <row r="3799" spans="1:17" x14ac:dyDescent="0.25">
      <c r="A3799" s="247" t="s">
        <v>646</v>
      </c>
      <c r="B3799" s="247" t="s">
        <v>265</v>
      </c>
      <c r="C3799" s="247" t="s">
        <v>1620</v>
      </c>
      <c r="D3799" s="247" t="s">
        <v>1656</v>
      </c>
      <c r="E3799" s="247" t="s">
        <v>926</v>
      </c>
      <c r="F3799" s="247" t="s">
        <v>2462</v>
      </c>
      <c r="G3799" s="247" t="s">
        <v>328</v>
      </c>
      <c r="H3799" s="247"/>
      <c r="I3799" s="247" t="s">
        <v>2463</v>
      </c>
      <c r="J3799" s="247">
        <v>107</v>
      </c>
      <c r="K3799" s="247">
        <v>107</v>
      </c>
      <c r="L3799" s="249" t="s">
        <v>939</v>
      </c>
      <c r="M3799" s="249" t="s">
        <v>929</v>
      </c>
      <c r="N3799" s="248">
        <v>2020.21</v>
      </c>
      <c r="O3799" s="248">
        <v>40358.550000000003</v>
      </c>
      <c r="P3799" s="247" t="s">
        <v>1657</v>
      </c>
      <c r="Q3799" s="247" t="s">
        <v>93</v>
      </c>
    </row>
    <row r="3800" spans="1:17" x14ac:dyDescent="0.25">
      <c r="A3800" s="247" t="s">
        <v>646</v>
      </c>
      <c r="B3800" s="247" t="s">
        <v>265</v>
      </c>
      <c r="C3800" s="247" t="s">
        <v>1620</v>
      </c>
      <c r="D3800" s="247" t="s">
        <v>1656</v>
      </c>
      <c r="E3800" s="247" t="s">
        <v>926</v>
      </c>
      <c r="F3800" s="247" t="s">
        <v>2462</v>
      </c>
      <c r="G3800" s="247" t="s">
        <v>328</v>
      </c>
      <c r="H3800" s="247"/>
      <c r="I3800" s="247" t="s">
        <v>2463</v>
      </c>
      <c r="J3800" s="247">
        <v>107</v>
      </c>
      <c r="K3800" s="247">
        <v>107</v>
      </c>
      <c r="L3800" s="249" t="s">
        <v>940</v>
      </c>
      <c r="M3800" s="249" t="s">
        <v>929</v>
      </c>
      <c r="N3800" s="248">
        <v>1135.1199999999999</v>
      </c>
      <c r="O3800" s="248">
        <v>41493.67</v>
      </c>
      <c r="P3800" s="247" t="s">
        <v>1657</v>
      </c>
      <c r="Q3800" s="247" t="s">
        <v>94</v>
      </c>
    </row>
    <row r="3801" spans="1:17" x14ac:dyDescent="0.25">
      <c r="A3801" s="247" t="s">
        <v>646</v>
      </c>
      <c r="B3801" s="247" t="s">
        <v>265</v>
      </c>
      <c r="C3801" s="247" t="s">
        <v>1620</v>
      </c>
      <c r="D3801" s="247" t="s">
        <v>1656</v>
      </c>
      <c r="E3801" s="247" t="s">
        <v>926</v>
      </c>
      <c r="F3801" s="247" t="s">
        <v>2462</v>
      </c>
      <c r="G3801" s="247" t="s">
        <v>328</v>
      </c>
      <c r="H3801" s="247"/>
      <c r="I3801" s="247" t="s">
        <v>2463</v>
      </c>
      <c r="J3801" s="247">
        <v>107</v>
      </c>
      <c r="K3801" s="247">
        <v>107</v>
      </c>
      <c r="L3801" s="249" t="s">
        <v>642</v>
      </c>
      <c r="M3801" s="249" t="s">
        <v>929</v>
      </c>
      <c r="N3801" s="248">
        <v>30.92</v>
      </c>
      <c r="O3801" s="248">
        <v>41524.589999999997</v>
      </c>
      <c r="P3801" s="247" t="s">
        <v>1657</v>
      </c>
      <c r="Q3801" s="247" t="s">
        <v>95</v>
      </c>
    </row>
    <row r="3802" spans="1:17" x14ac:dyDescent="0.25">
      <c r="A3802" s="247" t="s">
        <v>646</v>
      </c>
      <c r="B3802" s="247" t="s">
        <v>265</v>
      </c>
      <c r="C3802" s="247" t="s">
        <v>1620</v>
      </c>
      <c r="D3802" s="247" t="s">
        <v>1658</v>
      </c>
      <c r="E3802" s="247" t="s">
        <v>926</v>
      </c>
      <c r="F3802" s="247" t="s">
        <v>2464</v>
      </c>
      <c r="G3802" s="247" t="s">
        <v>329</v>
      </c>
      <c r="H3802" s="247"/>
      <c r="I3802" s="247" t="s">
        <v>2465</v>
      </c>
      <c r="J3802" s="247">
        <v>108</v>
      </c>
      <c r="K3802" s="247">
        <v>108</v>
      </c>
      <c r="L3802" s="249" t="s">
        <v>646</v>
      </c>
      <c r="M3802" s="249" t="s">
        <v>933</v>
      </c>
      <c r="N3802" s="248">
        <v>7811.2</v>
      </c>
      <c r="O3802" s="248">
        <v>147224.71</v>
      </c>
      <c r="P3802" s="247" t="s">
        <v>1659</v>
      </c>
      <c r="Q3802" s="247" t="s">
        <v>84</v>
      </c>
    </row>
    <row r="3803" spans="1:17" x14ac:dyDescent="0.25">
      <c r="A3803" s="247" t="s">
        <v>646</v>
      </c>
      <c r="B3803" s="247" t="s">
        <v>265</v>
      </c>
      <c r="C3803" s="247" t="s">
        <v>1620</v>
      </c>
      <c r="D3803" s="247" t="s">
        <v>1658</v>
      </c>
      <c r="E3803" s="247" t="s">
        <v>926</v>
      </c>
      <c r="F3803" s="247" t="s">
        <v>2464</v>
      </c>
      <c r="G3803" s="247" t="s">
        <v>329</v>
      </c>
      <c r="H3803" s="247"/>
      <c r="I3803" s="247" t="s">
        <v>2465</v>
      </c>
      <c r="J3803" s="247">
        <v>108</v>
      </c>
      <c r="K3803" s="247">
        <v>108</v>
      </c>
      <c r="L3803" s="249" t="s">
        <v>650</v>
      </c>
      <c r="M3803" s="249" t="s">
        <v>933</v>
      </c>
      <c r="N3803" s="248">
        <v>18436.599999999999</v>
      </c>
      <c r="O3803" s="248">
        <v>165661.31</v>
      </c>
      <c r="P3803" s="247" t="s">
        <v>1659</v>
      </c>
      <c r="Q3803" s="247" t="s">
        <v>85</v>
      </c>
    </row>
    <row r="3804" spans="1:17" x14ac:dyDescent="0.25">
      <c r="A3804" s="247" t="s">
        <v>646</v>
      </c>
      <c r="B3804" s="247" t="s">
        <v>265</v>
      </c>
      <c r="C3804" s="247" t="s">
        <v>1620</v>
      </c>
      <c r="D3804" s="247" t="s">
        <v>1658</v>
      </c>
      <c r="E3804" s="247" t="s">
        <v>926</v>
      </c>
      <c r="F3804" s="247" t="s">
        <v>2464</v>
      </c>
      <c r="G3804" s="247" t="s">
        <v>329</v>
      </c>
      <c r="H3804" s="247"/>
      <c r="I3804" s="247" t="s">
        <v>2465</v>
      </c>
      <c r="J3804" s="247">
        <v>108</v>
      </c>
      <c r="K3804" s="247">
        <v>108</v>
      </c>
      <c r="L3804" s="249" t="s">
        <v>652</v>
      </c>
      <c r="M3804" s="249" t="s">
        <v>933</v>
      </c>
      <c r="N3804" s="248">
        <v>-2519.7399999999998</v>
      </c>
      <c r="O3804" s="248">
        <v>163141.57</v>
      </c>
      <c r="P3804" s="247" t="s">
        <v>1659</v>
      </c>
      <c r="Q3804" s="247" t="s">
        <v>86</v>
      </c>
    </row>
    <row r="3805" spans="1:17" x14ac:dyDescent="0.25">
      <c r="A3805" s="247" t="s">
        <v>646</v>
      </c>
      <c r="B3805" s="247" t="s">
        <v>265</v>
      </c>
      <c r="C3805" s="247" t="s">
        <v>1620</v>
      </c>
      <c r="D3805" s="247" t="s">
        <v>1658</v>
      </c>
      <c r="E3805" s="247" t="s">
        <v>926</v>
      </c>
      <c r="F3805" s="247" t="s">
        <v>2464</v>
      </c>
      <c r="G3805" s="247" t="s">
        <v>329</v>
      </c>
      <c r="H3805" s="247"/>
      <c r="I3805" s="247" t="s">
        <v>2465</v>
      </c>
      <c r="J3805" s="247">
        <v>108</v>
      </c>
      <c r="K3805" s="247">
        <v>108</v>
      </c>
      <c r="L3805" s="249" t="s">
        <v>789</v>
      </c>
      <c r="M3805" s="249" t="s">
        <v>929</v>
      </c>
      <c r="N3805" s="248">
        <v>12096.25</v>
      </c>
      <c r="O3805" s="248">
        <v>12096.25</v>
      </c>
      <c r="P3805" s="247" t="s">
        <v>1659</v>
      </c>
      <c r="Q3805" s="247" t="s">
        <v>87</v>
      </c>
    </row>
    <row r="3806" spans="1:17" x14ac:dyDescent="0.25">
      <c r="A3806" s="247" t="s">
        <v>646</v>
      </c>
      <c r="B3806" s="247" t="s">
        <v>265</v>
      </c>
      <c r="C3806" s="247" t="s">
        <v>1620</v>
      </c>
      <c r="D3806" s="247" t="s">
        <v>1658</v>
      </c>
      <c r="E3806" s="247" t="s">
        <v>926</v>
      </c>
      <c r="F3806" s="247" t="s">
        <v>2464</v>
      </c>
      <c r="G3806" s="247" t="s">
        <v>329</v>
      </c>
      <c r="H3806" s="247"/>
      <c r="I3806" s="247" t="s">
        <v>2465</v>
      </c>
      <c r="J3806" s="247">
        <v>108</v>
      </c>
      <c r="K3806" s="247">
        <v>108</v>
      </c>
      <c r="L3806" s="249" t="s">
        <v>791</v>
      </c>
      <c r="M3806" s="249" t="s">
        <v>929</v>
      </c>
      <c r="N3806" s="248">
        <v>22756.86</v>
      </c>
      <c r="O3806" s="248">
        <v>34853.11</v>
      </c>
      <c r="P3806" s="247" t="s">
        <v>1659</v>
      </c>
      <c r="Q3806" s="247" t="s">
        <v>88</v>
      </c>
    </row>
    <row r="3807" spans="1:17" x14ac:dyDescent="0.25">
      <c r="A3807" s="247" t="s">
        <v>646</v>
      </c>
      <c r="B3807" s="247" t="s">
        <v>265</v>
      </c>
      <c r="C3807" s="247" t="s">
        <v>1620</v>
      </c>
      <c r="D3807" s="247" t="s">
        <v>1658</v>
      </c>
      <c r="E3807" s="247" t="s">
        <v>926</v>
      </c>
      <c r="F3807" s="247" t="s">
        <v>2464</v>
      </c>
      <c r="G3807" s="247" t="s">
        <v>329</v>
      </c>
      <c r="H3807" s="247"/>
      <c r="I3807" s="247" t="s">
        <v>2465</v>
      </c>
      <c r="J3807" s="247">
        <v>108</v>
      </c>
      <c r="K3807" s="247">
        <v>108</v>
      </c>
      <c r="L3807" s="249" t="s">
        <v>935</v>
      </c>
      <c r="M3807" s="249" t="s">
        <v>929</v>
      </c>
      <c r="N3807" s="248">
        <v>21316.49</v>
      </c>
      <c r="O3807" s="248">
        <v>56169.599999999999</v>
      </c>
      <c r="P3807" s="247" t="s">
        <v>1659</v>
      </c>
      <c r="Q3807" s="247" t="s">
        <v>89</v>
      </c>
    </row>
    <row r="3808" spans="1:17" x14ac:dyDescent="0.25">
      <c r="A3808" s="247" t="s">
        <v>646</v>
      </c>
      <c r="B3808" s="247" t="s">
        <v>265</v>
      </c>
      <c r="C3808" s="247" t="s">
        <v>1620</v>
      </c>
      <c r="D3808" s="247" t="s">
        <v>1658</v>
      </c>
      <c r="E3808" s="247" t="s">
        <v>926</v>
      </c>
      <c r="F3808" s="247" t="s">
        <v>2464</v>
      </c>
      <c r="G3808" s="247" t="s">
        <v>329</v>
      </c>
      <c r="H3808" s="247"/>
      <c r="I3808" s="247" t="s">
        <v>2465</v>
      </c>
      <c r="J3808" s="247">
        <v>108</v>
      </c>
      <c r="K3808" s="247">
        <v>108</v>
      </c>
      <c r="L3808" s="249" t="s">
        <v>936</v>
      </c>
      <c r="M3808" s="249" t="s">
        <v>929</v>
      </c>
      <c r="N3808" s="248">
        <v>25420.080000000002</v>
      </c>
      <c r="O3808" s="248">
        <v>81589.679999999993</v>
      </c>
      <c r="P3808" s="247" t="s">
        <v>1659</v>
      </c>
      <c r="Q3808" s="247" t="s">
        <v>90</v>
      </c>
    </row>
    <row r="3809" spans="1:17" x14ac:dyDescent="0.25">
      <c r="A3809" s="247" t="s">
        <v>646</v>
      </c>
      <c r="B3809" s="247" t="s">
        <v>265</v>
      </c>
      <c r="C3809" s="247" t="s">
        <v>1620</v>
      </c>
      <c r="D3809" s="247" t="s">
        <v>1658</v>
      </c>
      <c r="E3809" s="247" t="s">
        <v>926</v>
      </c>
      <c r="F3809" s="247" t="s">
        <v>2464</v>
      </c>
      <c r="G3809" s="247" t="s">
        <v>329</v>
      </c>
      <c r="H3809" s="247"/>
      <c r="I3809" s="247" t="s">
        <v>2465</v>
      </c>
      <c r="J3809" s="247">
        <v>108</v>
      </c>
      <c r="K3809" s="247">
        <v>108</v>
      </c>
      <c r="L3809" s="249" t="s">
        <v>937</v>
      </c>
      <c r="M3809" s="249" t="s">
        <v>929</v>
      </c>
      <c r="N3809" s="248">
        <v>14946.25</v>
      </c>
      <c r="O3809" s="248">
        <v>96535.93</v>
      </c>
      <c r="P3809" s="247" t="s">
        <v>1659</v>
      </c>
      <c r="Q3809" s="247" t="s">
        <v>91</v>
      </c>
    </row>
    <row r="3810" spans="1:17" x14ac:dyDescent="0.25">
      <c r="A3810" s="247" t="s">
        <v>646</v>
      </c>
      <c r="B3810" s="247" t="s">
        <v>265</v>
      </c>
      <c r="C3810" s="247" t="s">
        <v>1620</v>
      </c>
      <c r="D3810" s="247" t="s">
        <v>1658</v>
      </c>
      <c r="E3810" s="247" t="s">
        <v>926</v>
      </c>
      <c r="F3810" s="247" t="s">
        <v>2464</v>
      </c>
      <c r="G3810" s="247" t="s">
        <v>329</v>
      </c>
      <c r="H3810" s="247"/>
      <c r="I3810" s="247" t="s">
        <v>2465</v>
      </c>
      <c r="J3810" s="247">
        <v>108</v>
      </c>
      <c r="K3810" s="247">
        <v>108</v>
      </c>
      <c r="L3810" s="249" t="s">
        <v>938</v>
      </c>
      <c r="M3810" s="249" t="s">
        <v>929</v>
      </c>
      <c r="N3810" s="248">
        <v>12878.75</v>
      </c>
      <c r="O3810" s="248">
        <v>109414.68</v>
      </c>
      <c r="P3810" s="247" t="s">
        <v>1659</v>
      </c>
      <c r="Q3810" s="247" t="s">
        <v>92</v>
      </c>
    </row>
    <row r="3811" spans="1:17" x14ac:dyDescent="0.25">
      <c r="A3811" s="247" t="s">
        <v>646</v>
      </c>
      <c r="B3811" s="247" t="s">
        <v>265</v>
      </c>
      <c r="C3811" s="247" t="s">
        <v>1620</v>
      </c>
      <c r="D3811" s="247" t="s">
        <v>1658</v>
      </c>
      <c r="E3811" s="247" t="s">
        <v>926</v>
      </c>
      <c r="F3811" s="247" t="s">
        <v>2464</v>
      </c>
      <c r="G3811" s="247" t="s">
        <v>329</v>
      </c>
      <c r="H3811" s="247"/>
      <c r="I3811" s="247" t="s">
        <v>2465</v>
      </c>
      <c r="J3811" s="247">
        <v>108</v>
      </c>
      <c r="K3811" s="247">
        <v>108</v>
      </c>
      <c r="L3811" s="249" t="s">
        <v>939</v>
      </c>
      <c r="M3811" s="249" t="s">
        <v>929</v>
      </c>
      <c r="N3811" s="248">
        <v>25172.9</v>
      </c>
      <c r="O3811" s="248">
        <v>134587.57999999999</v>
      </c>
      <c r="P3811" s="247" t="s">
        <v>1659</v>
      </c>
      <c r="Q3811" s="247" t="s">
        <v>93</v>
      </c>
    </row>
    <row r="3812" spans="1:17" x14ac:dyDescent="0.25">
      <c r="A3812" s="247" t="s">
        <v>646</v>
      </c>
      <c r="B3812" s="247" t="s">
        <v>265</v>
      </c>
      <c r="C3812" s="247" t="s">
        <v>1620</v>
      </c>
      <c r="D3812" s="247" t="s">
        <v>1658</v>
      </c>
      <c r="E3812" s="247" t="s">
        <v>926</v>
      </c>
      <c r="F3812" s="247" t="s">
        <v>2464</v>
      </c>
      <c r="G3812" s="247" t="s">
        <v>329</v>
      </c>
      <c r="H3812" s="247"/>
      <c r="I3812" s="247" t="s">
        <v>2465</v>
      </c>
      <c r="J3812" s="247">
        <v>108</v>
      </c>
      <c r="K3812" s="247">
        <v>108</v>
      </c>
      <c r="L3812" s="249" t="s">
        <v>940</v>
      </c>
      <c r="M3812" s="249" t="s">
        <v>929</v>
      </c>
      <c r="N3812" s="248">
        <v>8832.5</v>
      </c>
      <c r="O3812" s="248">
        <v>143420.07999999999</v>
      </c>
      <c r="P3812" s="247" t="s">
        <v>1659</v>
      </c>
      <c r="Q3812" s="247" t="s">
        <v>94</v>
      </c>
    </row>
    <row r="3813" spans="1:17" x14ac:dyDescent="0.25">
      <c r="A3813" s="247" t="s">
        <v>646</v>
      </c>
      <c r="B3813" s="247" t="s">
        <v>265</v>
      </c>
      <c r="C3813" s="247" t="s">
        <v>1620</v>
      </c>
      <c r="D3813" s="247" t="s">
        <v>1658</v>
      </c>
      <c r="E3813" s="247" t="s">
        <v>926</v>
      </c>
      <c r="F3813" s="247" t="s">
        <v>2464</v>
      </c>
      <c r="G3813" s="247" t="s">
        <v>329</v>
      </c>
      <c r="H3813" s="247"/>
      <c r="I3813" s="247" t="s">
        <v>2465</v>
      </c>
      <c r="J3813" s="247">
        <v>108</v>
      </c>
      <c r="K3813" s="247">
        <v>108</v>
      </c>
      <c r="L3813" s="249" t="s">
        <v>642</v>
      </c>
      <c r="M3813" s="249" t="s">
        <v>929</v>
      </c>
      <c r="N3813" s="248">
        <v>12215.3</v>
      </c>
      <c r="O3813" s="248">
        <v>155635.38</v>
      </c>
      <c r="P3813" s="247" t="s">
        <v>1659</v>
      </c>
      <c r="Q3813" s="247" t="s">
        <v>95</v>
      </c>
    </row>
    <row r="3814" spans="1:17" x14ac:dyDescent="0.25">
      <c r="A3814" s="247" t="s">
        <v>646</v>
      </c>
      <c r="B3814" s="247" t="s">
        <v>265</v>
      </c>
      <c r="C3814" s="247" t="s">
        <v>1660</v>
      </c>
      <c r="D3814" s="247" t="s">
        <v>926</v>
      </c>
      <c r="E3814" s="247" t="s">
        <v>926</v>
      </c>
      <c r="F3814" s="247" t="s">
        <v>2466</v>
      </c>
      <c r="G3814" s="247" t="s">
        <v>330</v>
      </c>
      <c r="H3814" s="247"/>
      <c r="I3814" s="247" t="s">
        <v>2467</v>
      </c>
      <c r="J3814" s="247">
        <v>94</v>
      </c>
      <c r="K3814" s="247">
        <v>94</v>
      </c>
      <c r="L3814" s="249" t="s">
        <v>646</v>
      </c>
      <c r="M3814" s="249" t="s">
        <v>933</v>
      </c>
      <c r="N3814" s="248">
        <v>387.27</v>
      </c>
      <c r="O3814" s="248">
        <v>3872.7</v>
      </c>
      <c r="P3814" s="247" t="s">
        <v>1661</v>
      </c>
      <c r="Q3814" s="247" t="s">
        <v>84</v>
      </c>
    </row>
    <row r="3815" spans="1:17" x14ac:dyDescent="0.25">
      <c r="A3815" s="247" t="s">
        <v>646</v>
      </c>
      <c r="B3815" s="247" t="s">
        <v>265</v>
      </c>
      <c r="C3815" s="247" t="s">
        <v>1660</v>
      </c>
      <c r="D3815" s="247" t="s">
        <v>926</v>
      </c>
      <c r="E3815" s="247" t="s">
        <v>926</v>
      </c>
      <c r="F3815" s="247" t="s">
        <v>2466</v>
      </c>
      <c r="G3815" s="247" t="s">
        <v>330</v>
      </c>
      <c r="H3815" s="247"/>
      <c r="I3815" s="247" t="s">
        <v>2467</v>
      </c>
      <c r="J3815" s="247">
        <v>94</v>
      </c>
      <c r="K3815" s="247">
        <v>94</v>
      </c>
      <c r="L3815" s="249" t="s">
        <v>650</v>
      </c>
      <c r="M3815" s="249" t="s">
        <v>933</v>
      </c>
      <c r="N3815" s="248">
        <v>387.27</v>
      </c>
      <c r="O3815" s="248">
        <v>4259.97</v>
      </c>
      <c r="P3815" s="247" t="s">
        <v>1661</v>
      </c>
      <c r="Q3815" s="247" t="s">
        <v>85</v>
      </c>
    </row>
    <row r="3816" spans="1:17" x14ac:dyDescent="0.25">
      <c r="A3816" s="247" t="s">
        <v>646</v>
      </c>
      <c r="B3816" s="247" t="s">
        <v>265</v>
      </c>
      <c r="C3816" s="247" t="s">
        <v>1660</v>
      </c>
      <c r="D3816" s="247" t="s">
        <v>926</v>
      </c>
      <c r="E3816" s="247" t="s">
        <v>926</v>
      </c>
      <c r="F3816" s="247" t="s">
        <v>2466</v>
      </c>
      <c r="G3816" s="247" t="s">
        <v>330</v>
      </c>
      <c r="H3816" s="247"/>
      <c r="I3816" s="247" t="s">
        <v>2467</v>
      </c>
      <c r="J3816" s="247">
        <v>94</v>
      </c>
      <c r="K3816" s="247">
        <v>94</v>
      </c>
      <c r="L3816" s="249" t="s">
        <v>652</v>
      </c>
      <c r="M3816" s="249" t="s">
        <v>933</v>
      </c>
      <c r="N3816" s="248">
        <v>387.26</v>
      </c>
      <c r="O3816" s="248">
        <v>4647.2299999999996</v>
      </c>
      <c r="P3816" s="247" t="s">
        <v>1661</v>
      </c>
      <c r="Q3816" s="247" t="s">
        <v>86</v>
      </c>
    </row>
    <row r="3817" spans="1:17" x14ac:dyDescent="0.25">
      <c r="A3817" s="247" t="s">
        <v>646</v>
      </c>
      <c r="B3817" s="247" t="s">
        <v>265</v>
      </c>
      <c r="C3817" s="247" t="s">
        <v>1660</v>
      </c>
      <c r="D3817" s="247" t="s">
        <v>926</v>
      </c>
      <c r="E3817" s="247" t="s">
        <v>926</v>
      </c>
      <c r="F3817" s="247" t="s">
        <v>2466</v>
      </c>
      <c r="G3817" s="247" t="s">
        <v>330</v>
      </c>
      <c r="H3817" s="247"/>
      <c r="I3817" s="247" t="s">
        <v>2467</v>
      </c>
      <c r="J3817" s="247">
        <v>94</v>
      </c>
      <c r="K3817" s="247">
        <v>94</v>
      </c>
      <c r="L3817" s="249" t="s">
        <v>789</v>
      </c>
      <c r="M3817" s="249" t="s">
        <v>929</v>
      </c>
      <c r="N3817" s="248">
        <v>387.27</v>
      </c>
      <c r="O3817" s="248">
        <v>387.27</v>
      </c>
      <c r="P3817" s="247" t="s">
        <v>1661</v>
      </c>
      <c r="Q3817" s="247" t="s">
        <v>87</v>
      </c>
    </row>
    <row r="3818" spans="1:17" x14ac:dyDescent="0.25">
      <c r="A3818" s="247" t="s">
        <v>646</v>
      </c>
      <c r="B3818" s="247" t="s">
        <v>265</v>
      </c>
      <c r="C3818" s="247" t="s">
        <v>1660</v>
      </c>
      <c r="D3818" s="247" t="s">
        <v>926</v>
      </c>
      <c r="E3818" s="247" t="s">
        <v>926</v>
      </c>
      <c r="F3818" s="247" t="s">
        <v>2466</v>
      </c>
      <c r="G3818" s="247" t="s">
        <v>330</v>
      </c>
      <c r="H3818" s="247"/>
      <c r="I3818" s="247" t="s">
        <v>2467</v>
      </c>
      <c r="J3818" s="247">
        <v>94</v>
      </c>
      <c r="K3818" s="247">
        <v>94</v>
      </c>
      <c r="L3818" s="249" t="s">
        <v>791</v>
      </c>
      <c r="M3818" s="249" t="s">
        <v>929</v>
      </c>
      <c r="N3818" s="248">
        <v>387.27</v>
      </c>
      <c r="O3818" s="248">
        <v>774.54</v>
      </c>
      <c r="P3818" s="247" t="s">
        <v>1661</v>
      </c>
      <c r="Q3818" s="247" t="s">
        <v>88</v>
      </c>
    </row>
    <row r="3819" spans="1:17" x14ac:dyDescent="0.25">
      <c r="A3819" s="247" t="s">
        <v>646</v>
      </c>
      <c r="B3819" s="247" t="s">
        <v>265</v>
      </c>
      <c r="C3819" s="247" t="s">
        <v>1660</v>
      </c>
      <c r="D3819" s="247" t="s">
        <v>926</v>
      </c>
      <c r="E3819" s="247" t="s">
        <v>926</v>
      </c>
      <c r="F3819" s="247" t="s">
        <v>2466</v>
      </c>
      <c r="G3819" s="247" t="s">
        <v>330</v>
      </c>
      <c r="H3819" s="247"/>
      <c r="I3819" s="247" t="s">
        <v>2467</v>
      </c>
      <c r="J3819" s="247">
        <v>94</v>
      </c>
      <c r="K3819" s="247">
        <v>94</v>
      </c>
      <c r="L3819" s="249" t="s">
        <v>935</v>
      </c>
      <c r="M3819" s="249" t="s">
        <v>929</v>
      </c>
      <c r="N3819" s="248">
        <v>387.27</v>
      </c>
      <c r="O3819" s="248">
        <v>1161.81</v>
      </c>
      <c r="P3819" s="247" t="s">
        <v>1661</v>
      </c>
      <c r="Q3819" s="247" t="s">
        <v>89</v>
      </c>
    </row>
    <row r="3820" spans="1:17" x14ac:dyDescent="0.25">
      <c r="A3820" s="247" t="s">
        <v>646</v>
      </c>
      <c r="B3820" s="247" t="s">
        <v>265</v>
      </c>
      <c r="C3820" s="247" t="s">
        <v>1660</v>
      </c>
      <c r="D3820" s="247" t="s">
        <v>926</v>
      </c>
      <c r="E3820" s="247" t="s">
        <v>926</v>
      </c>
      <c r="F3820" s="247" t="s">
        <v>2466</v>
      </c>
      <c r="G3820" s="247" t="s">
        <v>330</v>
      </c>
      <c r="H3820" s="247"/>
      <c r="I3820" s="247" t="s">
        <v>2467</v>
      </c>
      <c r="J3820" s="247">
        <v>94</v>
      </c>
      <c r="K3820" s="247">
        <v>94</v>
      </c>
      <c r="L3820" s="249" t="s">
        <v>936</v>
      </c>
      <c r="M3820" s="249" t="s">
        <v>929</v>
      </c>
      <c r="N3820" s="248">
        <v>387.27</v>
      </c>
      <c r="O3820" s="248">
        <v>1549.08</v>
      </c>
      <c r="P3820" s="247" t="s">
        <v>1661</v>
      </c>
      <c r="Q3820" s="247" t="s">
        <v>90</v>
      </c>
    </row>
    <row r="3821" spans="1:17" x14ac:dyDescent="0.25">
      <c r="A3821" s="247" t="s">
        <v>646</v>
      </c>
      <c r="B3821" s="247" t="s">
        <v>265</v>
      </c>
      <c r="C3821" s="247" t="s">
        <v>1660</v>
      </c>
      <c r="D3821" s="247" t="s">
        <v>926</v>
      </c>
      <c r="E3821" s="247" t="s">
        <v>926</v>
      </c>
      <c r="F3821" s="247" t="s">
        <v>2466</v>
      </c>
      <c r="G3821" s="247" t="s">
        <v>330</v>
      </c>
      <c r="H3821" s="247"/>
      <c r="I3821" s="247" t="s">
        <v>2467</v>
      </c>
      <c r="J3821" s="247">
        <v>94</v>
      </c>
      <c r="K3821" s="247">
        <v>94</v>
      </c>
      <c r="L3821" s="249" t="s">
        <v>937</v>
      </c>
      <c r="M3821" s="249" t="s">
        <v>929</v>
      </c>
      <c r="N3821" s="248">
        <v>387.27</v>
      </c>
      <c r="O3821" s="248">
        <v>1936.35</v>
      </c>
      <c r="P3821" s="247" t="s">
        <v>1661</v>
      </c>
      <c r="Q3821" s="247" t="s">
        <v>91</v>
      </c>
    </row>
    <row r="3822" spans="1:17" x14ac:dyDescent="0.25">
      <c r="A3822" s="247" t="s">
        <v>646</v>
      </c>
      <c r="B3822" s="247" t="s">
        <v>265</v>
      </c>
      <c r="C3822" s="247" t="s">
        <v>1660</v>
      </c>
      <c r="D3822" s="247" t="s">
        <v>926</v>
      </c>
      <c r="E3822" s="247" t="s">
        <v>926</v>
      </c>
      <c r="F3822" s="247" t="s">
        <v>2466</v>
      </c>
      <c r="G3822" s="247" t="s">
        <v>330</v>
      </c>
      <c r="H3822" s="247"/>
      <c r="I3822" s="247" t="s">
        <v>2467</v>
      </c>
      <c r="J3822" s="247">
        <v>94</v>
      </c>
      <c r="K3822" s="247">
        <v>94</v>
      </c>
      <c r="L3822" s="249" t="s">
        <v>938</v>
      </c>
      <c r="M3822" s="249" t="s">
        <v>929</v>
      </c>
      <c r="N3822" s="248">
        <v>387.27</v>
      </c>
      <c r="O3822" s="248">
        <v>2323.62</v>
      </c>
      <c r="P3822" s="247" t="s">
        <v>1661</v>
      </c>
      <c r="Q3822" s="247" t="s">
        <v>92</v>
      </c>
    </row>
    <row r="3823" spans="1:17" x14ac:dyDescent="0.25">
      <c r="A3823" s="247" t="s">
        <v>646</v>
      </c>
      <c r="B3823" s="247" t="s">
        <v>265</v>
      </c>
      <c r="C3823" s="247" t="s">
        <v>1660</v>
      </c>
      <c r="D3823" s="247" t="s">
        <v>926</v>
      </c>
      <c r="E3823" s="247" t="s">
        <v>926</v>
      </c>
      <c r="F3823" s="247" t="s">
        <v>2466</v>
      </c>
      <c r="G3823" s="247" t="s">
        <v>330</v>
      </c>
      <c r="H3823" s="247"/>
      <c r="I3823" s="247" t="s">
        <v>2467</v>
      </c>
      <c r="J3823" s="247">
        <v>94</v>
      </c>
      <c r="K3823" s="247">
        <v>94</v>
      </c>
      <c r="L3823" s="249" t="s">
        <v>939</v>
      </c>
      <c r="M3823" s="249" t="s">
        <v>929</v>
      </c>
      <c r="N3823" s="248">
        <v>387.27</v>
      </c>
      <c r="O3823" s="248">
        <v>2710.89</v>
      </c>
      <c r="P3823" s="247" t="s">
        <v>1661</v>
      </c>
      <c r="Q3823" s="247" t="s">
        <v>93</v>
      </c>
    </row>
    <row r="3824" spans="1:17" x14ac:dyDescent="0.25">
      <c r="A3824" s="247" t="s">
        <v>646</v>
      </c>
      <c r="B3824" s="247" t="s">
        <v>265</v>
      </c>
      <c r="C3824" s="247" t="s">
        <v>1660</v>
      </c>
      <c r="D3824" s="247" t="s">
        <v>926</v>
      </c>
      <c r="E3824" s="247" t="s">
        <v>926</v>
      </c>
      <c r="F3824" s="247" t="s">
        <v>2466</v>
      </c>
      <c r="G3824" s="247" t="s">
        <v>330</v>
      </c>
      <c r="H3824" s="247"/>
      <c r="I3824" s="247" t="s">
        <v>2467</v>
      </c>
      <c r="J3824" s="247">
        <v>94</v>
      </c>
      <c r="K3824" s="247">
        <v>94</v>
      </c>
      <c r="L3824" s="249" t="s">
        <v>940</v>
      </c>
      <c r="M3824" s="249" t="s">
        <v>929</v>
      </c>
      <c r="N3824" s="248">
        <v>387.27</v>
      </c>
      <c r="O3824" s="248">
        <v>3098.16</v>
      </c>
      <c r="P3824" s="247" t="s">
        <v>1661</v>
      </c>
      <c r="Q3824" s="247" t="s">
        <v>94</v>
      </c>
    </row>
    <row r="3825" spans="1:17" x14ac:dyDescent="0.25">
      <c r="A3825" s="247" t="s">
        <v>646</v>
      </c>
      <c r="B3825" s="247" t="s">
        <v>265</v>
      </c>
      <c r="C3825" s="247" t="s">
        <v>1660</v>
      </c>
      <c r="D3825" s="247" t="s">
        <v>926</v>
      </c>
      <c r="E3825" s="247" t="s">
        <v>926</v>
      </c>
      <c r="F3825" s="247" t="s">
        <v>2466</v>
      </c>
      <c r="G3825" s="247" t="s">
        <v>330</v>
      </c>
      <c r="H3825" s="247"/>
      <c r="I3825" s="247" t="s">
        <v>2467</v>
      </c>
      <c r="J3825" s="247">
        <v>94</v>
      </c>
      <c r="K3825" s="247">
        <v>94</v>
      </c>
      <c r="L3825" s="249" t="s">
        <v>642</v>
      </c>
      <c r="M3825" s="249" t="s">
        <v>929</v>
      </c>
      <c r="N3825" s="248">
        <v>387.27</v>
      </c>
      <c r="O3825" s="248">
        <v>3485.43</v>
      </c>
      <c r="P3825" s="247" t="s">
        <v>1661</v>
      </c>
      <c r="Q3825" s="247" t="s">
        <v>95</v>
      </c>
    </row>
    <row r="3826" spans="1:17" x14ac:dyDescent="0.25">
      <c r="A3826" s="247" t="s">
        <v>646</v>
      </c>
      <c r="B3826" s="247" t="s">
        <v>265</v>
      </c>
      <c r="C3826" s="247" t="s">
        <v>1662</v>
      </c>
      <c r="D3826" s="247" t="s">
        <v>711</v>
      </c>
      <c r="E3826" s="247" t="s">
        <v>926</v>
      </c>
      <c r="F3826" s="247" t="s">
        <v>2468</v>
      </c>
      <c r="G3826" s="247" t="s">
        <v>332</v>
      </c>
      <c r="H3826" s="247"/>
      <c r="I3826" s="247" t="s">
        <v>2469</v>
      </c>
      <c r="J3826" s="247">
        <v>93</v>
      </c>
      <c r="K3826" s="247">
        <v>93</v>
      </c>
      <c r="L3826" s="249" t="s">
        <v>646</v>
      </c>
      <c r="M3826" s="249" t="s">
        <v>933</v>
      </c>
      <c r="N3826" s="248">
        <v>3825</v>
      </c>
      <c r="O3826" s="248">
        <v>38250</v>
      </c>
      <c r="P3826" s="247" t="s">
        <v>1663</v>
      </c>
      <c r="Q3826" s="247" t="s">
        <v>84</v>
      </c>
    </row>
    <row r="3827" spans="1:17" x14ac:dyDescent="0.25">
      <c r="A3827" s="247" t="s">
        <v>646</v>
      </c>
      <c r="B3827" s="247" t="s">
        <v>265</v>
      </c>
      <c r="C3827" s="247" t="s">
        <v>1662</v>
      </c>
      <c r="D3827" s="247" t="s">
        <v>711</v>
      </c>
      <c r="E3827" s="247" t="s">
        <v>926</v>
      </c>
      <c r="F3827" s="247" t="s">
        <v>2468</v>
      </c>
      <c r="G3827" s="247" t="s">
        <v>332</v>
      </c>
      <c r="H3827" s="247"/>
      <c r="I3827" s="247" t="s">
        <v>2469</v>
      </c>
      <c r="J3827" s="247">
        <v>93</v>
      </c>
      <c r="K3827" s="247">
        <v>93</v>
      </c>
      <c r="L3827" s="249" t="s">
        <v>650</v>
      </c>
      <c r="M3827" s="249" t="s">
        <v>933</v>
      </c>
      <c r="N3827" s="248">
        <v>3825</v>
      </c>
      <c r="O3827" s="248">
        <v>42075</v>
      </c>
      <c r="P3827" s="247" t="s">
        <v>1663</v>
      </c>
      <c r="Q3827" s="247" t="s">
        <v>85</v>
      </c>
    </row>
    <row r="3828" spans="1:17" x14ac:dyDescent="0.25">
      <c r="A3828" s="247" t="s">
        <v>646</v>
      </c>
      <c r="B3828" s="247" t="s">
        <v>265</v>
      </c>
      <c r="C3828" s="247" t="s">
        <v>1662</v>
      </c>
      <c r="D3828" s="247" t="s">
        <v>711</v>
      </c>
      <c r="E3828" s="247" t="s">
        <v>926</v>
      </c>
      <c r="F3828" s="247" t="s">
        <v>2468</v>
      </c>
      <c r="G3828" s="247" t="s">
        <v>332</v>
      </c>
      <c r="H3828" s="247"/>
      <c r="I3828" s="247" t="s">
        <v>2469</v>
      </c>
      <c r="J3828" s="247">
        <v>93</v>
      </c>
      <c r="K3828" s="247">
        <v>93</v>
      </c>
      <c r="L3828" s="249" t="s">
        <v>652</v>
      </c>
      <c r="M3828" s="249" t="s">
        <v>933</v>
      </c>
      <c r="N3828" s="248">
        <v>3825</v>
      </c>
      <c r="O3828" s="248">
        <v>45900</v>
      </c>
      <c r="P3828" s="247" t="s">
        <v>1663</v>
      </c>
      <c r="Q3828" s="247" t="s">
        <v>86</v>
      </c>
    </row>
    <row r="3829" spans="1:17" x14ac:dyDescent="0.25">
      <c r="A3829" s="247" t="s">
        <v>646</v>
      </c>
      <c r="B3829" s="247" t="s">
        <v>265</v>
      </c>
      <c r="C3829" s="247" t="s">
        <v>1662</v>
      </c>
      <c r="D3829" s="247" t="s">
        <v>711</v>
      </c>
      <c r="E3829" s="247" t="s">
        <v>926</v>
      </c>
      <c r="F3829" s="247" t="s">
        <v>2468</v>
      </c>
      <c r="G3829" s="247" t="s">
        <v>332</v>
      </c>
      <c r="H3829" s="247"/>
      <c r="I3829" s="247" t="s">
        <v>2469</v>
      </c>
      <c r="J3829" s="247">
        <v>93</v>
      </c>
      <c r="K3829" s="247">
        <v>93</v>
      </c>
      <c r="L3829" s="249" t="s">
        <v>789</v>
      </c>
      <c r="M3829" s="249" t="s">
        <v>929</v>
      </c>
      <c r="N3829" s="248">
        <v>3825</v>
      </c>
      <c r="O3829" s="248">
        <v>3825</v>
      </c>
      <c r="P3829" s="247" t="s">
        <v>1663</v>
      </c>
      <c r="Q3829" s="247" t="s">
        <v>87</v>
      </c>
    </row>
    <row r="3830" spans="1:17" x14ac:dyDescent="0.25">
      <c r="A3830" s="247" t="s">
        <v>646</v>
      </c>
      <c r="B3830" s="247" t="s">
        <v>265</v>
      </c>
      <c r="C3830" s="247" t="s">
        <v>1662</v>
      </c>
      <c r="D3830" s="247" t="s">
        <v>711</v>
      </c>
      <c r="E3830" s="247" t="s">
        <v>926</v>
      </c>
      <c r="F3830" s="247" t="s">
        <v>2468</v>
      </c>
      <c r="G3830" s="247" t="s">
        <v>332</v>
      </c>
      <c r="H3830" s="247"/>
      <c r="I3830" s="247" t="s">
        <v>2469</v>
      </c>
      <c r="J3830" s="247">
        <v>93</v>
      </c>
      <c r="K3830" s="247">
        <v>93</v>
      </c>
      <c r="L3830" s="249" t="s">
        <v>791</v>
      </c>
      <c r="M3830" s="249" t="s">
        <v>929</v>
      </c>
      <c r="N3830" s="248">
        <v>3825</v>
      </c>
      <c r="O3830" s="248">
        <v>7650</v>
      </c>
      <c r="P3830" s="247" t="s">
        <v>1663</v>
      </c>
      <c r="Q3830" s="247" t="s">
        <v>88</v>
      </c>
    </row>
    <row r="3831" spans="1:17" x14ac:dyDescent="0.25">
      <c r="A3831" s="247" t="s">
        <v>646</v>
      </c>
      <c r="B3831" s="247" t="s">
        <v>265</v>
      </c>
      <c r="C3831" s="247" t="s">
        <v>1662</v>
      </c>
      <c r="D3831" s="247" t="s">
        <v>711</v>
      </c>
      <c r="E3831" s="247" t="s">
        <v>926</v>
      </c>
      <c r="F3831" s="247" t="s">
        <v>2468</v>
      </c>
      <c r="G3831" s="247" t="s">
        <v>332</v>
      </c>
      <c r="H3831" s="247"/>
      <c r="I3831" s="247" t="s">
        <v>2469</v>
      </c>
      <c r="J3831" s="247">
        <v>93</v>
      </c>
      <c r="K3831" s="247">
        <v>93</v>
      </c>
      <c r="L3831" s="249" t="s">
        <v>935</v>
      </c>
      <c r="M3831" s="249" t="s">
        <v>929</v>
      </c>
      <c r="N3831" s="248">
        <v>3825</v>
      </c>
      <c r="O3831" s="248">
        <v>11475</v>
      </c>
      <c r="P3831" s="247" t="s">
        <v>1663</v>
      </c>
      <c r="Q3831" s="247" t="s">
        <v>89</v>
      </c>
    </row>
    <row r="3832" spans="1:17" x14ac:dyDescent="0.25">
      <c r="A3832" s="247" t="s">
        <v>646</v>
      </c>
      <c r="B3832" s="247" t="s">
        <v>265</v>
      </c>
      <c r="C3832" s="247" t="s">
        <v>1662</v>
      </c>
      <c r="D3832" s="247" t="s">
        <v>711</v>
      </c>
      <c r="E3832" s="247" t="s">
        <v>926</v>
      </c>
      <c r="F3832" s="247" t="s">
        <v>2468</v>
      </c>
      <c r="G3832" s="247" t="s">
        <v>332</v>
      </c>
      <c r="H3832" s="247"/>
      <c r="I3832" s="247" t="s">
        <v>2469</v>
      </c>
      <c r="J3832" s="247">
        <v>93</v>
      </c>
      <c r="K3832" s="247">
        <v>93</v>
      </c>
      <c r="L3832" s="249" t="s">
        <v>936</v>
      </c>
      <c r="M3832" s="249" t="s">
        <v>929</v>
      </c>
      <c r="N3832" s="248">
        <v>3825</v>
      </c>
      <c r="O3832" s="248">
        <v>15300</v>
      </c>
      <c r="P3832" s="247" t="s">
        <v>1663</v>
      </c>
      <c r="Q3832" s="247" t="s">
        <v>90</v>
      </c>
    </row>
    <row r="3833" spans="1:17" x14ac:dyDescent="0.25">
      <c r="A3833" s="247" t="s">
        <v>646</v>
      </c>
      <c r="B3833" s="247" t="s">
        <v>265</v>
      </c>
      <c r="C3833" s="247" t="s">
        <v>1662</v>
      </c>
      <c r="D3833" s="247" t="s">
        <v>711</v>
      </c>
      <c r="E3833" s="247" t="s">
        <v>926</v>
      </c>
      <c r="F3833" s="247" t="s">
        <v>2468</v>
      </c>
      <c r="G3833" s="247" t="s">
        <v>332</v>
      </c>
      <c r="H3833" s="247"/>
      <c r="I3833" s="247" t="s">
        <v>2469</v>
      </c>
      <c r="J3833" s="247">
        <v>93</v>
      </c>
      <c r="K3833" s="247">
        <v>93</v>
      </c>
      <c r="L3833" s="249" t="s">
        <v>937</v>
      </c>
      <c r="M3833" s="249" t="s">
        <v>929</v>
      </c>
      <c r="N3833" s="248">
        <v>3825</v>
      </c>
      <c r="O3833" s="248">
        <v>19125</v>
      </c>
      <c r="P3833" s="247" t="s">
        <v>1663</v>
      </c>
      <c r="Q3833" s="247" t="s">
        <v>91</v>
      </c>
    </row>
    <row r="3834" spans="1:17" x14ac:dyDescent="0.25">
      <c r="A3834" s="247" t="s">
        <v>646</v>
      </c>
      <c r="B3834" s="247" t="s">
        <v>265</v>
      </c>
      <c r="C3834" s="247" t="s">
        <v>1662</v>
      </c>
      <c r="D3834" s="247" t="s">
        <v>711</v>
      </c>
      <c r="E3834" s="247" t="s">
        <v>926</v>
      </c>
      <c r="F3834" s="247" t="s">
        <v>2468</v>
      </c>
      <c r="G3834" s="247" t="s">
        <v>332</v>
      </c>
      <c r="H3834" s="247"/>
      <c r="I3834" s="247" t="s">
        <v>2469</v>
      </c>
      <c r="J3834" s="247">
        <v>93</v>
      </c>
      <c r="K3834" s="247">
        <v>93</v>
      </c>
      <c r="L3834" s="249" t="s">
        <v>938</v>
      </c>
      <c r="M3834" s="249" t="s">
        <v>929</v>
      </c>
      <c r="N3834" s="248">
        <v>3825</v>
      </c>
      <c r="O3834" s="248">
        <v>22950</v>
      </c>
      <c r="P3834" s="247" t="s">
        <v>1663</v>
      </c>
      <c r="Q3834" s="247" t="s">
        <v>92</v>
      </c>
    </row>
    <row r="3835" spans="1:17" x14ac:dyDescent="0.25">
      <c r="A3835" s="247" t="s">
        <v>646</v>
      </c>
      <c r="B3835" s="247" t="s">
        <v>265</v>
      </c>
      <c r="C3835" s="247" t="s">
        <v>1662</v>
      </c>
      <c r="D3835" s="247" t="s">
        <v>711</v>
      </c>
      <c r="E3835" s="247" t="s">
        <v>926</v>
      </c>
      <c r="F3835" s="247" t="s">
        <v>2468</v>
      </c>
      <c r="G3835" s="247" t="s">
        <v>332</v>
      </c>
      <c r="H3835" s="247"/>
      <c r="I3835" s="247" t="s">
        <v>2469</v>
      </c>
      <c r="J3835" s="247">
        <v>93</v>
      </c>
      <c r="K3835" s="247">
        <v>93</v>
      </c>
      <c r="L3835" s="249" t="s">
        <v>939</v>
      </c>
      <c r="M3835" s="249" t="s">
        <v>929</v>
      </c>
      <c r="N3835" s="248">
        <v>3825</v>
      </c>
      <c r="O3835" s="248">
        <v>26775</v>
      </c>
      <c r="P3835" s="247" t="s">
        <v>1663</v>
      </c>
      <c r="Q3835" s="247" t="s">
        <v>93</v>
      </c>
    </row>
    <row r="3836" spans="1:17" x14ac:dyDescent="0.25">
      <c r="A3836" s="247" t="s">
        <v>646</v>
      </c>
      <c r="B3836" s="247" t="s">
        <v>265</v>
      </c>
      <c r="C3836" s="247" t="s">
        <v>1662</v>
      </c>
      <c r="D3836" s="247" t="s">
        <v>711</v>
      </c>
      <c r="E3836" s="247" t="s">
        <v>926</v>
      </c>
      <c r="F3836" s="247" t="s">
        <v>2468</v>
      </c>
      <c r="G3836" s="247" t="s">
        <v>332</v>
      </c>
      <c r="H3836" s="247"/>
      <c r="I3836" s="247" t="s">
        <v>2469</v>
      </c>
      <c r="J3836" s="247">
        <v>93</v>
      </c>
      <c r="K3836" s="247">
        <v>93</v>
      </c>
      <c r="L3836" s="249" t="s">
        <v>940</v>
      </c>
      <c r="M3836" s="249" t="s">
        <v>929</v>
      </c>
      <c r="N3836" s="248">
        <v>3825</v>
      </c>
      <c r="O3836" s="248">
        <v>30600</v>
      </c>
      <c r="P3836" s="247" t="s">
        <v>1663</v>
      </c>
      <c r="Q3836" s="247" t="s">
        <v>94</v>
      </c>
    </row>
    <row r="3837" spans="1:17" x14ac:dyDescent="0.25">
      <c r="A3837" s="247" t="s">
        <v>646</v>
      </c>
      <c r="B3837" s="247" t="s">
        <v>265</v>
      </c>
      <c r="C3837" s="247" t="s">
        <v>1662</v>
      </c>
      <c r="D3837" s="247" t="s">
        <v>711</v>
      </c>
      <c r="E3837" s="247" t="s">
        <v>926</v>
      </c>
      <c r="F3837" s="247" t="s">
        <v>2468</v>
      </c>
      <c r="G3837" s="247" t="s">
        <v>332</v>
      </c>
      <c r="H3837" s="247"/>
      <c r="I3837" s="247" t="s">
        <v>2469</v>
      </c>
      <c r="J3837" s="247">
        <v>93</v>
      </c>
      <c r="K3837" s="247">
        <v>93</v>
      </c>
      <c r="L3837" s="249" t="s">
        <v>642</v>
      </c>
      <c r="M3837" s="249" t="s">
        <v>929</v>
      </c>
      <c r="N3837" s="248">
        <v>3825</v>
      </c>
      <c r="O3837" s="248">
        <v>34425</v>
      </c>
      <c r="P3837" s="247" t="s">
        <v>1663</v>
      </c>
      <c r="Q3837" s="247" t="s">
        <v>95</v>
      </c>
    </row>
    <row r="3838" spans="1:17" x14ac:dyDescent="0.25">
      <c r="A3838" s="247" t="s">
        <v>646</v>
      </c>
      <c r="B3838" s="247" t="s">
        <v>265</v>
      </c>
      <c r="C3838" s="247" t="s">
        <v>1664</v>
      </c>
      <c r="D3838" s="247" t="s">
        <v>926</v>
      </c>
      <c r="E3838" s="247" t="s">
        <v>926</v>
      </c>
      <c r="F3838" s="247" t="s">
        <v>2470</v>
      </c>
      <c r="G3838" s="247" t="s">
        <v>1665</v>
      </c>
      <c r="H3838" s="247"/>
      <c r="I3838" s="247" t="s">
        <v>2471</v>
      </c>
      <c r="J3838" s="247">
        <v>110</v>
      </c>
      <c r="K3838" s="247">
        <v>110</v>
      </c>
      <c r="L3838" s="249" t="s">
        <v>646</v>
      </c>
      <c r="M3838" s="249" t="s">
        <v>933</v>
      </c>
      <c r="N3838" s="248">
        <v>8.98</v>
      </c>
      <c r="O3838" s="248">
        <v>87.23</v>
      </c>
      <c r="P3838" s="247" t="s">
        <v>1666</v>
      </c>
      <c r="Q3838" s="247" t="s">
        <v>84</v>
      </c>
    </row>
    <row r="3839" spans="1:17" x14ac:dyDescent="0.25">
      <c r="A3839" s="247" t="s">
        <v>646</v>
      </c>
      <c r="B3839" s="247" t="s">
        <v>265</v>
      </c>
      <c r="C3839" s="247" t="s">
        <v>1664</v>
      </c>
      <c r="D3839" s="247" t="s">
        <v>926</v>
      </c>
      <c r="E3839" s="247" t="s">
        <v>926</v>
      </c>
      <c r="F3839" s="247" t="s">
        <v>2470</v>
      </c>
      <c r="G3839" s="247" t="s">
        <v>1665</v>
      </c>
      <c r="H3839" s="247"/>
      <c r="I3839" s="247" t="s">
        <v>2471</v>
      </c>
      <c r="J3839" s="247">
        <v>110</v>
      </c>
      <c r="K3839" s="247">
        <v>110</v>
      </c>
      <c r="L3839" s="249" t="s">
        <v>650</v>
      </c>
      <c r="M3839" s="249" t="s">
        <v>933</v>
      </c>
      <c r="N3839" s="248">
        <v>0</v>
      </c>
      <c r="O3839" s="248">
        <v>87.23</v>
      </c>
      <c r="P3839" s="247" t="s">
        <v>1666</v>
      </c>
      <c r="Q3839" s="247" t="s">
        <v>85</v>
      </c>
    </row>
    <row r="3840" spans="1:17" x14ac:dyDescent="0.25">
      <c r="A3840" s="247" t="s">
        <v>646</v>
      </c>
      <c r="B3840" s="247" t="s">
        <v>265</v>
      </c>
      <c r="C3840" s="247" t="s">
        <v>1664</v>
      </c>
      <c r="D3840" s="247" t="s">
        <v>926</v>
      </c>
      <c r="E3840" s="247" t="s">
        <v>926</v>
      </c>
      <c r="F3840" s="247" t="s">
        <v>2470</v>
      </c>
      <c r="G3840" s="247" t="s">
        <v>1665</v>
      </c>
      <c r="H3840" s="247"/>
      <c r="I3840" s="247" t="s">
        <v>2471</v>
      </c>
      <c r="J3840" s="247">
        <v>110</v>
      </c>
      <c r="K3840" s="247">
        <v>110</v>
      </c>
      <c r="L3840" s="249" t="s">
        <v>652</v>
      </c>
      <c r="M3840" s="249" t="s">
        <v>933</v>
      </c>
      <c r="N3840" s="248">
        <v>29.73</v>
      </c>
      <c r="O3840" s="248">
        <v>116.96</v>
      </c>
      <c r="P3840" s="247" t="s">
        <v>1666</v>
      </c>
      <c r="Q3840" s="247" t="s">
        <v>86</v>
      </c>
    </row>
    <row r="3841" spans="1:17" x14ac:dyDescent="0.25">
      <c r="A3841" s="247" t="s">
        <v>646</v>
      </c>
      <c r="B3841" s="247" t="s">
        <v>265</v>
      </c>
      <c r="C3841" s="247" t="s">
        <v>1664</v>
      </c>
      <c r="D3841" s="247" t="s">
        <v>926</v>
      </c>
      <c r="E3841" s="247" t="s">
        <v>926</v>
      </c>
      <c r="F3841" s="247" t="s">
        <v>2470</v>
      </c>
      <c r="G3841" s="247" t="s">
        <v>1665</v>
      </c>
      <c r="H3841" s="247"/>
      <c r="I3841" s="247" t="s">
        <v>2471</v>
      </c>
      <c r="J3841" s="247">
        <v>110</v>
      </c>
      <c r="K3841" s="247">
        <v>110</v>
      </c>
      <c r="L3841" s="249" t="s">
        <v>940</v>
      </c>
      <c r="M3841" s="249" t="s">
        <v>929</v>
      </c>
      <c r="N3841" s="248">
        <v>-3.99</v>
      </c>
      <c r="O3841" s="248">
        <v>-3.99</v>
      </c>
      <c r="P3841" s="247" t="s">
        <v>1666</v>
      </c>
      <c r="Q3841" s="247" t="s">
        <v>94</v>
      </c>
    </row>
    <row r="3842" spans="1:17" x14ac:dyDescent="0.25">
      <c r="A3842" s="247" t="s">
        <v>646</v>
      </c>
      <c r="B3842" s="247" t="s">
        <v>265</v>
      </c>
      <c r="C3842" s="247" t="s">
        <v>1664</v>
      </c>
      <c r="D3842" s="247" t="s">
        <v>926</v>
      </c>
      <c r="E3842" s="247" t="s">
        <v>926</v>
      </c>
      <c r="F3842" s="247" t="s">
        <v>2470</v>
      </c>
      <c r="G3842" s="247" t="s">
        <v>1665</v>
      </c>
      <c r="H3842" s="247"/>
      <c r="I3842" s="247" t="s">
        <v>2471</v>
      </c>
      <c r="J3842" s="247">
        <v>110</v>
      </c>
      <c r="K3842" s="247">
        <v>110</v>
      </c>
      <c r="L3842" s="249" t="s">
        <v>642</v>
      </c>
      <c r="M3842" s="249" t="s">
        <v>929</v>
      </c>
      <c r="N3842" s="248">
        <v>0</v>
      </c>
      <c r="O3842" s="248">
        <v>-3.99</v>
      </c>
      <c r="P3842" s="247" t="s">
        <v>1666</v>
      </c>
      <c r="Q3842" s="247" t="s">
        <v>95</v>
      </c>
    </row>
    <row r="3843" spans="1:17" x14ac:dyDescent="0.25">
      <c r="A3843" s="247" t="s">
        <v>646</v>
      </c>
      <c r="B3843" s="247" t="s">
        <v>265</v>
      </c>
      <c r="C3843" s="247" t="s">
        <v>1667</v>
      </c>
      <c r="D3843" s="247" t="s">
        <v>926</v>
      </c>
      <c r="E3843" s="247" t="s">
        <v>926</v>
      </c>
      <c r="F3843" s="247" t="s">
        <v>2472</v>
      </c>
      <c r="G3843" s="247" t="s">
        <v>333</v>
      </c>
      <c r="H3843" s="247"/>
      <c r="I3843" s="247" t="s">
        <v>2473</v>
      </c>
      <c r="J3843" s="247">
        <v>102</v>
      </c>
      <c r="K3843" s="247">
        <v>102</v>
      </c>
      <c r="L3843" s="249" t="s">
        <v>646</v>
      </c>
      <c r="M3843" s="249" t="s">
        <v>933</v>
      </c>
      <c r="N3843" s="248">
        <v>867.21</v>
      </c>
      <c r="O3843" s="248">
        <v>4098.87</v>
      </c>
      <c r="P3843" s="247" t="s">
        <v>1668</v>
      </c>
      <c r="Q3843" s="247" t="s">
        <v>84</v>
      </c>
    </row>
    <row r="3844" spans="1:17" x14ac:dyDescent="0.25">
      <c r="A3844" s="247" t="s">
        <v>646</v>
      </c>
      <c r="B3844" s="247" t="s">
        <v>265</v>
      </c>
      <c r="C3844" s="247" t="s">
        <v>1667</v>
      </c>
      <c r="D3844" s="247" t="s">
        <v>926</v>
      </c>
      <c r="E3844" s="247" t="s">
        <v>926</v>
      </c>
      <c r="F3844" s="247" t="s">
        <v>2472</v>
      </c>
      <c r="G3844" s="247" t="s">
        <v>333</v>
      </c>
      <c r="H3844" s="247"/>
      <c r="I3844" s="247" t="s">
        <v>2473</v>
      </c>
      <c r="J3844" s="247">
        <v>102</v>
      </c>
      <c r="K3844" s="247">
        <v>102</v>
      </c>
      <c r="L3844" s="249" t="s">
        <v>650</v>
      </c>
      <c r="M3844" s="249" t="s">
        <v>933</v>
      </c>
      <c r="N3844" s="248">
        <v>0</v>
      </c>
      <c r="O3844" s="248">
        <v>4098.87</v>
      </c>
      <c r="P3844" s="247" t="s">
        <v>1668</v>
      </c>
      <c r="Q3844" s="247" t="s">
        <v>85</v>
      </c>
    </row>
    <row r="3845" spans="1:17" x14ac:dyDescent="0.25">
      <c r="A3845" s="247" t="s">
        <v>646</v>
      </c>
      <c r="B3845" s="247" t="s">
        <v>265</v>
      </c>
      <c r="C3845" s="247" t="s">
        <v>1667</v>
      </c>
      <c r="D3845" s="247" t="s">
        <v>926</v>
      </c>
      <c r="E3845" s="247" t="s">
        <v>926</v>
      </c>
      <c r="F3845" s="247" t="s">
        <v>2472</v>
      </c>
      <c r="G3845" s="247" t="s">
        <v>333</v>
      </c>
      <c r="H3845" s="247"/>
      <c r="I3845" s="247" t="s">
        <v>2473</v>
      </c>
      <c r="J3845" s="247">
        <v>102</v>
      </c>
      <c r="K3845" s="247">
        <v>102</v>
      </c>
      <c r="L3845" s="249" t="s">
        <v>652</v>
      </c>
      <c r="M3845" s="249" t="s">
        <v>933</v>
      </c>
      <c r="N3845" s="248">
        <v>47878.15</v>
      </c>
      <c r="O3845" s="248">
        <v>51977.02</v>
      </c>
      <c r="P3845" s="247" t="s">
        <v>1668</v>
      </c>
      <c r="Q3845" s="247" t="s">
        <v>86</v>
      </c>
    </row>
    <row r="3846" spans="1:17" x14ac:dyDescent="0.25">
      <c r="A3846" s="247" t="s">
        <v>646</v>
      </c>
      <c r="B3846" s="247" t="s">
        <v>265</v>
      </c>
      <c r="C3846" s="247" t="s">
        <v>1667</v>
      </c>
      <c r="D3846" s="247" t="s">
        <v>926</v>
      </c>
      <c r="E3846" s="247" t="s">
        <v>926</v>
      </c>
      <c r="F3846" s="247" t="s">
        <v>2472</v>
      </c>
      <c r="G3846" s="247" t="s">
        <v>333</v>
      </c>
      <c r="H3846" s="247"/>
      <c r="I3846" s="247" t="s">
        <v>2473</v>
      </c>
      <c r="J3846" s="247">
        <v>102</v>
      </c>
      <c r="K3846" s="247">
        <v>102</v>
      </c>
      <c r="L3846" s="249" t="s">
        <v>789</v>
      </c>
      <c r="M3846" s="249" t="s">
        <v>929</v>
      </c>
      <c r="N3846" s="248">
        <v>179.53</v>
      </c>
      <c r="O3846" s="248">
        <v>179.53</v>
      </c>
      <c r="P3846" s="247" t="s">
        <v>1668</v>
      </c>
      <c r="Q3846" s="247" t="s">
        <v>87</v>
      </c>
    </row>
    <row r="3847" spans="1:17" x14ac:dyDescent="0.25">
      <c r="A3847" s="247" t="s">
        <v>646</v>
      </c>
      <c r="B3847" s="247" t="s">
        <v>265</v>
      </c>
      <c r="C3847" s="247" t="s">
        <v>1667</v>
      </c>
      <c r="D3847" s="247" t="s">
        <v>926</v>
      </c>
      <c r="E3847" s="247" t="s">
        <v>926</v>
      </c>
      <c r="F3847" s="247" t="s">
        <v>2472</v>
      </c>
      <c r="G3847" s="247" t="s">
        <v>333</v>
      </c>
      <c r="H3847" s="247"/>
      <c r="I3847" s="247" t="s">
        <v>2473</v>
      </c>
      <c r="J3847" s="247">
        <v>102</v>
      </c>
      <c r="K3847" s="247">
        <v>102</v>
      </c>
      <c r="L3847" s="249" t="s">
        <v>791</v>
      </c>
      <c r="M3847" s="249" t="s">
        <v>929</v>
      </c>
      <c r="N3847" s="248">
        <v>10059.26</v>
      </c>
      <c r="O3847" s="248">
        <v>10238.790000000001</v>
      </c>
      <c r="P3847" s="247" t="s">
        <v>1668</v>
      </c>
      <c r="Q3847" s="247" t="s">
        <v>88</v>
      </c>
    </row>
    <row r="3848" spans="1:17" x14ac:dyDescent="0.25">
      <c r="A3848" s="247" t="s">
        <v>646</v>
      </c>
      <c r="B3848" s="247" t="s">
        <v>265</v>
      </c>
      <c r="C3848" s="247" t="s">
        <v>1667</v>
      </c>
      <c r="D3848" s="247" t="s">
        <v>926</v>
      </c>
      <c r="E3848" s="247" t="s">
        <v>926</v>
      </c>
      <c r="F3848" s="247" t="s">
        <v>2472</v>
      </c>
      <c r="G3848" s="247" t="s">
        <v>333</v>
      </c>
      <c r="H3848" s="247"/>
      <c r="I3848" s="247" t="s">
        <v>2473</v>
      </c>
      <c r="J3848" s="247">
        <v>102</v>
      </c>
      <c r="K3848" s="247">
        <v>102</v>
      </c>
      <c r="L3848" s="249" t="s">
        <v>935</v>
      </c>
      <c r="M3848" s="249" t="s">
        <v>929</v>
      </c>
      <c r="N3848" s="248">
        <v>531.26</v>
      </c>
      <c r="O3848" s="248">
        <v>10770.05</v>
      </c>
      <c r="P3848" s="247" t="s">
        <v>1668</v>
      </c>
      <c r="Q3848" s="247" t="s">
        <v>89</v>
      </c>
    </row>
    <row r="3849" spans="1:17" x14ac:dyDescent="0.25">
      <c r="A3849" s="247" t="s">
        <v>646</v>
      </c>
      <c r="B3849" s="247" t="s">
        <v>265</v>
      </c>
      <c r="C3849" s="247" t="s">
        <v>1667</v>
      </c>
      <c r="D3849" s="247" t="s">
        <v>926</v>
      </c>
      <c r="E3849" s="247" t="s">
        <v>926</v>
      </c>
      <c r="F3849" s="247" t="s">
        <v>2472</v>
      </c>
      <c r="G3849" s="247" t="s">
        <v>333</v>
      </c>
      <c r="H3849" s="247"/>
      <c r="I3849" s="247" t="s">
        <v>2473</v>
      </c>
      <c r="J3849" s="247">
        <v>102</v>
      </c>
      <c r="K3849" s="247">
        <v>102</v>
      </c>
      <c r="L3849" s="249" t="s">
        <v>936</v>
      </c>
      <c r="M3849" s="249" t="s">
        <v>929</v>
      </c>
      <c r="N3849" s="248">
        <v>1223.67</v>
      </c>
      <c r="O3849" s="248">
        <v>11993.72</v>
      </c>
      <c r="P3849" s="247" t="s">
        <v>1668</v>
      </c>
      <c r="Q3849" s="247" t="s">
        <v>90</v>
      </c>
    </row>
    <row r="3850" spans="1:17" x14ac:dyDescent="0.25">
      <c r="A3850" s="247" t="s">
        <v>646</v>
      </c>
      <c r="B3850" s="247" t="s">
        <v>265</v>
      </c>
      <c r="C3850" s="247" t="s">
        <v>1667</v>
      </c>
      <c r="D3850" s="247" t="s">
        <v>926</v>
      </c>
      <c r="E3850" s="247" t="s">
        <v>926</v>
      </c>
      <c r="F3850" s="247" t="s">
        <v>2472</v>
      </c>
      <c r="G3850" s="247" t="s">
        <v>333</v>
      </c>
      <c r="H3850" s="247"/>
      <c r="I3850" s="247" t="s">
        <v>2473</v>
      </c>
      <c r="J3850" s="247">
        <v>102</v>
      </c>
      <c r="K3850" s="247">
        <v>102</v>
      </c>
      <c r="L3850" s="249" t="s">
        <v>937</v>
      </c>
      <c r="M3850" s="249" t="s">
        <v>929</v>
      </c>
      <c r="N3850" s="248">
        <v>1426.84</v>
      </c>
      <c r="O3850" s="248">
        <v>13420.56</v>
      </c>
      <c r="P3850" s="247" t="s">
        <v>1668</v>
      </c>
      <c r="Q3850" s="247" t="s">
        <v>91</v>
      </c>
    </row>
    <row r="3851" spans="1:17" x14ac:dyDescent="0.25">
      <c r="A3851" s="247" t="s">
        <v>646</v>
      </c>
      <c r="B3851" s="247" t="s">
        <v>265</v>
      </c>
      <c r="C3851" s="247" t="s">
        <v>1667</v>
      </c>
      <c r="D3851" s="247" t="s">
        <v>926</v>
      </c>
      <c r="E3851" s="247" t="s">
        <v>926</v>
      </c>
      <c r="F3851" s="247" t="s">
        <v>2472</v>
      </c>
      <c r="G3851" s="247" t="s">
        <v>333</v>
      </c>
      <c r="H3851" s="247"/>
      <c r="I3851" s="247" t="s">
        <v>2473</v>
      </c>
      <c r="J3851" s="247">
        <v>102</v>
      </c>
      <c r="K3851" s="247">
        <v>102</v>
      </c>
      <c r="L3851" s="249" t="s">
        <v>938</v>
      </c>
      <c r="M3851" s="249" t="s">
        <v>929</v>
      </c>
      <c r="N3851" s="248">
        <v>798.61</v>
      </c>
      <c r="O3851" s="248">
        <v>14219.17</v>
      </c>
      <c r="P3851" s="247" t="s">
        <v>1668</v>
      </c>
      <c r="Q3851" s="247" t="s">
        <v>92</v>
      </c>
    </row>
    <row r="3852" spans="1:17" x14ac:dyDescent="0.25">
      <c r="A3852" s="247" t="s">
        <v>646</v>
      </c>
      <c r="B3852" s="247" t="s">
        <v>265</v>
      </c>
      <c r="C3852" s="247" t="s">
        <v>1667</v>
      </c>
      <c r="D3852" s="247" t="s">
        <v>926</v>
      </c>
      <c r="E3852" s="247" t="s">
        <v>926</v>
      </c>
      <c r="F3852" s="247" t="s">
        <v>2472</v>
      </c>
      <c r="G3852" s="247" t="s">
        <v>333</v>
      </c>
      <c r="H3852" s="247"/>
      <c r="I3852" s="247" t="s">
        <v>2473</v>
      </c>
      <c r="J3852" s="247">
        <v>102</v>
      </c>
      <c r="K3852" s="247">
        <v>102</v>
      </c>
      <c r="L3852" s="249" t="s">
        <v>939</v>
      </c>
      <c r="M3852" s="249" t="s">
        <v>929</v>
      </c>
      <c r="N3852" s="248">
        <v>-456.68</v>
      </c>
      <c r="O3852" s="248">
        <v>13762.49</v>
      </c>
      <c r="P3852" s="247" t="s">
        <v>1668</v>
      </c>
      <c r="Q3852" s="247" t="s">
        <v>93</v>
      </c>
    </row>
    <row r="3853" spans="1:17" x14ac:dyDescent="0.25">
      <c r="A3853" s="247" t="s">
        <v>646</v>
      </c>
      <c r="B3853" s="247" t="s">
        <v>265</v>
      </c>
      <c r="C3853" s="247" t="s">
        <v>1667</v>
      </c>
      <c r="D3853" s="247" t="s">
        <v>926</v>
      </c>
      <c r="E3853" s="247" t="s">
        <v>926</v>
      </c>
      <c r="F3853" s="247" t="s">
        <v>2472</v>
      </c>
      <c r="G3853" s="247" t="s">
        <v>333</v>
      </c>
      <c r="H3853" s="247"/>
      <c r="I3853" s="247" t="s">
        <v>2473</v>
      </c>
      <c r="J3853" s="247">
        <v>102</v>
      </c>
      <c r="K3853" s="247">
        <v>102</v>
      </c>
      <c r="L3853" s="249" t="s">
        <v>940</v>
      </c>
      <c r="M3853" s="249" t="s">
        <v>929</v>
      </c>
      <c r="N3853" s="248">
        <v>455.66</v>
      </c>
      <c r="O3853" s="248">
        <v>14218.15</v>
      </c>
      <c r="P3853" s="247" t="s">
        <v>1668</v>
      </c>
      <c r="Q3853" s="247" t="s">
        <v>94</v>
      </c>
    </row>
    <row r="3854" spans="1:17" x14ac:dyDescent="0.25">
      <c r="A3854" s="247" t="s">
        <v>646</v>
      </c>
      <c r="B3854" s="247" t="s">
        <v>265</v>
      </c>
      <c r="C3854" s="247" t="s">
        <v>1667</v>
      </c>
      <c r="D3854" s="247" t="s">
        <v>926</v>
      </c>
      <c r="E3854" s="247" t="s">
        <v>926</v>
      </c>
      <c r="F3854" s="247" t="s">
        <v>2472</v>
      </c>
      <c r="G3854" s="247" t="s">
        <v>333</v>
      </c>
      <c r="H3854" s="247"/>
      <c r="I3854" s="247" t="s">
        <v>2473</v>
      </c>
      <c r="J3854" s="247">
        <v>102</v>
      </c>
      <c r="K3854" s="247">
        <v>102</v>
      </c>
      <c r="L3854" s="249" t="s">
        <v>642</v>
      </c>
      <c r="M3854" s="249" t="s">
        <v>929</v>
      </c>
      <c r="N3854" s="248">
        <v>352.18</v>
      </c>
      <c r="O3854" s="248">
        <v>14570.33</v>
      </c>
      <c r="P3854" s="247" t="s">
        <v>1668</v>
      </c>
      <c r="Q3854" s="247" t="s">
        <v>95</v>
      </c>
    </row>
    <row r="3855" spans="1:17" x14ac:dyDescent="0.25">
      <c r="A3855" s="247" t="s">
        <v>646</v>
      </c>
      <c r="B3855" s="247" t="s">
        <v>265</v>
      </c>
      <c r="C3855" s="247" t="s">
        <v>1667</v>
      </c>
      <c r="D3855" s="247" t="s">
        <v>711</v>
      </c>
      <c r="E3855" s="247" t="s">
        <v>926</v>
      </c>
      <c r="F3855" s="247" t="s">
        <v>2474</v>
      </c>
      <c r="G3855" s="247" t="s">
        <v>1669</v>
      </c>
      <c r="H3855" s="247"/>
      <c r="I3855" s="247" t="s">
        <v>2475</v>
      </c>
      <c r="J3855" s="247">
        <v>110</v>
      </c>
      <c r="K3855" s="247">
        <v>110</v>
      </c>
      <c r="L3855" s="249" t="s">
        <v>940</v>
      </c>
      <c r="M3855" s="249" t="s">
        <v>929</v>
      </c>
      <c r="N3855" s="248">
        <v>3509.56</v>
      </c>
      <c r="O3855" s="248">
        <v>3509.56</v>
      </c>
      <c r="P3855" s="247" t="s">
        <v>1670</v>
      </c>
      <c r="Q3855" s="247" t="s">
        <v>94</v>
      </c>
    </row>
    <row r="3856" spans="1:17" x14ac:dyDescent="0.25">
      <c r="A3856" s="247" t="s">
        <v>646</v>
      </c>
      <c r="B3856" s="247" t="s">
        <v>265</v>
      </c>
      <c r="C3856" s="247" t="s">
        <v>1667</v>
      </c>
      <c r="D3856" s="247" t="s">
        <v>711</v>
      </c>
      <c r="E3856" s="247" t="s">
        <v>926</v>
      </c>
      <c r="F3856" s="247" t="s">
        <v>2474</v>
      </c>
      <c r="G3856" s="247" t="s">
        <v>1669</v>
      </c>
      <c r="H3856" s="247"/>
      <c r="I3856" s="247" t="s">
        <v>2475</v>
      </c>
      <c r="J3856" s="247">
        <v>110</v>
      </c>
      <c r="K3856" s="247">
        <v>110</v>
      </c>
      <c r="L3856" s="249" t="s">
        <v>642</v>
      </c>
      <c r="M3856" s="249" t="s">
        <v>929</v>
      </c>
      <c r="N3856" s="248">
        <v>4691.97</v>
      </c>
      <c r="O3856" s="248">
        <v>8201.5300000000007</v>
      </c>
      <c r="P3856" s="247" t="s">
        <v>1670</v>
      </c>
      <c r="Q3856" s="247" t="s">
        <v>95</v>
      </c>
    </row>
    <row r="3857" spans="1:17" x14ac:dyDescent="0.25">
      <c r="A3857" s="247" t="s">
        <v>646</v>
      </c>
      <c r="B3857" s="247" t="s">
        <v>265</v>
      </c>
      <c r="C3857" s="247" t="s">
        <v>1671</v>
      </c>
      <c r="D3857" s="247" t="s">
        <v>926</v>
      </c>
      <c r="E3857" s="247" t="s">
        <v>926</v>
      </c>
      <c r="F3857" s="247" t="s">
        <v>2476</v>
      </c>
      <c r="G3857" s="247" t="s">
        <v>334</v>
      </c>
      <c r="H3857" s="247"/>
      <c r="I3857" s="247" t="s">
        <v>2477</v>
      </c>
      <c r="J3857" s="247">
        <v>110</v>
      </c>
      <c r="K3857" s="247">
        <v>110</v>
      </c>
      <c r="L3857" s="249" t="s">
        <v>646</v>
      </c>
      <c r="M3857" s="249" t="s">
        <v>933</v>
      </c>
      <c r="N3857" s="248">
        <v>0</v>
      </c>
      <c r="O3857" s="248">
        <v>8.4700000000000006</v>
      </c>
      <c r="P3857" s="247" t="s">
        <v>1672</v>
      </c>
      <c r="Q3857" s="247" t="s">
        <v>84</v>
      </c>
    </row>
    <row r="3858" spans="1:17" x14ac:dyDescent="0.25">
      <c r="A3858" s="247" t="s">
        <v>646</v>
      </c>
      <c r="B3858" s="247" t="s">
        <v>265</v>
      </c>
      <c r="C3858" s="247" t="s">
        <v>1671</v>
      </c>
      <c r="D3858" s="247" t="s">
        <v>926</v>
      </c>
      <c r="E3858" s="247" t="s">
        <v>926</v>
      </c>
      <c r="F3858" s="247" t="s">
        <v>2476</v>
      </c>
      <c r="G3858" s="247" t="s">
        <v>334</v>
      </c>
      <c r="H3858" s="247"/>
      <c r="I3858" s="247" t="s">
        <v>2477</v>
      </c>
      <c r="J3858" s="247">
        <v>110</v>
      </c>
      <c r="K3858" s="247">
        <v>110</v>
      </c>
      <c r="L3858" s="249" t="s">
        <v>650</v>
      </c>
      <c r="M3858" s="249" t="s">
        <v>933</v>
      </c>
      <c r="N3858" s="248">
        <v>0</v>
      </c>
      <c r="O3858" s="248">
        <v>8.4700000000000006</v>
      </c>
      <c r="P3858" s="247" t="s">
        <v>1672</v>
      </c>
      <c r="Q3858" s="247" t="s">
        <v>85</v>
      </c>
    </row>
    <row r="3859" spans="1:17" x14ac:dyDescent="0.25">
      <c r="A3859" s="247" t="s">
        <v>646</v>
      </c>
      <c r="B3859" s="247" t="s">
        <v>265</v>
      </c>
      <c r="C3859" s="247" t="s">
        <v>1671</v>
      </c>
      <c r="D3859" s="247" t="s">
        <v>926</v>
      </c>
      <c r="E3859" s="247" t="s">
        <v>926</v>
      </c>
      <c r="F3859" s="247" t="s">
        <v>2476</v>
      </c>
      <c r="G3859" s="247" t="s">
        <v>334</v>
      </c>
      <c r="H3859" s="247"/>
      <c r="I3859" s="247" t="s">
        <v>2477</v>
      </c>
      <c r="J3859" s="247">
        <v>110</v>
      </c>
      <c r="K3859" s="247">
        <v>110</v>
      </c>
      <c r="L3859" s="249" t="s">
        <v>652</v>
      </c>
      <c r="M3859" s="249" t="s">
        <v>933</v>
      </c>
      <c r="N3859" s="248">
        <v>0</v>
      </c>
      <c r="O3859" s="248">
        <v>8.4700000000000006</v>
      </c>
      <c r="P3859" s="247" t="s">
        <v>1672</v>
      </c>
      <c r="Q3859" s="247" t="s">
        <v>86</v>
      </c>
    </row>
    <row r="3860" spans="1:17" x14ac:dyDescent="0.25">
      <c r="A3860" s="247" t="s">
        <v>646</v>
      </c>
      <c r="B3860" s="247" t="s">
        <v>265</v>
      </c>
      <c r="C3860" s="247" t="s">
        <v>1671</v>
      </c>
      <c r="D3860" s="247" t="s">
        <v>926</v>
      </c>
      <c r="E3860" s="247" t="s">
        <v>926</v>
      </c>
      <c r="F3860" s="247" t="s">
        <v>2476</v>
      </c>
      <c r="G3860" s="247" t="s">
        <v>334</v>
      </c>
      <c r="H3860" s="247"/>
      <c r="I3860" s="247" t="s">
        <v>2477</v>
      </c>
      <c r="J3860" s="247">
        <v>110</v>
      </c>
      <c r="K3860" s="247">
        <v>110</v>
      </c>
      <c r="L3860" s="249" t="s">
        <v>936</v>
      </c>
      <c r="M3860" s="249" t="s">
        <v>929</v>
      </c>
      <c r="N3860" s="248">
        <v>3200</v>
      </c>
      <c r="O3860" s="248">
        <v>3200</v>
      </c>
      <c r="P3860" s="247" t="s">
        <v>1672</v>
      </c>
      <c r="Q3860" s="247" t="s">
        <v>90</v>
      </c>
    </row>
    <row r="3861" spans="1:17" x14ac:dyDescent="0.25">
      <c r="A3861" s="247" t="s">
        <v>646</v>
      </c>
      <c r="B3861" s="247" t="s">
        <v>265</v>
      </c>
      <c r="C3861" s="247" t="s">
        <v>1671</v>
      </c>
      <c r="D3861" s="247" t="s">
        <v>926</v>
      </c>
      <c r="E3861" s="247" t="s">
        <v>926</v>
      </c>
      <c r="F3861" s="247" t="s">
        <v>2476</v>
      </c>
      <c r="G3861" s="247" t="s">
        <v>334</v>
      </c>
      <c r="H3861" s="247"/>
      <c r="I3861" s="247" t="s">
        <v>2477</v>
      </c>
      <c r="J3861" s="247">
        <v>110</v>
      </c>
      <c r="K3861" s="247">
        <v>110</v>
      </c>
      <c r="L3861" s="249" t="s">
        <v>937</v>
      </c>
      <c r="M3861" s="249" t="s">
        <v>929</v>
      </c>
      <c r="N3861" s="248">
        <v>3422.58</v>
      </c>
      <c r="O3861" s="248">
        <v>6622.58</v>
      </c>
      <c r="P3861" s="247" t="s">
        <v>1672</v>
      </c>
      <c r="Q3861" s="247" t="s">
        <v>91</v>
      </c>
    </row>
    <row r="3862" spans="1:17" x14ac:dyDescent="0.25">
      <c r="A3862" s="247" t="s">
        <v>646</v>
      </c>
      <c r="B3862" s="247" t="s">
        <v>265</v>
      </c>
      <c r="C3862" s="247" t="s">
        <v>1671</v>
      </c>
      <c r="D3862" s="247" t="s">
        <v>926</v>
      </c>
      <c r="E3862" s="247" t="s">
        <v>926</v>
      </c>
      <c r="F3862" s="247" t="s">
        <v>2476</v>
      </c>
      <c r="G3862" s="247" t="s">
        <v>334</v>
      </c>
      <c r="H3862" s="247"/>
      <c r="I3862" s="247" t="s">
        <v>2477</v>
      </c>
      <c r="J3862" s="247">
        <v>110</v>
      </c>
      <c r="K3862" s="247">
        <v>110</v>
      </c>
      <c r="L3862" s="249" t="s">
        <v>938</v>
      </c>
      <c r="M3862" s="249" t="s">
        <v>929</v>
      </c>
      <c r="N3862" s="248">
        <v>5800.34</v>
      </c>
      <c r="O3862" s="248">
        <v>12422.92</v>
      </c>
      <c r="P3862" s="247" t="s">
        <v>1672</v>
      </c>
      <c r="Q3862" s="247" t="s">
        <v>92</v>
      </c>
    </row>
    <row r="3863" spans="1:17" x14ac:dyDescent="0.25">
      <c r="A3863" s="247" t="s">
        <v>646</v>
      </c>
      <c r="B3863" s="247" t="s">
        <v>265</v>
      </c>
      <c r="C3863" s="247" t="s">
        <v>1671</v>
      </c>
      <c r="D3863" s="247" t="s">
        <v>926</v>
      </c>
      <c r="E3863" s="247" t="s">
        <v>926</v>
      </c>
      <c r="F3863" s="247" t="s">
        <v>2476</v>
      </c>
      <c r="G3863" s="247" t="s">
        <v>334</v>
      </c>
      <c r="H3863" s="247"/>
      <c r="I3863" s="247" t="s">
        <v>2477</v>
      </c>
      <c r="J3863" s="247">
        <v>110</v>
      </c>
      <c r="K3863" s="247">
        <v>110</v>
      </c>
      <c r="L3863" s="249" t="s">
        <v>939</v>
      </c>
      <c r="M3863" s="249" t="s">
        <v>929</v>
      </c>
      <c r="N3863" s="248">
        <v>0</v>
      </c>
      <c r="O3863" s="248">
        <v>12422.92</v>
      </c>
      <c r="P3863" s="247" t="s">
        <v>1672</v>
      </c>
      <c r="Q3863" s="247" t="s">
        <v>93</v>
      </c>
    </row>
    <row r="3864" spans="1:17" x14ac:dyDescent="0.25">
      <c r="A3864" s="247" t="s">
        <v>646</v>
      </c>
      <c r="B3864" s="247" t="s">
        <v>265</v>
      </c>
      <c r="C3864" s="247" t="s">
        <v>1671</v>
      </c>
      <c r="D3864" s="247" t="s">
        <v>926</v>
      </c>
      <c r="E3864" s="247" t="s">
        <v>926</v>
      </c>
      <c r="F3864" s="247" t="s">
        <v>2476</v>
      </c>
      <c r="G3864" s="247" t="s">
        <v>334</v>
      </c>
      <c r="H3864" s="247"/>
      <c r="I3864" s="247" t="s">
        <v>2477</v>
      </c>
      <c r="J3864" s="247">
        <v>110</v>
      </c>
      <c r="K3864" s="247">
        <v>110</v>
      </c>
      <c r="L3864" s="249" t="s">
        <v>940</v>
      </c>
      <c r="M3864" s="249" t="s">
        <v>929</v>
      </c>
      <c r="N3864" s="248">
        <v>43</v>
      </c>
      <c r="O3864" s="248">
        <v>12465.92</v>
      </c>
      <c r="P3864" s="247" t="s">
        <v>1672</v>
      </c>
      <c r="Q3864" s="247" t="s">
        <v>94</v>
      </c>
    </row>
    <row r="3865" spans="1:17" x14ac:dyDescent="0.25">
      <c r="A3865" s="247" t="s">
        <v>646</v>
      </c>
      <c r="B3865" s="247" t="s">
        <v>265</v>
      </c>
      <c r="C3865" s="247" t="s">
        <v>1671</v>
      </c>
      <c r="D3865" s="247" t="s">
        <v>926</v>
      </c>
      <c r="E3865" s="247" t="s">
        <v>926</v>
      </c>
      <c r="F3865" s="247" t="s">
        <v>2476</v>
      </c>
      <c r="G3865" s="247" t="s">
        <v>334</v>
      </c>
      <c r="H3865" s="247"/>
      <c r="I3865" s="247" t="s">
        <v>2477</v>
      </c>
      <c r="J3865" s="247">
        <v>110</v>
      </c>
      <c r="K3865" s="247">
        <v>110</v>
      </c>
      <c r="L3865" s="249" t="s">
        <v>642</v>
      </c>
      <c r="M3865" s="249" t="s">
        <v>929</v>
      </c>
      <c r="N3865" s="248">
        <v>283.02</v>
      </c>
      <c r="O3865" s="248">
        <v>12748.94</v>
      </c>
      <c r="P3865" s="247" t="s">
        <v>1672</v>
      </c>
      <c r="Q3865" s="247" t="s">
        <v>95</v>
      </c>
    </row>
    <row r="3866" spans="1:17" x14ac:dyDescent="0.25">
      <c r="A3866" s="247" t="s">
        <v>646</v>
      </c>
      <c r="B3866" s="247" t="s">
        <v>265</v>
      </c>
      <c r="C3866" s="247" t="s">
        <v>1673</v>
      </c>
      <c r="D3866" s="247" t="s">
        <v>926</v>
      </c>
      <c r="E3866" s="247" t="s">
        <v>926</v>
      </c>
      <c r="F3866" s="247" t="s">
        <v>2478</v>
      </c>
      <c r="G3866" s="247" t="s">
        <v>1674</v>
      </c>
      <c r="H3866" s="247"/>
      <c r="I3866" s="247" t="s">
        <v>2479</v>
      </c>
      <c r="J3866" s="247">
        <v>111</v>
      </c>
      <c r="K3866" s="247">
        <v>111</v>
      </c>
      <c r="L3866" s="249" t="s">
        <v>646</v>
      </c>
      <c r="M3866" s="249" t="s">
        <v>933</v>
      </c>
      <c r="N3866" s="248">
        <v>46794.91</v>
      </c>
      <c r="O3866" s="248">
        <v>3407.42</v>
      </c>
      <c r="P3866" s="247" t="s">
        <v>1675</v>
      </c>
      <c r="Q3866" s="247" t="s">
        <v>84</v>
      </c>
    </row>
    <row r="3867" spans="1:17" x14ac:dyDescent="0.25">
      <c r="A3867" s="247" t="s">
        <v>646</v>
      </c>
      <c r="B3867" s="247" t="s">
        <v>265</v>
      </c>
      <c r="C3867" s="247" t="s">
        <v>1673</v>
      </c>
      <c r="D3867" s="247" t="s">
        <v>926</v>
      </c>
      <c r="E3867" s="247" t="s">
        <v>926</v>
      </c>
      <c r="F3867" s="247" t="s">
        <v>2478</v>
      </c>
      <c r="G3867" s="247" t="s">
        <v>1674</v>
      </c>
      <c r="H3867" s="247"/>
      <c r="I3867" s="247" t="s">
        <v>2479</v>
      </c>
      <c r="J3867" s="247">
        <v>111</v>
      </c>
      <c r="K3867" s="247">
        <v>111</v>
      </c>
      <c r="L3867" s="249" t="s">
        <v>650</v>
      </c>
      <c r="M3867" s="249" t="s">
        <v>933</v>
      </c>
      <c r="N3867" s="248">
        <v>0</v>
      </c>
      <c r="O3867" s="248">
        <v>3407.42</v>
      </c>
      <c r="P3867" s="247" t="s">
        <v>1675</v>
      </c>
      <c r="Q3867" s="247" t="s">
        <v>85</v>
      </c>
    </row>
    <row r="3868" spans="1:17" x14ac:dyDescent="0.25">
      <c r="A3868" s="247" t="s">
        <v>646</v>
      </c>
      <c r="B3868" s="247" t="s">
        <v>265</v>
      </c>
      <c r="C3868" s="247" t="s">
        <v>1673</v>
      </c>
      <c r="D3868" s="247" t="s">
        <v>926</v>
      </c>
      <c r="E3868" s="247" t="s">
        <v>926</v>
      </c>
      <c r="F3868" s="247" t="s">
        <v>2478</v>
      </c>
      <c r="G3868" s="247" t="s">
        <v>1674</v>
      </c>
      <c r="H3868" s="247"/>
      <c r="I3868" s="247" t="s">
        <v>2479</v>
      </c>
      <c r="J3868" s="247">
        <v>111</v>
      </c>
      <c r="K3868" s="247">
        <v>111</v>
      </c>
      <c r="L3868" s="249" t="s">
        <v>652</v>
      </c>
      <c r="M3868" s="249" t="s">
        <v>933</v>
      </c>
      <c r="N3868" s="248">
        <v>-18439.97</v>
      </c>
      <c r="O3868" s="248">
        <v>-15032.55</v>
      </c>
      <c r="P3868" s="247" t="s">
        <v>1675</v>
      </c>
      <c r="Q3868" s="247" t="s">
        <v>86</v>
      </c>
    </row>
    <row r="3869" spans="1:17" x14ac:dyDescent="0.25">
      <c r="A3869" s="247" t="s">
        <v>646</v>
      </c>
      <c r="B3869" s="247" t="s">
        <v>265</v>
      </c>
      <c r="C3869" s="247" t="s">
        <v>1673</v>
      </c>
      <c r="D3869" s="247" t="s">
        <v>926</v>
      </c>
      <c r="E3869" s="247" t="s">
        <v>926</v>
      </c>
      <c r="F3869" s="247" t="s">
        <v>2478</v>
      </c>
      <c r="G3869" s="247" t="s">
        <v>1674</v>
      </c>
      <c r="H3869" s="247"/>
      <c r="I3869" s="247" t="s">
        <v>2479</v>
      </c>
      <c r="J3869" s="247">
        <v>111</v>
      </c>
      <c r="K3869" s="247">
        <v>111</v>
      </c>
      <c r="L3869" s="249" t="s">
        <v>939</v>
      </c>
      <c r="M3869" s="249" t="s">
        <v>929</v>
      </c>
      <c r="N3869" s="248">
        <v>-4590.6000000000004</v>
      </c>
      <c r="O3869" s="248">
        <v>-4590.6000000000004</v>
      </c>
      <c r="P3869" s="247" t="s">
        <v>1675</v>
      </c>
      <c r="Q3869" s="247" t="s">
        <v>93</v>
      </c>
    </row>
    <row r="3870" spans="1:17" x14ac:dyDescent="0.25">
      <c r="A3870" s="247" t="s">
        <v>646</v>
      </c>
      <c r="B3870" s="247" t="s">
        <v>265</v>
      </c>
      <c r="C3870" s="247" t="s">
        <v>1673</v>
      </c>
      <c r="D3870" s="247" t="s">
        <v>926</v>
      </c>
      <c r="E3870" s="247" t="s">
        <v>926</v>
      </c>
      <c r="F3870" s="247" t="s">
        <v>2478</v>
      </c>
      <c r="G3870" s="247" t="s">
        <v>1674</v>
      </c>
      <c r="H3870" s="247"/>
      <c r="I3870" s="247" t="s">
        <v>2479</v>
      </c>
      <c r="J3870" s="247">
        <v>111</v>
      </c>
      <c r="K3870" s="247">
        <v>111</v>
      </c>
      <c r="L3870" s="249" t="s">
        <v>940</v>
      </c>
      <c r="M3870" s="249" t="s">
        <v>929</v>
      </c>
      <c r="N3870" s="248">
        <v>0</v>
      </c>
      <c r="O3870" s="248">
        <v>-4590.6000000000004</v>
      </c>
      <c r="P3870" s="247" t="s">
        <v>1675</v>
      </c>
      <c r="Q3870" s="247" t="s">
        <v>94</v>
      </c>
    </row>
    <row r="3871" spans="1:17" x14ac:dyDescent="0.25">
      <c r="A3871" s="247" t="s">
        <v>646</v>
      </c>
      <c r="B3871" s="247" t="s">
        <v>265</v>
      </c>
      <c r="C3871" s="247" t="s">
        <v>1673</v>
      </c>
      <c r="D3871" s="247" t="s">
        <v>926</v>
      </c>
      <c r="E3871" s="247" t="s">
        <v>926</v>
      </c>
      <c r="F3871" s="247" t="s">
        <v>2478</v>
      </c>
      <c r="G3871" s="247" t="s">
        <v>1674</v>
      </c>
      <c r="H3871" s="247"/>
      <c r="I3871" s="247" t="s">
        <v>2479</v>
      </c>
      <c r="J3871" s="247">
        <v>111</v>
      </c>
      <c r="K3871" s="247">
        <v>111</v>
      </c>
      <c r="L3871" s="249" t="s">
        <v>642</v>
      </c>
      <c r="M3871" s="249" t="s">
        <v>929</v>
      </c>
      <c r="N3871" s="248">
        <v>-6605.54</v>
      </c>
      <c r="O3871" s="248">
        <v>-11196.14</v>
      </c>
      <c r="P3871" s="247" t="s">
        <v>1675</v>
      </c>
      <c r="Q3871" s="247" t="s">
        <v>95</v>
      </c>
    </row>
    <row r="3872" spans="1:17" x14ac:dyDescent="0.25">
      <c r="A3872" s="247" t="s">
        <v>646</v>
      </c>
      <c r="B3872" s="247" t="s">
        <v>265</v>
      </c>
      <c r="C3872" s="247" t="s">
        <v>1676</v>
      </c>
      <c r="D3872" s="247" t="s">
        <v>926</v>
      </c>
      <c r="E3872" s="247" t="s">
        <v>926</v>
      </c>
      <c r="F3872" s="247" t="s">
        <v>2480</v>
      </c>
      <c r="G3872" s="247" t="s">
        <v>1677</v>
      </c>
      <c r="H3872" s="247"/>
      <c r="I3872" s="247" t="s">
        <v>2481</v>
      </c>
      <c r="J3872" s="247">
        <v>112</v>
      </c>
      <c r="K3872" s="247">
        <v>112</v>
      </c>
      <c r="L3872" s="249" t="s">
        <v>646</v>
      </c>
      <c r="M3872" s="249" t="s">
        <v>933</v>
      </c>
      <c r="N3872" s="248">
        <v>1882.05</v>
      </c>
      <c r="O3872" s="248">
        <v>18282.89</v>
      </c>
      <c r="P3872" s="247" t="s">
        <v>1678</v>
      </c>
      <c r="Q3872" s="247" t="s">
        <v>84</v>
      </c>
    </row>
    <row r="3873" spans="1:17" x14ac:dyDescent="0.25">
      <c r="A3873" s="247" t="s">
        <v>646</v>
      </c>
      <c r="B3873" s="247" t="s">
        <v>265</v>
      </c>
      <c r="C3873" s="247" t="s">
        <v>1676</v>
      </c>
      <c r="D3873" s="247" t="s">
        <v>926</v>
      </c>
      <c r="E3873" s="247" t="s">
        <v>926</v>
      </c>
      <c r="F3873" s="247" t="s">
        <v>2480</v>
      </c>
      <c r="G3873" s="247" t="s">
        <v>1677</v>
      </c>
      <c r="H3873" s="247"/>
      <c r="I3873" s="247" t="s">
        <v>2481</v>
      </c>
      <c r="J3873" s="247">
        <v>112</v>
      </c>
      <c r="K3873" s="247">
        <v>112</v>
      </c>
      <c r="L3873" s="249" t="s">
        <v>650</v>
      </c>
      <c r="M3873" s="249" t="s">
        <v>933</v>
      </c>
      <c r="N3873" s="248">
        <v>1250.51</v>
      </c>
      <c r="O3873" s="248">
        <v>19533.400000000001</v>
      </c>
      <c r="P3873" s="247" t="s">
        <v>1678</v>
      </c>
      <c r="Q3873" s="247" t="s">
        <v>85</v>
      </c>
    </row>
    <row r="3874" spans="1:17" x14ac:dyDescent="0.25">
      <c r="A3874" s="247" t="s">
        <v>646</v>
      </c>
      <c r="B3874" s="247" t="s">
        <v>265</v>
      </c>
      <c r="C3874" s="247" t="s">
        <v>1676</v>
      </c>
      <c r="D3874" s="247" t="s">
        <v>926</v>
      </c>
      <c r="E3874" s="247" t="s">
        <v>926</v>
      </c>
      <c r="F3874" s="247" t="s">
        <v>2480</v>
      </c>
      <c r="G3874" s="247" t="s">
        <v>1677</v>
      </c>
      <c r="H3874" s="247"/>
      <c r="I3874" s="247" t="s">
        <v>2481</v>
      </c>
      <c r="J3874" s="247">
        <v>112</v>
      </c>
      <c r="K3874" s="247">
        <v>112</v>
      </c>
      <c r="L3874" s="249" t="s">
        <v>652</v>
      </c>
      <c r="M3874" s="249" t="s">
        <v>933</v>
      </c>
      <c r="N3874" s="248">
        <v>1566.45</v>
      </c>
      <c r="O3874" s="248">
        <v>21099.85</v>
      </c>
      <c r="P3874" s="247" t="s">
        <v>1678</v>
      </c>
      <c r="Q3874" s="247" t="s">
        <v>86</v>
      </c>
    </row>
    <row r="3875" spans="1:17" x14ac:dyDescent="0.25">
      <c r="A3875" s="247" t="s">
        <v>646</v>
      </c>
      <c r="B3875" s="247" t="s">
        <v>265</v>
      </c>
      <c r="C3875" s="247" t="s">
        <v>1676</v>
      </c>
      <c r="D3875" s="247" t="s">
        <v>926</v>
      </c>
      <c r="E3875" s="247" t="s">
        <v>926</v>
      </c>
      <c r="F3875" s="247" t="s">
        <v>2480</v>
      </c>
      <c r="G3875" s="247" t="s">
        <v>1677</v>
      </c>
      <c r="H3875" s="247"/>
      <c r="I3875" s="247" t="s">
        <v>2481</v>
      </c>
      <c r="J3875" s="247">
        <v>112</v>
      </c>
      <c r="K3875" s="247">
        <v>112</v>
      </c>
      <c r="L3875" s="249" t="s">
        <v>789</v>
      </c>
      <c r="M3875" s="249" t="s">
        <v>929</v>
      </c>
      <c r="N3875" s="248">
        <v>968.95</v>
      </c>
      <c r="O3875" s="248">
        <v>968.95</v>
      </c>
      <c r="P3875" s="247" t="s">
        <v>1678</v>
      </c>
      <c r="Q3875" s="247" t="s">
        <v>87</v>
      </c>
    </row>
    <row r="3876" spans="1:17" x14ac:dyDescent="0.25">
      <c r="A3876" s="247" t="s">
        <v>646</v>
      </c>
      <c r="B3876" s="247" t="s">
        <v>265</v>
      </c>
      <c r="C3876" s="247" t="s">
        <v>1676</v>
      </c>
      <c r="D3876" s="247" t="s">
        <v>926</v>
      </c>
      <c r="E3876" s="247" t="s">
        <v>926</v>
      </c>
      <c r="F3876" s="247" t="s">
        <v>2480</v>
      </c>
      <c r="G3876" s="247" t="s">
        <v>1677</v>
      </c>
      <c r="H3876" s="247"/>
      <c r="I3876" s="247" t="s">
        <v>2481</v>
      </c>
      <c r="J3876" s="247">
        <v>112</v>
      </c>
      <c r="K3876" s="247">
        <v>112</v>
      </c>
      <c r="L3876" s="249" t="s">
        <v>791</v>
      </c>
      <c r="M3876" s="249" t="s">
        <v>929</v>
      </c>
      <c r="N3876" s="248">
        <v>2043.99</v>
      </c>
      <c r="O3876" s="248">
        <v>3012.94</v>
      </c>
      <c r="P3876" s="247" t="s">
        <v>1678</v>
      </c>
      <c r="Q3876" s="247" t="s">
        <v>88</v>
      </c>
    </row>
    <row r="3877" spans="1:17" x14ac:dyDescent="0.25">
      <c r="A3877" s="247" t="s">
        <v>646</v>
      </c>
      <c r="B3877" s="247" t="s">
        <v>265</v>
      </c>
      <c r="C3877" s="247" t="s">
        <v>1676</v>
      </c>
      <c r="D3877" s="247" t="s">
        <v>926</v>
      </c>
      <c r="E3877" s="247" t="s">
        <v>926</v>
      </c>
      <c r="F3877" s="247" t="s">
        <v>2480</v>
      </c>
      <c r="G3877" s="247" t="s">
        <v>1677</v>
      </c>
      <c r="H3877" s="247"/>
      <c r="I3877" s="247" t="s">
        <v>2481</v>
      </c>
      <c r="J3877" s="247">
        <v>112</v>
      </c>
      <c r="K3877" s="247">
        <v>112</v>
      </c>
      <c r="L3877" s="249" t="s">
        <v>935</v>
      </c>
      <c r="M3877" s="249" t="s">
        <v>929</v>
      </c>
      <c r="N3877" s="248">
        <v>2965.34</v>
      </c>
      <c r="O3877" s="248">
        <v>5978.28</v>
      </c>
      <c r="P3877" s="247" t="s">
        <v>1678</v>
      </c>
      <c r="Q3877" s="247" t="s">
        <v>89</v>
      </c>
    </row>
    <row r="3878" spans="1:17" x14ac:dyDescent="0.25">
      <c r="A3878" s="247" t="s">
        <v>646</v>
      </c>
      <c r="B3878" s="247" t="s">
        <v>265</v>
      </c>
      <c r="C3878" s="247" t="s">
        <v>1676</v>
      </c>
      <c r="D3878" s="247" t="s">
        <v>926</v>
      </c>
      <c r="E3878" s="247" t="s">
        <v>926</v>
      </c>
      <c r="F3878" s="247" t="s">
        <v>2480</v>
      </c>
      <c r="G3878" s="247" t="s">
        <v>1677</v>
      </c>
      <c r="H3878" s="247"/>
      <c r="I3878" s="247" t="s">
        <v>2481</v>
      </c>
      <c r="J3878" s="247">
        <v>112</v>
      </c>
      <c r="K3878" s="247">
        <v>112</v>
      </c>
      <c r="L3878" s="249" t="s">
        <v>936</v>
      </c>
      <c r="M3878" s="249" t="s">
        <v>929</v>
      </c>
      <c r="N3878" s="248">
        <v>3430.55</v>
      </c>
      <c r="O3878" s="248">
        <v>9408.83</v>
      </c>
      <c r="P3878" s="247" t="s">
        <v>1678</v>
      </c>
      <c r="Q3878" s="247" t="s">
        <v>90</v>
      </c>
    </row>
    <row r="3879" spans="1:17" x14ac:dyDescent="0.25">
      <c r="A3879" s="247" t="s">
        <v>646</v>
      </c>
      <c r="B3879" s="247" t="s">
        <v>265</v>
      </c>
      <c r="C3879" s="247" t="s">
        <v>1676</v>
      </c>
      <c r="D3879" s="247" t="s">
        <v>926</v>
      </c>
      <c r="E3879" s="247" t="s">
        <v>926</v>
      </c>
      <c r="F3879" s="247" t="s">
        <v>2480</v>
      </c>
      <c r="G3879" s="247" t="s">
        <v>1677</v>
      </c>
      <c r="H3879" s="247"/>
      <c r="I3879" s="247" t="s">
        <v>2481</v>
      </c>
      <c r="J3879" s="247">
        <v>112</v>
      </c>
      <c r="K3879" s="247">
        <v>112</v>
      </c>
      <c r="L3879" s="249" t="s">
        <v>937</v>
      </c>
      <c r="M3879" s="249" t="s">
        <v>929</v>
      </c>
      <c r="N3879" s="248">
        <v>2034.34</v>
      </c>
      <c r="O3879" s="248">
        <v>11443.17</v>
      </c>
      <c r="P3879" s="247" t="s">
        <v>1678</v>
      </c>
      <c r="Q3879" s="247" t="s">
        <v>91</v>
      </c>
    </row>
    <row r="3880" spans="1:17" x14ac:dyDescent="0.25">
      <c r="A3880" s="247" t="s">
        <v>646</v>
      </c>
      <c r="B3880" s="247" t="s">
        <v>265</v>
      </c>
      <c r="C3880" s="247" t="s">
        <v>1676</v>
      </c>
      <c r="D3880" s="247" t="s">
        <v>926</v>
      </c>
      <c r="E3880" s="247" t="s">
        <v>926</v>
      </c>
      <c r="F3880" s="247" t="s">
        <v>2480</v>
      </c>
      <c r="G3880" s="247" t="s">
        <v>1677</v>
      </c>
      <c r="H3880" s="247"/>
      <c r="I3880" s="247" t="s">
        <v>2481</v>
      </c>
      <c r="J3880" s="247">
        <v>112</v>
      </c>
      <c r="K3880" s="247">
        <v>112</v>
      </c>
      <c r="L3880" s="249" t="s">
        <v>938</v>
      </c>
      <c r="M3880" s="249" t="s">
        <v>929</v>
      </c>
      <c r="N3880" s="248">
        <v>2258.6999999999998</v>
      </c>
      <c r="O3880" s="248">
        <v>13701.87</v>
      </c>
      <c r="P3880" s="247" t="s">
        <v>1678</v>
      </c>
      <c r="Q3880" s="247" t="s">
        <v>92</v>
      </c>
    </row>
    <row r="3881" spans="1:17" x14ac:dyDescent="0.25">
      <c r="A3881" s="247" t="s">
        <v>646</v>
      </c>
      <c r="B3881" s="247" t="s">
        <v>265</v>
      </c>
      <c r="C3881" s="247" t="s">
        <v>1676</v>
      </c>
      <c r="D3881" s="247" t="s">
        <v>926</v>
      </c>
      <c r="E3881" s="247" t="s">
        <v>926</v>
      </c>
      <c r="F3881" s="247" t="s">
        <v>2480</v>
      </c>
      <c r="G3881" s="247" t="s">
        <v>1677</v>
      </c>
      <c r="H3881" s="247"/>
      <c r="I3881" s="247" t="s">
        <v>2481</v>
      </c>
      <c r="J3881" s="247">
        <v>112</v>
      </c>
      <c r="K3881" s="247">
        <v>112</v>
      </c>
      <c r="L3881" s="249" t="s">
        <v>939</v>
      </c>
      <c r="M3881" s="249" t="s">
        <v>929</v>
      </c>
      <c r="N3881" s="248">
        <v>2318.06</v>
      </c>
      <c r="O3881" s="248">
        <v>16019.93</v>
      </c>
      <c r="P3881" s="247" t="s">
        <v>1678</v>
      </c>
      <c r="Q3881" s="247" t="s">
        <v>93</v>
      </c>
    </row>
    <row r="3882" spans="1:17" x14ac:dyDescent="0.25">
      <c r="A3882" s="247" t="s">
        <v>646</v>
      </c>
      <c r="B3882" s="247" t="s">
        <v>265</v>
      </c>
      <c r="C3882" s="247" t="s">
        <v>1676</v>
      </c>
      <c r="D3882" s="247" t="s">
        <v>926</v>
      </c>
      <c r="E3882" s="247" t="s">
        <v>926</v>
      </c>
      <c r="F3882" s="247" t="s">
        <v>2480</v>
      </c>
      <c r="G3882" s="247" t="s">
        <v>1677</v>
      </c>
      <c r="H3882" s="247"/>
      <c r="I3882" s="247" t="s">
        <v>2481</v>
      </c>
      <c r="J3882" s="247">
        <v>112</v>
      </c>
      <c r="K3882" s="247">
        <v>112</v>
      </c>
      <c r="L3882" s="249" t="s">
        <v>940</v>
      </c>
      <c r="M3882" s="249" t="s">
        <v>929</v>
      </c>
      <c r="N3882" s="248">
        <v>1850.98</v>
      </c>
      <c r="O3882" s="248">
        <v>17870.91</v>
      </c>
      <c r="P3882" s="247" t="s">
        <v>1678</v>
      </c>
      <c r="Q3882" s="247" t="s">
        <v>94</v>
      </c>
    </row>
    <row r="3883" spans="1:17" x14ac:dyDescent="0.25">
      <c r="A3883" s="247" t="s">
        <v>646</v>
      </c>
      <c r="B3883" s="247" t="s">
        <v>265</v>
      </c>
      <c r="C3883" s="247" t="s">
        <v>1676</v>
      </c>
      <c r="D3883" s="247" t="s">
        <v>926</v>
      </c>
      <c r="E3883" s="247" t="s">
        <v>926</v>
      </c>
      <c r="F3883" s="247" t="s">
        <v>2480</v>
      </c>
      <c r="G3883" s="247" t="s">
        <v>1677</v>
      </c>
      <c r="H3883" s="247"/>
      <c r="I3883" s="247" t="s">
        <v>2481</v>
      </c>
      <c r="J3883" s="247">
        <v>112</v>
      </c>
      <c r="K3883" s="247">
        <v>112</v>
      </c>
      <c r="L3883" s="249" t="s">
        <v>642</v>
      </c>
      <c r="M3883" s="249" t="s">
        <v>929</v>
      </c>
      <c r="N3883" s="248">
        <v>1396.21</v>
      </c>
      <c r="O3883" s="248">
        <v>19267.12</v>
      </c>
      <c r="P3883" s="247" t="s">
        <v>1678</v>
      </c>
      <c r="Q3883" s="247" t="s">
        <v>95</v>
      </c>
    </row>
    <row r="3884" spans="1:17" x14ac:dyDescent="0.25">
      <c r="A3884" s="247" t="s">
        <v>646</v>
      </c>
      <c r="B3884" s="247" t="s">
        <v>265</v>
      </c>
      <c r="C3884" s="247" t="s">
        <v>1679</v>
      </c>
      <c r="D3884" s="247" t="s">
        <v>926</v>
      </c>
      <c r="E3884" s="247" t="s">
        <v>926</v>
      </c>
      <c r="F3884" s="247" t="s">
        <v>2482</v>
      </c>
      <c r="G3884" s="247" t="s">
        <v>335</v>
      </c>
      <c r="H3884" s="247"/>
      <c r="I3884" s="247" t="s">
        <v>2483</v>
      </c>
      <c r="J3884" s="247">
        <v>114</v>
      </c>
      <c r="K3884" s="247">
        <v>114</v>
      </c>
      <c r="L3884" s="249" t="s">
        <v>646</v>
      </c>
      <c r="M3884" s="249" t="s">
        <v>933</v>
      </c>
      <c r="N3884" s="248">
        <v>0</v>
      </c>
      <c r="O3884" s="248">
        <v>-553.15</v>
      </c>
      <c r="P3884" s="247" t="s">
        <v>1680</v>
      </c>
      <c r="Q3884" s="247" t="s">
        <v>84</v>
      </c>
    </row>
    <row r="3885" spans="1:17" x14ac:dyDescent="0.25">
      <c r="A3885" s="247" t="s">
        <v>646</v>
      </c>
      <c r="B3885" s="247" t="s">
        <v>265</v>
      </c>
      <c r="C3885" s="247" t="s">
        <v>1679</v>
      </c>
      <c r="D3885" s="247" t="s">
        <v>926</v>
      </c>
      <c r="E3885" s="247" t="s">
        <v>926</v>
      </c>
      <c r="F3885" s="247" t="s">
        <v>2482</v>
      </c>
      <c r="G3885" s="247" t="s">
        <v>335</v>
      </c>
      <c r="H3885" s="247"/>
      <c r="I3885" s="247" t="s">
        <v>2483</v>
      </c>
      <c r="J3885" s="247">
        <v>114</v>
      </c>
      <c r="K3885" s="247">
        <v>114</v>
      </c>
      <c r="L3885" s="249" t="s">
        <v>650</v>
      </c>
      <c r="M3885" s="249" t="s">
        <v>933</v>
      </c>
      <c r="N3885" s="248">
        <v>0</v>
      </c>
      <c r="O3885" s="248">
        <v>-553.15</v>
      </c>
      <c r="P3885" s="247" t="s">
        <v>1680</v>
      </c>
      <c r="Q3885" s="247" t="s">
        <v>85</v>
      </c>
    </row>
    <row r="3886" spans="1:17" x14ac:dyDescent="0.25">
      <c r="A3886" s="247" t="s">
        <v>646</v>
      </c>
      <c r="B3886" s="247" t="s">
        <v>265</v>
      </c>
      <c r="C3886" s="247" t="s">
        <v>1679</v>
      </c>
      <c r="D3886" s="247" t="s">
        <v>926</v>
      </c>
      <c r="E3886" s="247" t="s">
        <v>926</v>
      </c>
      <c r="F3886" s="247" t="s">
        <v>2482</v>
      </c>
      <c r="G3886" s="247" t="s">
        <v>335</v>
      </c>
      <c r="H3886" s="247"/>
      <c r="I3886" s="247" t="s">
        <v>2483</v>
      </c>
      <c r="J3886" s="247">
        <v>114</v>
      </c>
      <c r="K3886" s="247">
        <v>114</v>
      </c>
      <c r="L3886" s="249" t="s">
        <v>652</v>
      </c>
      <c r="M3886" s="249" t="s">
        <v>933</v>
      </c>
      <c r="N3886" s="248">
        <v>-451.78</v>
      </c>
      <c r="O3886" s="248">
        <v>-1004.93</v>
      </c>
      <c r="P3886" s="247" t="s">
        <v>1680</v>
      </c>
      <c r="Q3886" s="247" t="s">
        <v>86</v>
      </c>
    </row>
    <row r="3887" spans="1:17" x14ac:dyDescent="0.25">
      <c r="A3887" s="247" t="s">
        <v>646</v>
      </c>
      <c r="B3887" s="247" t="s">
        <v>265</v>
      </c>
      <c r="C3887" s="247" t="s">
        <v>1681</v>
      </c>
      <c r="D3887" s="247" t="s">
        <v>926</v>
      </c>
      <c r="E3887" s="247" t="s">
        <v>926</v>
      </c>
      <c r="F3887" s="247" t="s">
        <v>2484</v>
      </c>
      <c r="G3887" s="247" t="s">
        <v>1682</v>
      </c>
      <c r="H3887" s="247"/>
      <c r="I3887" s="247" t="s">
        <v>2485</v>
      </c>
      <c r="J3887" s="247">
        <v>115</v>
      </c>
      <c r="K3887" s="247">
        <v>115</v>
      </c>
      <c r="L3887" s="249" t="s">
        <v>642</v>
      </c>
      <c r="M3887" s="249" t="s">
        <v>929</v>
      </c>
      <c r="N3887" s="248">
        <v>1027.33</v>
      </c>
      <c r="O3887" s="248">
        <v>1027.33</v>
      </c>
      <c r="P3887" s="247" t="s">
        <v>1683</v>
      </c>
      <c r="Q3887" s="247" t="s">
        <v>95</v>
      </c>
    </row>
    <row r="3888" spans="1:17" x14ac:dyDescent="0.25">
      <c r="A3888" s="247" t="s">
        <v>646</v>
      </c>
      <c r="B3888" s="247" t="s">
        <v>265</v>
      </c>
      <c r="C3888" s="247" t="s">
        <v>1684</v>
      </c>
      <c r="D3888" s="247" t="s">
        <v>926</v>
      </c>
      <c r="E3888" s="247" t="s">
        <v>926</v>
      </c>
      <c r="F3888" s="247" t="s">
        <v>2486</v>
      </c>
      <c r="G3888" s="247" t="s">
        <v>336</v>
      </c>
      <c r="H3888" s="247"/>
      <c r="I3888" s="247" t="s">
        <v>2487</v>
      </c>
      <c r="J3888" s="247">
        <v>115</v>
      </c>
      <c r="K3888" s="247">
        <v>115</v>
      </c>
      <c r="L3888" s="249" t="s">
        <v>650</v>
      </c>
      <c r="M3888" s="249" t="s">
        <v>933</v>
      </c>
      <c r="N3888" s="248">
        <v>49.31</v>
      </c>
      <c r="O3888" s="248">
        <v>49.31</v>
      </c>
      <c r="P3888" s="247" t="s">
        <v>1685</v>
      </c>
      <c r="Q3888" s="247" t="s">
        <v>85</v>
      </c>
    </row>
    <row r="3889" spans="1:17" x14ac:dyDescent="0.25">
      <c r="A3889" s="247" t="s">
        <v>646</v>
      </c>
      <c r="B3889" s="247" t="s">
        <v>265</v>
      </c>
      <c r="C3889" s="247" t="s">
        <v>1684</v>
      </c>
      <c r="D3889" s="247" t="s">
        <v>926</v>
      </c>
      <c r="E3889" s="247" t="s">
        <v>926</v>
      </c>
      <c r="F3889" s="247" t="s">
        <v>2486</v>
      </c>
      <c r="G3889" s="247" t="s">
        <v>336</v>
      </c>
      <c r="H3889" s="247"/>
      <c r="I3889" s="247" t="s">
        <v>2487</v>
      </c>
      <c r="J3889" s="247">
        <v>115</v>
      </c>
      <c r="K3889" s="247">
        <v>115</v>
      </c>
      <c r="L3889" s="249" t="s">
        <v>652</v>
      </c>
      <c r="M3889" s="249" t="s">
        <v>933</v>
      </c>
      <c r="N3889" s="248">
        <v>0</v>
      </c>
      <c r="O3889" s="248">
        <v>49.31</v>
      </c>
      <c r="P3889" s="247" t="s">
        <v>1685</v>
      </c>
      <c r="Q3889" s="247" t="s">
        <v>86</v>
      </c>
    </row>
  </sheetData>
  <pageMargins left="0.25" right="0.25" top="0.75" bottom="0.75" header="0.3" footer="0.3"/>
  <pageSetup scale="47" fitToHeight="0" orientation="landscape" r:id="rId1"/>
  <headerFooter>
    <oddHeader>&amp;CBasin Disposal, Inc.
General Ledger 10-1-15 to 9-30-16</oddHeader>
    <oddFooter>&amp;L&amp;D&amp;C&amp;A&amp;RPage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9"/>
  <sheetViews>
    <sheetView workbookViewId="0">
      <selection activeCell="D22" sqref="D22"/>
    </sheetView>
  </sheetViews>
  <sheetFormatPr defaultRowHeight="15.75" x14ac:dyDescent="0.25"/>
  <cols>
    <col min="1" max="1" width="9" bestFit="1" customWidth="1"/>
    <col min="2" max="2" width="20.44140625" customWidth="1"/>
    <col min="3" max="3" width="19.5546875" bestFit="1" customWidth="1"/>
    <col min="4" max="4" width="11.77734375" customWidth="1"/>
    <col min="5" max="5" width="12" bestFit="1" customWidth="1"/>
    <col min="6" max="6" width="8.88671875" customWidth="1"/>
    <col min="7" max="15" width="7.77734375" customWidth="1"/>
  </cols>
  <sheetData>
    <row r="1" spans="1:19" x14ac:dyDescent="0.25">
      <c r="A1" s="247"/>
      <c r="B1" s="247" t="s">
        <v>345</v>
      </c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</row>
    <row r="2" spans="1:19" x14ac:dyDescent="0.25">
      <c r="A2" s="247"/>
      <c r="B2" s="247" t="s">
        <v>346</v>
      </c>
      <c r="C2" s="247"/>
      <c r="D2" s="247"/>
      <c r="E2" s="303" t="s">
        <v>347</v>
      </c>
      <c r="F2" s="304" t="s">
        <v>348</v>
      </c>
      <c r="G2" s="304" t="s">
        <v>349</v>
      </c>
      <c r="H2" s="304" t="s">
        <v>350</v>
      </c>
      <c r="I2" s="304" t="s">
        <v>351</v>
      </c>
      <c r="J2" s="304" t="s">
        <v>352</v>
      </c>
      <c r="K2" s="304" t="s">
        <v>353</v>
      </c>
      <c r="L2" s="304" t="s">
        <v>354</v>
      </c>
      <c r="M2" s="304" t="s">
        <v>355</v>
      </c>
      <c r="N2" s="304" t="s">
        <v>356</v>
      </c>
      <c r="O2" s="304" t="s">
        <v>357</v>
      </c>
      <c r="P2" s="304" t="s">
        <v>82</v>
      </c>
      <c r="Q2" s="247"/>
      <c r="R2" s="247"/>
    </row>
    <row r="3" spans="1:19" x14ac:dyDescent="0.25">
      <c r="A3" s="247"/>
      <c r="B3" s="247"/>
      <c r="C3" s="247"/>
      <c r="D3" s="247"/>
      <c r="E3" s="305">
        <f t="shared" ref="E3:N3" si="0">SUMIFS($Q:$Q,$B:$B,E$2,$C:$C,"Adjusted Tariff Customers")/SUMIFS($Q:$Q,$B:$B,"ALL",$C:$C,"Adjusted Tariff Customers")</f>
        <v>0.69977664795607908</v>
      </c>
      <c r="F3" s="305">
        <f t="shared" si="0"/>
        <v>3.1229438586430694E-3</v>
      </c>
      <c r="G3" s="305">
        <f t="shared" si="0"/>
        <v>6.0666187284774925E-4</v>
      </c>
      <c r="H3" s="305">
        <f t="shared" si="0"/>
        <v>3.6661559202089648E-4</v>
      </c>
      <c r="I3" s="305">
        <f t="shared" si="0"/>
        <v>2.22955369994302E-2</v>
      </c>
      <c r="J3" s="305">
        <f t="shared" si="0"/>
        <v>3.7835665979714108E-6</v>
      </c>
      <c r="K3" s="305">
        <f t="shared" si="0"/>
        <v>7.4255647457353901E-3</v>
      </c>
      <c r="L3" s="305">
        <f t="shared" si="0"/>
        <v>4.278132803277674E-2</v>
      </c>
      <c r="M3" s="305">
        <f t="shared" si="0"/>
        <v>2.1591553385756851E-3</v>
      </c>
      <c r="N3" s="305">
        <f t="shared" si="0"/>
        <v>0</v>
      </c>
      <c r="O3" s="305">
        <f>SUMIFS($Q:$Q,$B:$B,O$2,$C:$C,"Unique to Tariff")/SUMIFS($Q:$Q,$B:$B,"ALL",$C:$C,"Adjusted Tariff Customers")</f>
        <v>0.22146176203729326</v>
      </c>
      <c r="P3" s="305">
        <f>SUM(E3:O3)</f>
        <v>1.0000000000000002</v>
      </c>
      <c r="Q3" s="247"/>
      <c r="R3" s="247"/>
    </row>
    <row r="4" spans="1:19" x14ac:dyDescent="0.2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</row>
    <row r="5" spans="1:19" x14ac:dyDescent="0.2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19" x14ac:dyDescent="0.25">
      <c r="A6" s="247"/>
      <c r="B6" s="247" t="s">
        <v>358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</row>
    <row r="7" spans="1:19" x14ac:dyDescent="0.25">
      <c r="A7" s="247"/>
      <c r="B7" s="306" t="s">
        <v>359</v>
      </c>
      <c r="C7" s="306"/>
      <c r="D7" s="307">
        <v>0.105</v>
      </c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</row>
    <row r="8" spans="1:19" x14ac:dyDescent="0.25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</row>
    <row r="9" spans="1:19" x14ac:dyDescent="0.25">
      <c r="A9" s="247"/>
      <c r="B9" s="247"/>
      <c r="C9" s="247"/>
      <c r="D9" s="247"/>
      <c r="E9" s="308">
        <v>2015</v>
      </c>
      <c r="F9" s="308">
        <v>2015</v>
      </c>
      <c r="G9" s="308">
        <v>2015</v>
      </c>
      <c r="H9" s="308">
        <v>2016</v>
      </c>
      <c r="I9" s="308">
        <v>2016</v>
      </c>
      <c r="J9" s="308">
        <v>2016</v>
      </c>
      <c r="K9" s="308">
        <v>2016</v>
      </c>
      <c r="L9" s="308">
        <v>2016</v>
      </c>
      <c r="M9" s="308">
        <v>2016</v>
      </c>
      <c r="N9" s="308">
        <v>2016</v>
      </c>
      <c r="O9" s="308">
        <v>2016</v>
      </c>
      <c r="P9" s="308">
        <v>2016</v>
      </c>
      <c r="Q9" s="308"/>
      <c r="R9" s="247"/>
    </row>
    <row r="10" spans="1:19" x14ac:dyDescent="0.25">
      <c r="A10" s="247"/>
      <c r="B10" s="247"/>
      <c r="C10" s="247"/>
      <c r="D10" s="247"/>
      <c r="E10" s="308">
        <v>10</v>
      </c>
      <c r="F10" s="308">
        <v>11</v>
      </c>
      <c r="G10" s="308">
        <v>12</v>
      </c>
      <c r="H10" s="308">
        <v>1</v>
      </c>
      <c r="I10" s="308">
        <v>2</v>
      </c>
      <c r="J10" s="308">
        <v>3</v>
      </c>
      <c r="K10" s="308">
        <v>4</v>
      </c>
      <c r="L10" s="308">
        <v>5</v>
      </c>
      <c r="M10" s="308">
        <v>6</v>
      </c>
      <c r="N10" s="308">
        <v>7</v>
      </c>
      <c r="O10" s="308">
        <v>8</v>
      </c>
      <c r="P10" s="308">
        <v>9</v>
      </c>
      <c r="Q10" s="308"/>
      <c r="R10" s="247"/>
    </row>
    <row r="11" spans="1:19" x14ac:dyDescent="0.25">
      <c r="A11" s="247"/>
      <c r="B11" s="247"/>
      <c r="C11" s="247"/>
      <c r="D11" s="247"/>
      <c r="E11" s="309" t="s">
        <v>360</v>
      </c>
      <c r="F11" s="309" t="s">
        <v>361</v>
      </c>
      <c r="G11" s="309" t="s">
        <v>362</v>
      </c>
      <c r="H11" s="309" t="s">
        <v>363</v>
      </c>
      <c r="I11" s="309" t="s">
        <v>364</v>
      </c>
      <c r="J11" s="309" t="s">
        <v>365</v>
      </c>
      <c r="K11" s="309" t="s">
        <v>366</v>
      </c>
      <c r="L11" s="309" t="s">
        <v>367</v>
      </c>
      <c r="M11" s="309" t="s">
        <v>368</v>
      </c>
      <c r="N11" s="309" t="s">
        <v>369</v>
      </c>
      <c r="O11" s="309" t="s">
        <v>370</v>
      </c>
      <c r="P11" s="309" t="s">
        <v>371</v>
      </c>
      <c r="Q11" s="308" t="s">
        <v>82</v>
      </c>
      <c r="R11" s="247"/>
    </row>
    <row r="12" spans="1:19" x14ac:dyDescent="0.25">
      <c r="A12" s="247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</row>
    <row r="13" spans="1:19" x14ac:dyDescent="0.25">
      <c r="A13" s="247"/>
      <c r="B13" s="247" t="s">
        <v>372</v>
      </c>
      <c r="C13" s="247" t="s">
        <v>373</v>
      </c>
      <c r="D13" s="247" t="s">
        <v>374</v>
      </c>
      <c r="E13" s="310">
        <v>1199</v>
      </c>
      <c r="F13" s="310">
        <v>1169</v>
      </c>
      <c r="G13" s="310">
        <v>1189</v>
      </c>
      <c r="H13" s="310">
        <v>1183</v>
      </c>
      <c r="I13" s="310">
        <v>1180</v>
      </c>
      <c r="J13" s="310">
        <v>1161</v>
      </c>
      <c r="K13" s="310">
        <v>1187</v>
      </c>
      <c r="L13" s="310">
        <v>1150</v>
      </c>
      <c r="M13" s="310">
        <v>1203</v>
      </c>
      <c r="N13" s="310">
        <v>1186</v>
      </c>
      <c r="O13" s="310">
        <v>1200</v>
      </c>
      <c r="P13" s="310">
        <v>1161</v>
      </c>
      <c r="Q13" s="310">
        <f>SUM(E13:P13)</f>
        <v>14168</v>
      </c>
      <c r="R13" s="247"/>
    </row>
    <row r="14" spans="1:19" x14ac:dyDescent="0.25">
      <c r="A14" s="247"/>
      <c r="B14" s="247" t="s">
        <v>375</v>
      </c>
      <c r="C14" s="247" t="s">
        <v>373</v>
      </c>
      <c r="D14" s="247" t="s">
        <v>374</v>
      </c>
      <c r="E14" s="310">
        <v>3369</v>
      </c>
      <c r="F14" s="310">
        <v>3335</v>
      </c>
      <c r="G14" s="310">
        <v>3287</v>
      </c>
      <c r="H14" s="310">
        <v>3295</v>
      </c>
      <c r="I14" s="310">
        <v>3259</v>
      </c>
      <c r="J14" s="310">
        <v>3309</v>
      </c>
      <c r="K14" s="310">
        <v>3385</v>
      </c>
      <c r="L14" s="310">
        <v>3411</v>
      </c>
      <c r="M14" s="310">
        <v>3494</v>
      </c>
      <c r="N14" s="310">
        <v>3422</v>
      </c>
      <c r="O14" s="310">
        <v>3473</v>
      </c>
      <c r="P14" s="310">
        <v>3464</v>
      </c>
      <c r="Q14" s="310">
        <f>SUM(E14:P14)</f>
        <v>40503</v>
      </c>
      <c r="R14" s="247"/>
    </row>
    <row r="15" spans="1:19" x14ac:dyDescent="0.25">
      <c r="A15" s="247"/>
      <c r="B15" s="247" t="s">
        <v>376</v>
      </c>
      <c r="C15" s="247" t="s">
        <v>373</v>
      </c>
      <c r="D15" s="247" t="s">
        <v>374</v>
      </c>
      <c r="E15" s="310">
        <v>1627</v>
      </c>
      <c r="F15" s="310">
        <v>1614</v>
      </c>
      <c r="G15" s="310">
        <v>1639</v>
      </c>
      <c r="H15" s="310">
        <v>1584</v>
      </c>
      <c r="I15" s="310">
        <v>1568</v>
      </c>
      <c r="J15" s="310">
        <v>1578</v>
      </c>
      <c r="K15" s="310">
        <v>1534</v>
      </c>
      <c r="L15" s="310">
        <v>1571</v>
      </c>
      <c r="M15" s="310">
        <v>1590</v>
      </c>
      <c r="N15" s="310">
        <v>1562</v>
      </c>
      <c r="O15" s="310">
        <v>1606</v>
      </c>
      <c r="P15" s="310">
        <v>1607</v>
      </c>
      <c r="Q15" s="310">
        <f>SUM(E15:P15)</f>
        <v>19080</v>
      </c>
      <c r="R15" s="247"/>
    </row>
    <row r="16" spans="1:19" x14ac:dyDescent="0.25">
      <c r="A16" s="247"/>
      <c r="B16" s="247" t="s">
        <v>357</v>
      </c>
      <c r="C16" s="247" t="s">
        <v>373</v>
      </c>
      <c r="D16" s="247"/>
      <c r="E16" s="310">
        <f>SUM(E13:E15)</f>
        <v>6195</v>
      </c>
      <c r="F16" s="310">
        <f t="shared" ref="F16:P16" si="1">SUM(F13:F15)</f>
        <v>6118</v>
      </c>
      <c r="G16" s="310">
        <f t="shared" si="1"/>
        <v>6115</v>
      </c>
      <c r="H16" s="310">
        <f t="shared" si="1"/>
        <v>6062</v>
      </c>
      <c r="I16" s="310">
        <f t="shared" si="1"/>
        <v>6007</v>
      </c>
      <c r="J16" s="310">
        <f t="shared" si="1"/>
        <v>6048</v>
      </c>
      <c r="K16" s="310">
        <f t="shared" si="1"/>
        <v>6106</v>
      </c>
      <c r="L16" s="310">
        <f t="shared" si="1"/>
        <v>6132</v>
      </c>
      <c r="M16" s="310">
        <f t="shared" si="1"/>
        <v>6287</v>
      </c>
      <c r="N16" s="310">
        <f t="shared" si="1"/>
        <v>6170</v>
      </c>
      <c r="O16" s="310">
        <f t="shared" si="1"/>
        <v>6279</v>
      </c>
      <c r="P16" s="310">
        <f t="shared" si="1"/>
        <v>6232</v>
      </c>
      <c r="Q16" s="310">
        <f>SUM(Q13:Q15)</f>
        <v>73751</v>
      </c>
      <c r="R16" s="247"/>
      <c r="S16" s="552"/>
    </row>
    <row r="17" spans="1:18" x14ac:dyDescent="0.25">
      <c r="A17" s="247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</row>
    <row r="18" spans="1:18" x14ac:dyDescent="0.25">
      <c r="A18" s="247" t="s">
        <v>347</v>
      </c>
      <c r="B18" s="247" t="s">
        <v>377</v>
      </c>
      <c r="C18" s="247"/>
      <c r="D18" s="247" t="s">
        <v>374</v>
      </c>
      <c r="E18" s="310">
        <v>19393</v>
      </c>
      <c r="F18" s="310">
        <v>19277</v>
      </c>
      <c r="G18" s="310">
        <v>19228</v>
      </c>
      <c r="H18" s="310">
        <v>19086</v>
      </c>
      <c r="I18" s="310">
        <v>19195</v>
      </c>
      <c r="J18" s="310">
        <v>19277</v>
      </c>
      <c r="K18" s="310">
        <v>19476</v>
      </c>
      <c r="L18" s="310">
        <v>19490</v>
      </c>
      <c r="M18" s="310">
        <v>19577</v>
      </c>
      <c r="N18" s="310">
        <v>19595</v>
      </c>
      <c r="O18" s="310">
        <v>19745</v>
      </c>
      <c r="P18" s="310">
        <v>19700</v>
      </c>
      <c r="Q18" s="310">
        <f>SUM(E18:P18)</f>
        <v>233039</v>
      </c>
      <c r="R18" s="247"/>
    </row>
    <row r="19" spans="1:18" x14ac:dyDescent="0.25">
      <c r="A19" s="247"/>
      <c r="B19" s="247" t="s">
        <v>377</v>
      </c>
      <c r="C19" s="247"/>
      <c r="D19" s="247" t="s">
        <v>378</v>
      </c>
      <c r="E19" s="310">
        <v>0</v>
      </c>
      <c r="F19" s="310">
        <v>0</v>
      </c>
      <c r="G19" s="310">
        <v>0</v>
      </c>
      <c r="H19" s="310">
        <v>0</v>
      </c>
      <c r="I19" s="310">
        <v>0</v>
      </c>
      <c r="J19" s="310">
        <v>0</v>
      </c>
      <c r="K19" s="310">
        <v>0</v>
      </c>
      <c r="L19" s="310">
        <v>0</v>
      </c>
      <c r="M19" s="310">
        <v>0</v>
      </c>
      <c r="N19" s="310">
        <v>0</v>
      </c>
      <c r="O19" s="310">
        <v>0</v>
      </c>
      <c r="P19" s="310">
        <v>0</v>
      </c>
      <c r="Q19" s="310">
        <f>SUM(E19:P19)</f>
        <v>0</v>
      </c>
      <c r="R19" s="247"/>
    </row>
    <row r="20" spans="1:18" x14ac:dyDescent="0.25">
      <c r="A20" s="247"/>
      <c r="B20" s="247" t="s">
        <v>377</v>
      </c>
      <c r="C20" s="247" t="s">
        <v>373</v>
      </c>
      <c r="D20" s="247"/>
      <c r="E20" s="310">
        <f>SUM(E18:E19)</f>
        <v>19393</v>
      </c>
      <c r="F20" s="310">
        <f t="shared" ref="F20:P20" si="2">SUM(F18:F19)</f>
        <v>19277</v>
      </c>
      <c r="G20" s="310">
        <f t="shared" si="2"/>
        <v>19228</v>
      </c>
      <c r="H20" s="310">
        <f t="shared" si="2"/>
        <v>19086</v>
      </c>
      <c r="I20" s="310">
        <f t="shared" si="2"/>
        <v>19195</v>
      </c>
      <c r="J20" s="310">
        <f t="shared" si="2"/>
        <v>19277</v>
      </c>
      <c r="K20" s="310">
        <f t="shared" si="2"/>
        <v>19476</v>
      </c>
      <c r="L20" s="310">
        <f t="shared" si="2"/>
        <v>19490</v>
      </c>
      <c r="M20" s="310">
        <f t="shared" si="2"/>
        <v>19577</v>
      </c>
      <c r="N20" s="310">
        <f t="shared" si="2"/>
        <v>19595</v>
      </c>
      <c r="O20" s="310">
        <f t="shared" si="2"/>
        <v>19745</v>
      </c>
      <c r="P20" s="310">
        <f t="shared" si="2"/>
        <v>19700</v>
      </c>
      <c r="Q20" s="310">
        <f>SUM(E20:P20)</f>
        <v>233039</v>
      </c>
      <c r="R20" s="247"/>
    </row>
    <row r="21" spans="1:18" x14ac:dyDescent="0.25">
      <c r="A21" s="247"/>
      <c r="B21" s="247" t="s">
        <v>377</v>
      </c>
      <c r="C21" s="247" t="s">
        <v>379</v>
      </c>
      <c r="D21" s="247"/>
      <c r="E21" s="310">
        <f>+E18+(E19*$D$7)</f>
        <v>19393</v>
      </c>
      <c r="F21" s="310">
        <f t="shared" ref="F21:P21" si="3">+F18+(F19*$D$7)</f>
        <v>19277</v>
      </c>
      <c r="G21" s="310">
        <f t="shared" si="3"/>
        <v>19228</v>
      </c>
      <c r="H21" s="310">
        <f t="shared" si="3"/>
        <v>19086</v>
      </c>
      <c r="I21" s="310">
        <f t="shared" si="3"/>
        <v>19195</v>
      </c>
      <c r="J21" s="310">
        <f t="shared" si="3"/>
        <v>19277</v>
      </c>
      <c r="K21" s="310">
        <f t="shared" si="3"/>
        <v>19476</v>
      </c>
      <c r="L21" s="310">
        <f t="shared" si="3"/>
        <v>19490</v>
      </c>
      <c r="M21" s="310">
        <f t="shared" si="3"/>
        <v>19577</v>
      </c>
      <c r="N21" s="310">
        <f t="shared" si="3"/>
        <v>19595</v>
      </c>
      <c r="O21" s="310">
        <f t="shared" si="3"/>
        <v>19745</v>
      </c>
      <c r="P21" s="310">
        <f t="shared" si="3"/>
        <v>19700</v>
      </c>
      <c r="Q21" s="310">
        <f>SUM(E21:P21)</f>
        <v>233039</v>
      </c>
      <c r="R21" s="247"/>
    </row>
    <row r="22" spans="1:18" x14ac:dyDescent="0.25">
      <c r="A22" s="247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</row>
    <row r="23" spans="1:18" x14ac:dyDescent="0.25">
      <c r="A23" s="247" t="s">
        <v>380</v>
      </c>
      <c r="B23" s="247" t="s">
        <v>348</v>
      </c>
      <c r="C23" s="247"/>
      <c r="D23" s="247" t="s">
        <v>374</v>
      </c>
      <c r="E23" s="310">
        <v>96</v>
      </c>
      <c r="F23" s="310">
        <v>88</v>
      </c>
      <c r="G23" s="310">
        <v>90</v>
      </c>
      <c r="H23" s="310">
        <v>87</v>
      </c>
      <c r="I23" s="310">
        <v>86</v>
      </c>
      <c r="J23" s="310">
        <v>85</v>
      </c>
      <c r="K23" s="310">
        <v>89</v>
      </c>
      <c r="L23" s="310">
        <v>86</v>
      </c>
      <c r="M23" s="310">
        <v>85</v>
      </c>
      <c r="N23" s="310">
        <v>82</v>
      </c>
      <c r="O23" s="310">
        <v>85</v>
      </c>
      <c r="P23" s="310">
        <v>81</v>
      </c>
      <c r="Q23" s="310">
        <f>SUM(E23:P23)</f>
        <v>1040</v>
      </c>
      <c r="R23" s="247"/>
    </row>
    <row r="24" spans="1:18" x14ac:dyDescent="0.25">
      <c r="A24" s="247"/>
      <c r="B24" s="247" t="s">
        <v>348</v>
      </c>
      <c r="C24" s="247"/>
      <c r="D24" s="247" t="s">
        <v>378</v>
      </c>
      <c r="E24" s="310">
        <v>0</v>
      </c>
      <c r="F24" s="310">
        <v>0</v>
      </c>
      <c r="G24" s="310">
        <v>0</v>
      </c>
      <c r="H24" s="310">
        <v>0</v>
      </c>
      <c r="I24" s="310">
        <v>0</v>
      </c>
      <c r="J24" s="310">
        <v>0</v>
      </c>
      <c r="K24" s="310">
        <v>0</v>
      </c>
      <c r="L24" s="310">
        <v>0</v>
      </c>
      <c r="M24" s="310">
        <v>0</v>
      </c>
      <c r="N24" s="310">
        <v>0</v>
      </c>
      <c r="O24" s="310">
        <v>0</v>
      </c>
      <c r="P24" s="310">
        <v>0</v>
      </c>
      <c r="Q24" s="310">
        <f>SUM(E24:P24)</f>
        <v>0</v>
      </c>
      <c r="R24" s="247"/>
    </row>
    <row r="25" spans="1:18" x14ac:dyDescent="0.25">
      <c r="A25" s="247"/>
      <c r="B25" s="247" t="s">
        <v>348</v>
      </c>
      <c r="C25" s="247" t="s">
        <v>373</v>
      </c>
      <c r="D25" s="247"/>
      <c r="E25" s="310">
        <f>SUM(E23:E24)</f>
        <v>96</v>
      </c>
      <c r="F25" s="310">
        <f t="shared" ref="F25:P25" si="4">SUM(F23:F24)</f>
        <v>88</v>
      </c>
      <c r="G25" s="310">
        <f t="shared" si="4"/>
        <v>90</v>
      </c>
      <c r="H25" s="310">
        <f t="shared" si="4"/>
        <v>87</v>
      </c>
      <c r="I25" s="310">
        <f t="shared" si="4"/>
        <v>86</v>
      </c>
      <c r="J25" s="310">
        <f t="shared" si="4"/>
        <v>85</v>
      </c>
      <c r="K25" s="310">
        <f t="shared" si="4"/>
        <v>89</v>
      </c>
      <c r="L25" s="310">
        <f t="shared" si="4"/>
        <v>86</v>
      </c>
      <c r="M25" s="310">
        <f t="shared" si="4"/>
        <v>85</v>
      </c>
      <c r="N25" s="310">
        <f t="shared" si="4"/>
        <v>82</v>
      </c>
      <c r="O25" s="310">
        <f t="shared" si="4"/>
        <v>85</v>
      </c>
      <c r="P25" s="310">
        <f t="shared" si="4"/>
        <v>81</v>
      </c>
      <c r="Q25" s="310">
        <f>SUM(E25:P25)</f>
        <v>1040</v>
      </c>
      <c r="R25" s="247"/>
    </row>
    <row r="26" spans="1:18" x14ac:dyDescent="0.25">
      <c r="A26" s="247"/>
      <c r="B26" s="247" t="s">
        <v>348</v>
      </c>
      <c r="C26" s="247" t="s">
        <v>379</v>
      </c>
      <c r="D26" s="247"/>
      <c r="E26" s="310">
        <f>+E23+(E24*$D$7)</f>
        <v>96</v>
      </c>
      <c r="F26" s="310">
        <f t="shared" ref="F26:P26" si="5">+F23+(F24*$D$7)</f>
        <v>88</v>
      </c>
      <c r="G26" s="310">
        <f t="shared" si="5"/>
        <v>90</v>
      </c>
      <c r="H26" s="310">
        <f t="shared" si="5"/>
        <v>87</v>
      </c>
      <c r="I26" s="310">
        <f t="shared" si="5"/>
        <v>86</v>
      </c>
      <c r="J26" s="310">
        <f t="shared" si="5"/>
        <v>85</v>
      </c>
      <c r="K26" s="310">
        <f t="shared" si="5"/>
        <v>89</v>
      </c>
      <c r="L26" s="310">
        <f t="shared" si="5"/>
        <v>86</v>
      </c>
      <c r="M26" s="310">
        <f t="shared" si="5"/>
        <v>85</v>
      </c>
      <c r="N26" s="310">
        <f t="shared" si="5"/>
        <v>82</v>
      </c>
      <c r="O26" s="310">
        <f t="shared" si="5"/>
        <v>85</v>
      </c>
      <c r="P26" s="310">
        <f t="shared" si="5"/>
        <v>81</v>
      </c>
      <c r="Q26" s="310">
        <f>SUM(E26:P26)</f>
        <v>1040</v>
      </c>
      <c r="R26" s="247"/>
    </row>
    <row r="27" spans="1:18" x14ac:dyDescent="0.25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</row>
    <row r="28" spans="1:18" x14ac:dyDescent="0.25">
      <c r="A28" s="247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</row>
    <row r="29" spans="1:18" x14ac:dyDescent="0.25">
      <c r="A29" s="247" t="s">
        <v>381</v>
      </c>
      <c r="B29" s="247" t="s">
        <v>381</v>
      </c>
      <c r="C29" s="247"/>
      <c r="D29" s="247" t="s">
        <v>374</v>
      </c>
      <c r="E29" s="310">
        <v>39</v>
      </c>
      <c r="F29" s="310">
        <v>34</v>
      </c>
      <c r="G29" s="310">
        <v>33</v>
      </c>
      <c r="H29" s="310">
        <v>739</v>
      </c>
      <c r="I29" s="310">
        <v>753</v>
      </c>
      <c r="J29" s="310">
        <v>777</v>
      </c>
      <c r="K29" s="310">
        <v>774</v>
      </c>
      <c r="L29" s="310">
        <v>815</v>
      </c>
      <c r="M29" s="310">
        <v>821</v>
      </c>
      <c r="N29" s="310">
        <v>812</v>
      </c>
      <c r="O29" s="310">
        <v>798</v>
      </c>
      <c r="P29" s="310">
        <v>798</v>
      </c>
      <c r="Q29" s="310">
        <f>SUM(E29:P29)</f>
        <v>7193</v>
      </c>
      <c r="R29" s="247"/>
    </row>
    <row r="30" spans="1:18" x14ac:dyDescent="0.25">
      <c r="A30" s="247"/>
      <c r="B30" s="247" t="s">
        <v>381</v>
      </c>
      <c r="C30" s="247"/>
      <c r="D30" s="247" t="s">
        <v>378</v>
      </c>
      <c r="E30" s="310">
        <v>736</v>
      </c>
      <c r="F30" s="310">
        <v>730</v>
      </c>
      <c r="G30" s="310">
        <v>741</v>
      </c>
      <c r="H30" s="310">
        <v>1</v>
      </c>
      <c r="I30" s="310">
        <v>0</v>
      </c>
      <c r="J30" s="310">
        <v>0</v>
      </c>
      <c r="K30" s="310">
        <v>0</v>
      </c>
      <c r="L30" s="310">
        <v>0</v>
      </c>
      <c r="M30" s="310">
        <v>0</v>
      </c>
      <c r="N30" s="310">
        <v>0</v>
      </c>
      <c r="O30" s="310">
        <v>0</v>
      </c>
      <c r="P30" s="310">
        <v>0</v>
      </c>
      <c r="Q30" s="310">
        <f>SUM(E30:P30)</f>
        <v>2208</v>
      </c>
      <c r="R30" s="247"/>
    </row>
    <row r="31" spans="1:18" x14ac:dyDescent="0.25">
      <c r="A31" s="247"/>
      <c r="B31" s="247" t="s">
        <v>381</v>
      </c>
      <c r="C31" s="247" t="s">
        <v>373</v>
      </c>
      <c r="D31" s="247"/>
      <c r="E31" s="310">
        <f>SUM(E29:E30)</f>
        <v>775</v>
      </c>
      <c r="F31" s="310">
        <f t="shared" ref="F31:P31" si="6">SUM(F29:F30)</f>
        <v>764</v>
      </c>
      <c r="G31" s="310">
        <f t="shared" si="6"/>
        <v>774</v>
      </c>
      <c r="H31" s="310">
        <f t="shared" si="6"/>
        <v>740</v>
      </c>
      <c r="I31" s="310">
        <f t="shared" si="6"/>
        <v>753</v>
      </c>
      <c r="J31" s="310">
        <f t="shared" si="6"/>
        <v>777</v>
      </c>
      <c r="K31" s="310">
        <f t="shared" si="6"/>
        <v>774</v>
      </c>
      <c r="L31" s="310">
        <f t="shared" si="6"/>
        <v>815</v>
      </c>
      <c r="M31" s="310">
        <f t="shared" si="6"/>
        <v>821</v>
      </c>
      <c r="N31" s="310">
        <f t="shared" si="6"/>
        <v>812</v>
      </c>
      <c r="O31" s="310">
        <f t="shared" si="6"/>
        <v>798</v>
      </c>
      <c r="P31" s="310">
        <f t="shared" si="6"/>
        <v>798</v>
      </c>
      <c r="Q31" s="310">
        <f>SUM(E31:P31)</f>
        <v>9401</v>
      </c>
      <c r="R31" s="247"/>
    </row>
    <row r="32" spans="1:18" x14ac:dyDescent="0.25">
      <c r="A32" s="247"/>
      <c r="B32" s="247" t="s">
        <v>381</v>
      </c>
      <c r="C32" s="247" t="s">
        <v>379</v>
      </c>
      <c r="D32" s="247"/>
      <c r="E32" s="310">
        <f>+E29+(E30*$D$7)</f>
        <v>116.28</v>
      </c>
      <c r="F32" s="310">
        <f t="shared" ref="F32:P32" si="7">+F29+(F30*$D$7)</f>
        <v>110.64999999999999</v>
      </c>
      <c r="G32" s="310">
        <f t="shared" si="7"/>
        <v>110.80499999999999</v>
      </c>
      <c r="H32" s="310">
        <f t="shared" si="7"/>
        <v>739.10500000000002</v>
      </c>
      <c r="I32" s="310">
        <f t="shared" si="7"/>
        <v>753</v>
      </c>
      <c r="J32" s="310">
        <f t="shared" si="7"/>
        <v>777</v>
      </c>
      <c r="K32" s="310">
        <f t="shared" si="7"/>
        <v>774</v>
      </c>
      <c r="L32" s="310">
        <f t="shared" si="7"/>
        <v>815</v>
      </c>
      <c r="M32" s="310">
        <f t="shared" si="7"/>
        <v>821</v>
      </c>
      <c r="N32" s="310">
        <f t="shared" si="7"/>
        <v>812</v>
      </c>
      <c r="O32" s="310">
        <f t="shared" si="7"/>
        <v>798</v>
      </c>
      <c r="P32" s="310">
        <f t="shared" si="7"/>
        <v>798</v>
      </c>
      <c r="Q32" s="310">
        <f>SUM(E32:P32)</f>
        <v>7424.84</v>
      </c>
      <c r="R32" s="247"/>
    </row>
    <row r="33" spans="1:18" x14ac:dyDescent="0.25">
      <c r="A33" s="247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</row>
    <row r="34" spans="1:18" x14ac:dyDescent="0.25">
      <c r="A34" s="247" t="s">
        <v>382</v>
      </c>
      <c r="B34" s="247" t="s">
        <v>382</v>
      </c>
      <c r="C34" s="247"/>
      <c r="D34" s="247" t="s">
        <v>374</v>
      </c>
      <c r="E34" s="310">
        <v>1206</v>
      </c>
      <c r="F34" s="310">
        <v>1191</v>
      </c>
      <c r="G34" s="310">
        <v>1191</v>
      </c>
      <c r="H34" s="310">
        <v>1187</v>
      </c>
      <c r="I34" s="310">
        <v>1153</v>
      </c>
      <c r="J34" s="310">
        <v>1161</v>
      </c>
      <c r="K34" s="310">
        <v>1167</v>
      </c>
      <c r="L34" s="310">
        <v>1182</v>
      </c>
      <c r="M34" s="310">
        <v>1213</v>
      </c>
      <c r="N34" s="310">
        <v>1191</v>
      </c>
      <c r="O34" s="310">
        <v>1195</v>
      </c>
      <c r="P34" s="310">
        <v>1210</v>
      </c>
      <c r="Q34" s="310">
        <f>SUM(E34:P34)</f>
        <v>14247</v>
      </c>
      <c r="R34" s="247"/>
    </row>
    <row r="35" spans="1:18" x14ac:dyDescent="0.25">
      <c r="A35" s="247"/>
      <c r="B35" s="247" t="s">
        <v>382</v>
      </c>
      <c r="C35" s="247"/>
      <c r="D35" s="247" t="s">
        <v>378</v>
      </c>
      <c r="E35" s="310">
        <v>0</v>
      </c>
      <c r="F35" s="310">
        <v>0</v>
      </c>
      <c r="G35" s="310">
        <v>0</v>
      </c>
      <c r="H35" s="310">
        <v>0</v>
      </c>
      <c r="I35" s="310">
        <v>0</v>
      </c>
      <c r="J35" s="310">
        <v>0</v>
      </c>
      <c r="K35" s="310">
        <v>0</v>
      </c>
      <c r="L35" s="310">
        <v>0</v>
      </c>
      <c r="M35" s="310">
        <v>0</v>
      </c>
      <c r="N35" s="310">
        <v>0</v>
      </c>
      <c r="O35" s="310">
        <v>0</v>
      </c>
      <c r="P35" s="310">
        <v>0</v>
      </c>
      <c r="Q35" s="310">
        <f>SUM(E35:P35)</f>
        <v>0</v>
      </c>
      <c r="R35" s="247"/>
    </row>
    <row r="36" spans="1:18" x14ac:dyDescent="0.25">
      <c r="A36" s="247"/>
      <c r="B36" s="247" t="s">
        <v>382</v>
      </c>
      <c r="C36" s="247" t="s">
        <v>373</v>
      </c>
      <c r="D36" s="247"/>
      <c r="E36" s="310">
        <f>SUM(E34:E35)</f>
        <v>1206</v>
      </c>
      <c r="F36" s="310">
        <f t="shared" ref="F36:P36" si="8">SUM(F34:F35)</f>
        <v>1191</v>
      </c>
      <c r="G36" s="310">
        <f t="shared" si="8"/>
        <v>1191</v>
      </c>
      <c r="H36" s="310">
        <f t="shared" si="8"/>
        <v>1187</v>
      </c>
      <c r="I36" s="310">
        <f t="shared" si="8"/>
        <v>1153</v>
      </c>
      <c r="J36" s="310">
        <f t="shared" si="8"/>
        <v>1161</v>
      </c>
      <c r="K36" s="310">
        <f t="shared" si="8"/>
        <v>1167</v>
      </c>
      <c r="L36" s="310">
        <f t="shared" si="8"/>
        <v>1182</v>
      </c>
      <c r="M36" s="310">
        <f t="shared" si="8"/>
        <v>1213</v>
      </c>
      <c r="N36" s="310">
        <f t="shared" si="8"/>
        <v>1191</v>
      </c>
      <c r="O36" s="310">
        <f t="shared" si="8"/>
        <v>1195</v>
      </c>
      <c r="P36" s="310">
        <f t="shared" si="8"/>
        <v>1210</v>
      </c>
      <c r="Q36" s="310">
        <f>SUM(E36:P36)</f>
        <v>14247</v>
      </c>
      <c r="R36" s="247"/>
    </row>
    <row r="37" spans="1:18" x14ac:dyDescent="0.25">
      <c r="A37" s="247"/>
      <c r="B37" s="247" t="s">
        <v>382</v>
      </c>
      <c r="C37" s="247" t="s">
        <v>379</v>
      </c>
      <c r="D37" s="247"/>
      <c r="E37" s="310">
        <f>+E34+(E35*$D$7)</f>
        <v>1206</v>
      </c>
      <c r="F37" s="310">
        <f t="shared" ref="F37:P37" si="9">+F34+(F35*$D$7)</f>
        <v>1191</v>
      </c>
      <c r="G37" s="310">
        <f t="shared" si="9"/>
        <v>1191</v>
      </c>
      <c r="H37" s="310">
        <f t="shared" si="9"/>
        <v>1187</v>
      </c>
      <c r="I37" s="310">
        <f t="shared" si="9"/>
        <v>1153</v>
      </c>
      <c r="J37" s="310">
        <f t="shared" si="9"/>
        <v>1161</v>
      </c>
      <c r="K37" s="310">
        <f t="shared" si="9"/>
        <v>1167</v>
      </c>
      <c r="L37" s="310">
        <f t="shared" si="9"/>
        <v>1182</v>
      </c>
      <c r="M37" s="310">
        <f t="shared" si="9"/>
        <v>1213</v>
      </c>
      <c r="N37" s="310">
        <f t="shared" si="9"/>
        <v>1191</v>
      </c>
      <c r="O37" s="310">
        <f t="shared" si="9"/>
        <v>1195</v>
      </c>
      <c r="P37" s="310">
        <f t="shared" si="9"/>
        <v>1210</v>
      </c>
      <c r="Q37" s="310">
        <f>SUM(E37:P37)</f>
        <v>14247</v>
      </c>
      <c r="R37" s="247"/>
    </row>
    <row r="38" spans="1:18" x14ac:dyDescent="0.25">
      <c r="A38" s="247"/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</row>
    <row r="39" spans="1:18" x14ac:dyDescent="0.25">
      <c r="A39" s="247" t="s">
        <v>383</v>
      </c>
      <c r="B39" s="247" t="s">
        <v>383</v>
      </c>
      <c r="C39" s="247"/>
      <c r="D39" s="247" t="s">
        <v>374</v>
      </c>
      <c r="E39" s="310">
        <v>3</v>
      </c>
      <c r="F39" s="310">
        <v>2</v>
      </c>
      <c r="G39" s="310">
        <v>2</v>
      </c>
      <c r="H39" s="310">
        <v>3</v>
      </c>
      <c r="I39" s="310">
        <v>1</v>
      </c>
      <c r="J39" s="310">
        <v>2</v>
      </c>
      <c r="K39" s="310">
        <v>7</v>
      </c>
      <c r="L39" s="310">
        <v>2</v>
      </c>
      <c r="M39" s="310">
        <v>4</v>
      </c>
      <c r="N39" s="310">
        <v>2</v>
      </c>
      <c r="O39" s="310">
        <v>3</v>
      </c>
      <c r="P39" s="310">
        <v>1</v>
      </c>
      <c r="Q39" s="310">
        <f>SUM(E39:P39)</f>
        <v>32</v>
      </c>
      <c r="R39" s="247"/>
    </row>
    <row r="40" spans="1:18" x14ac:dyDescent="0.25">
      <c r="A40" s="247"/>
      <c r="B40" s="247" t="s">
        <v>383</v>
      </c>
      <c r="C40" s="247"/>
      <c r="D40" s="247" t="s">
        <v>378</v>
      </c>
      <c r="E40" s="310">
        <v>71</v>
      </c>
      <c r="F40" s="310">
        <v>71</v>
      </c>
      <c r="G40" s="310">
        <v>71</v>
      </c>
      <c r="H40" s="310">
        <v>72</v>
      </c>
      <c r="I40" s="310">
        <v>72</v>
      </c>
      <c r="J40" s="310">
        <v>71</v>
      </c>
      <c r="K40" s="310">
        <v>71</v>
      </c>
      <c r="L40" s="310">
        <v>72</v>
      </c>
      <c r="M40" s="310">
        <v>72</v>
      </c>
      <c r="N40" s="310">
        <v>71</v>
      </c>
      <c r="O40" s="310">
        <v>72</v>
      </c>
      <c r="P40" s="310">
        <v>72</v>
      </c>
      <c r="Q40" s="310">
        <f>SUM(E40:P40)</f>
        <v>858</v>
      </c>
      <c r="R40" s="247"/>
    </row>
    <row r="41" spans="1:18" x14ac:dyDescent="0.25">
      <c r="A41" s="247"/>
      <c r="B41" s="247" t="s">
        <v>383</v>
      </c>
      <c r="C41" s="247" t="s">
        <v>373</v>
      </c>
      <c r="D41" s="247"/>
      <c r="E41" s="310">
        <f>SUM(E39:E40)</f>
        <v>74</v>
      </c>
      <c r="F41" s="310">
        <f t="shared" ref="F41:P41" si="10">SUM(F39:F40)</f>
        <v>73</v>
      </c>
      <c r="G41" s="310">
        <f t="shared" si="10"/>
        <v>73</v>
      </c>
      <c r="H41" s="310">
        <f t="shared" si="10"/>
        <v>75</v>
      </c>
      <c r="I41" s="310">
        <f t="shared" si="10"/>
        <v>73</v>
      </c>
      <c r="J41" s="310">
        <f t="shared" si="10"/>
        <v>73</v>
      </c>
      <c r="K41" s="310">
        <f t="shared" si="10"/>
        <v>78</v>
      </c>
      <c r="L41" s="310">
        <f t="shared" si="10"/>
        <v>74</v>
      </c>
      <c r="M41" s="310">
        <f t="shared" si="10"/>
        <v>76</v>
      </c>
      <c r="N41" s="310">
        <f t="shared" si="10"/>
        <v>73</v>
      </c>
      <c r="O41" s="310">
        <f t="shared" si="10"/>
        <v>75</v>
      </c>
      <c r="P41" s="310">
        <f t="shared" si="10"/>
        <v>73</v>
      </c>
      <c r="Q41" s="310">
        <f>SUM(E41:P41)</f>
        <v>890</v>
      </c>
      <c r="R41" s="247"/>
    </row>
    <row r="42" spans="1:18" x14ac:dyDescent="0.25">
      <c r="A42" s="247"/>
      <c r="B42" s="247" t="s">
        <v>383</v>
      </c>
      <c r="C42" s="247" t="s">
        <v>379</v>
      </c>
      <c r="D42" s="247"/>
      <c r="E42" s="310">
        <f>+E39+(E40*$D$7)</f>
        <v>10.455</v>
      </c>
      <c r="F42" s="310">
        <f t="shared" ref="F42:P42" si="11">+F39+(F40*$D$7)</f>
        <v>9.4550000000000001</v>
      </c>
      <c r="G42" s="310">
        <f t="shared" si="11"/>
        <v>9.4550000000000001</v>
      </c>
      <c r="H42" s="310">
        <f t="shared" si="11"/>
        <v>10.559999999999999</v>
      </c>
      <c r="I42" s="310">
        <f t="shared" si="11"/>
        <v>8.5599999999999987</v>
      </c>
      <c r="J42" s="310">
        <f t="shared" si="11"/>
        <v>9.4550000000000001</v>
      </c>
      <c r="K42" s="310">
        <f t="shared" si="11"/>
        <v>14.455</v>
      </c>
      <c r="L42" s="310">
        <f t="shared" si="11"/>
        <v>9.5599999999999987</v>
      </c>
      <c r="M42" s="310">
        <f t="shared" si="11"/>
        <v>11.559999999999999</v>
      </c>
      <c r="N42" s="310">
        <f t="shared" si="11"/>
        <v>9.4550000000000001</v>
      </c>
      <c r="O42" s="310">
        <f t="shared" si="11"/>
        <v>10.559999999999999</v>
      </c>
      <c r="P42" s="310">
        <f t="shared" si="11"/>
        <v>8.5599999999999987</v>
      </c>
      <c r="Q42" s="310">
        <f>SUM(E42:P42)</f>
        <v>122.09</v>
      </c>
      <c r="R42" s="247"/>
    </row>
    <row r="43" spans="1:18" x14ac:dyDescent="0.25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</row>
    <row r="44" spans="1:18" x14ac:dyDescent="0.25">
      <c r="A44" s="247" t="s">
        <v>384</v>
      </c>
      <c r="B44" s="247" t="s">
        <v>384</v>
      </c>
      <c r="C44" s="247"/>
      <c r="D44" s="247" t="s">
        <v>374</v>
      </c>
      <c r="E44" s="310">
        <v>1</v>
      </c>
      <c r="F44" s="310">
        <v>2</v>
      </c>
      <c r="G44" s="310">
        <v>2</v>
      </c>
      <c r="H44" s="310">
        <v>2</v>
      </c>
      <c r="I44" s="310">
        <v>2</v>
      </c>
      <c r="J44" s="310">
        <v>2</v>
      </c>
      <c r="K44" s="310">
        <v>2</v>
      </c>
      <c r="L44" s="310">
        <v>3</v>
      </c>
      <c r="M44" s="310">
        <v>2</v>
      </c>
      <c r="N44" s="310">
        <v>2</v>
      </c>
      <c r="O44" s="310">
        <v>4</v>
      </c>
      <c r="P44" s="310">
        <v>1</v>
      </c>
      <c r="Q44" s="310">
        <f>SUM(E44:P44)</f>
        <v>25</v>
      </c>
      <c r="R44" s="247"/>
    </row>
    <row r="45" spans="1:18" x14ac:dyDescent="0.25">
      <c r="A45" s="247"/>
      <c r="B45" s="247" t="s">
        <v>384</v>
      </c>
      <c r="C45" s="247"/>
      <c r="D45" s="247" t="s">
        <v>378</v>
      </c>
      <c r="E45" s="310">
        <v>142</v>
      </c>
      <c r="F45" s="310">
        <v>140</v>
      </c>
      <c r="G45" s="310">
        <v>139</v>
      </c>
      <c r="H45" s="310">
        <v>139</v>
      </c>
      <c r="I45" s="310">
        <v>139</v>
      </c>
      <c r="J45" s="310">
        <v>140</v>
      </c>
      <c r="K45" s="310">
        <v>142</v>
      </c>
      <c r="L45" s="310">
        <v>137</v>
      </c>
      <c r="M45" s="310">
        <v>139</v>
      </c>
      <c r="N45" s="310">
        <v>141</v>
      </c>
      <c r="O45" s="310">
        <v>142</v>
      </c>
      <c r="P45" s="310">
        <v>146</v>
      </c>
      <c r="Q45" s="310">
        <f>SUM(E45:P45)</f>
        <v>1686</v>
      </c>
      <c r="R45" s="247"/>
    </row>
    <row r="46" spans="1:18" x14ac:dyDescent="0.25">
      <c r="A46" s="247"/>
      <c r="B46" s="247" t="s">
        <v>384</v>
      </c>
      <c r="C46" s="247" t="s">
        <v>373</v>
      </c>
      <c r="D46" s="247"/>
      <c r="E46" s="310">
        <f>SUM(E44:E45)</f>
        <v>143</v>
      </c>
      <c r="F46" s="310">
        <f t="shared" ref="F46:P46" si="12">SUM(F44:F45)</f>
        <v>142</v>
      </c>
      <c r="G46" s="310">
        <f t="shared" si="12"/>
        <v>141</v>
      </c>
      <c r="H46" s="310">
        <f t="shared" si="12"/>
        <v>141</v>
      </c>
      <c r="I46" s="310">
        <f t="shared" si="12"/>
        <v>141</v>
      </c>
      <c r="J46" s="310">
        <f t="shared" si="12"/>
        <v>142</v>
      </c>
      <c r="K46" s="310">
        <f t="shared" si="12"/>
        <v>144</v>
      </c>
      <c r="L46" s="310">
        <f t="shared" si="12"/>
        <v>140</v>
      </c>
      <c r="M46" s="310">
        <f t="shared" si="12"/>
        <v>141</v>
      </c>
      <c r="N46" s="310">
        <f t="shared" si="12"/>
        <v>143</v>
      </c>
      <c r="O46" s="310">
        <f t="shared" si="12"/>
        <v>146</v>
      </c>
      <c r="P46" s="310">
        <f t="shared" si="12"/>
        <v>147</v>
      </c>
      <c r="Q46" s="310">
        <f>SUM(E46:P46)</f>
        <v>1711</v>
      </c>
      <c r="R46" s="247"/>
    </row>
    <row r="47" spans="1:18" x14ac:dyDescent="0.25">
      <c r="A47" s="247"/>
      <c r="B47" s="247" t="s">
        <v>384</v>
      </c>
      <c r="C47" s="247" t="s">
        <v>379</v>
      </c>
      <c r="D47" s="247"/>
      <c r="E47" s="310">
        <f>+E44+(E45*$D$7)</f>
        <v>15.91</v>
      </c>
      <c r="F47" s="310">
        <f t="shared" ref="F47:P47" si="13">+F44+(F45*$D$7)</f>
        <v>16.7</v>
      </c>
      <c r="G47" s="310">
        <f t="shared" si="13"/>
        <v>16.594999999999999</v>
      </c>
      <c r="H47" s="310">
        <f t="shared" si="13"/>
        <v>16.594999999999999</v>
      </c>
      <c r="I47" s="310">
        <f t="shared" si="13"/>
        <v>16.594999999999999</v>
      </c>
      <c r="J47" s="310">
        <f t="shared" si="13"/>
        <v>16.7</v>
      </c>
      <c r="K47" s="310">
        <f t="shared" si="13"/>
        <v>16.91</v>
      </c>
      <c r="L47" s="310">
        <f t="shared" si="13"/>
        <v>17.384999999999998</v>
      </c>
      <c r="M47" s="310">
        <f t="shared" si="13"/>
        <v>16.594999999999999</v>
      </c>
      <c r="N47" s="310">
        <f t="shared" si="13"/>
        <v>16.805</v>
      </c>
      <c r="O47" s="310">
        <f t="shared" si="13"/>
        <v>18.91</v>
      </c>
      <c r="P47" s="310">
        <f t="shared" si="13"/>
        <v>16.329999999999998</v>
      </c>
      <c r="Q47" s="310">
        <f>SUM(E47:P47)</f>
        <v>202.02999999999997</v>
      </c>
      <c r="R47" s="247"/>
    </row>
    <row r="48" spans="1:18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</row>
    <row r="49" spans="1:18" x14ac:dyDescent="0.25">
      <c r="A49" s="247" t="s">
        <v>385</v>
      </c>
      <c r="B49" s="247" t="s">
        <v>385</v>
      </c>
      <c r="C49" s="247"/>
      <c r="D49" s="247" t="s">
        <v>374</v>
      </c>
      <c r="E49" s="310">
        <v>0</v>
      </c>
      <c r="F49" s="310">
        <v>0</v>
      </c>
      <c r="G49" s="310">
        <v>0</v>
      </c>
      <c r="H49" s="310">
        <v>0</v>
      </c>
      <c r="I49" s="310">
        <v>0</v>
      </c>
      <c r="J49" s="310">
        <v>0</v>
      </c>
      <c r="K49" s="310">
        <v>0</v>
      </c>
      <c r="L49" s="310">
        <v>0</v>
      </c>
      <c r="M49" s="310">
        <v>0</v>
      </c>
      <c r="N49" s="310">
        <v>0</v>
      </c>
      <c r="O49" s="310">
        <v>0</v>
      </c>
      <c r="P49" s="310">
        <v>0</v>
      </c>
      <c r="Q49" s="310">
        <f>SUM(E49:P49)</f>
        <v>0</v>
      </c>
      <c r="R49" s="247"/>
    </row>
    <row r="50" spans="1:18" x14ac:dyDescent="0.25">
      <c r="A50" s="247"/>
      <c r="B50" s="247" t="s">
        <v>385</v>
      </c>
      <c r="C50" s="247"/>
      <c r="D50" s="247" t="s">
        <v>378</v>
      </c>
      <c r="E50" s="310">
        <v>1</v>
      </c>
      <c r="F50" s="310">
        <v>1</v>
      </c>
      <c r="G50" s="310">
        <v>1</v>
      </c>
      <c r="H50" s="310">
        <v>1</v>
      </c>
      <c r="I50" s="310">
        <v>1</v>
      </c>
      <c r="J50" s="310">
        <v>1</v>
      </c>
      <c r="K50" s="310">
        <v>1</v>
      </c>
      <c r="L50" s="310">
        <v>1</v>
      </c>
      <c r="M50" s="310">
        <v>1</v>
      </c>
      <c r="N50" s="310">
        <v>1</v>
      </c>
      <c r="O50" s="310">
        <v>1</v>
      </c>
      <c r="P50" s="310">
        <v>1</v>
      </c>
      <c r="Q50" s="310">
        <f>SUM(E50:P50)</f>
        <v>12</v>
      </c>
      <c r="R50" s="247"/>
    </row>
    <row r="51" spans="1:18" x14ac:dyDescent="0.25">
      <c r="A51" s="247"/>
      <c r="B51" s="247" t="s">
        <v>385</v>
      </c>
      <c r="C51" s="247" t="s">
        <v>373</v>
      </c>
      <c r="D51" s="247"/>
      <c r="E51" s="310">
        <f>SUM(E49:E50)</f>
        <v>1</v>
      </c>
      <c r="F51" s="310">
        <f t="shared" ref="F51:P51" si="14">SUM(F49:F50)</f>
        <v>1</v>
      </c>
      <c r="G51" s="310">
        <f t="shared" si="14"/>
        <v>1</v>
      </c>
      <c r="H51" s="310">
        <f t="shared" si="14"/>
        <v>1</v>
      </c>
      <c r="I51" s="310">
        <f t="shared" si="14"/>
        <v>1</v>
      </c>
      <c r="J51" s="310">
        <f t="shared" si="14"/>
        <v>1</v>
      </c>
      <c r="K51" s="310">
        <f t="shared" si="14"/>
        <v>1</v>
      </c>
      <c r="L51" s="310">
        <f t="shared" si="14"/>
        <v>1</v>
      </c>
      <c r="M51" s="310">
        <f t="shared" si="14"/>
        <v>1</v>
      </c>
      <c r="N51" s="310">
        <f t="shared" si="14"/>
        <v>1</v>
      </c>
      <c r="O51" s="310">
        <f t="shared" si="14"/>
        <v>1</v>
      </c>
      <c r="P51" s="310">
        <f t="shared" si="14"/>
        <v>1</v>
      </c>
      <c r="Q51" s="310">
        <f>SUM(E51:P51)</f>
        <v>12</v>
      </c>
      <c r="R51" s="247"/>
    </row>
    <row r="52" spans="1:18" x14ac:dyDescent="0.25">
      <c r="A52" s="247"/>
      <c r="B52" s="247" t="s">
        <v>385</v>
      </c>
      <c r="C52" s="247" t="s">
        <v>379</v>
      </c>
      <c r="D52" s="247"/>
      <c r="E52" s="310">
        <f>+E49+(E50*$D$7)</f>
        <v>0.105</v>
      </c>
      <c r="F52" s="310">
        <f t="shared" ref="F52:P52" si="15">+F49+(F50*$D$7)</f>
        <v>0.105</v>
      </c>
      <c r="G52" s="310">
        <f t="shared" si="15"/>
        <v>0.105</v>
      </c>
      <c r="H52" s="310">
        <f t="shared" si="15"/>
        <v>0.105</v>
      </c>
      <c r="I52" s="310">
        <f t="shared" si="15"/>
        <v>0.105</v>
      </c>
      <c r="J52" s="310">
        <f t="shared" si="15"/>
        <v>0.105</v>
      </c>
      <c r="K52" s="310">
        <f t="shared" si="15"/>
        <v>0.105</v>
      </c>
      <c r="L52" s="310">
        <f t="shared" si="15"/>
        <v>0.105</v>
      </c>
      <c r="M52" s="310">
        <f t="shared" si="15"/>
        <v>0.105</v>
      </c>
      <c r="N52" s="310">
        <f t="shared" si="15"/>
        <v>0.105</v>
      </c>
      <c r="O52" s="310">
        <f t="shared" si="15"/>
        <v>0.105</v>
      </c>
      <c r="P52" s="310">
        <f t="shared" si="15"/>
        <v>0.105</v>
      </c>
      <c r="Q52" s="310">
        <f>SUM(E52:P52)</f>
        <v>1.26</v>
      </c>
      <c r="R52" s="247"/>
    </row>
    <row r="53" spans="1:18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</row>
    <row r="54" spans="1:18" x14ac:dyDescent="0.25">
      <c r="A54" s="247" t="s">
        <v>386</v>
      </c>
      <c r="B54" s="247" t="s">
        <v>386</v>
      </c>
      <c r="C54" s="247"/>
      <c r="D54" s="247" t="s">
        <v>374</v>
      </c>
      <c r="E54" s="310">
        <v>4</v>
      </c>
      <c r="F54" s="310">
        <v>6</v>
      </c>
      <c r="G54" s="310">
        <v>5</v>
      </c>
      <c r="H54" s="310">
        <v>6</v>
      </c>
      <c r="I54" s="310">
        <v>3</v>
      </c>
      <c r="J54" s="310">
        <v>5</v>
      </c>
      <c r="K54" s="310">
        <v>3</v>
      </c>
      <c r="L54" s="310">
        <v>7</v>
      </c>
      <c r="M54" s="310">
        <v>5</v>
      </c>
      <c r="N54" s="310">
        <v>5</v>
      </c>
      <c r="O54" s="310">
        <v>7</v>
      </c>
      <c r="P54" s="310">
        <v>7</v>
      </c>
      <c r="Q54" s="310">
        <f>SUM(E54:P54)</f>
        <v>63</v>
      </c>
      <c r="R54" s="247"/>
    </row>
    <row r="55" spans="1:18" x14ac:dyDescent="0.25">
      <c r="A55" s="247"/>
      <c r="B55" s="247" t="s">
        <v>386</v>
      </c>
      <c r="C55" s="247"/>
      <c r="D55" s="247" t="s">
        <v>378</v>
      </c>
      <c r="E55" s="310">
        <v>524</v>
      </c>
      <c r="F55" s="310">
        <v>517</v>
      </c>
      <c r="G55" s="310">
        <v>517</v>
      </c>
      <c r="H55" s="310">
        <v>513</v>
      </c>
      <c r="I55" s="310">
        <v>513</v>
      </c>
      <c r="J55" s="310">
        <v>521</v>
      </c>
      <c r="K55" s="310">
        <v>531</v>
      </c>
      <c r="L55" s="310">
        <v>518</v>
      </c>
      <c r="M55" s="310">
        <v>522</v>
      </c>
      <c r="N55" s="310">
        <v>524</v>
      </c>
      <c r="O55" s="310">
        <v>521</v>
      </c>
      <c r="P55" s="310">
        <v>527</v>
      </c>
      <c r="Q55" s="310">
        <f>SUM(E55:P55)</f>
        <v>6248</v>
      </c>
      <c r="R55" s="247"/>
    </row>
    <row r="56" spans="1:18" x14ac:dyDescent="0.25">
      <c r="A56" s="247"/>
      <c r="B56" s="247" t="s">
        <v>386</v>
      </c>
      <c r="C56" s="247" t="s">
        <v>373</v>
      </c>
      <c r="D56" s="247"/>
      <c r="E56" s="310">
        <f>SUM(E54:E55)</f>
        <v>528</v>
      </c>
      <c r="F56" s="310">
        <f t="shared" ref="F56:P56" si="16">SUM(F54:F55)</f>
        <v>523</v>
      </c>
      <c r="G56" s="310">
        <f t="shared" si="16"/>
        <v>522</v>
      </c>
      <c r="H56" s="310">
        <f t="shared" si="16"/>
        <v>519</v>
      </c>
      <c r="I56" s="310">
        <f t="shared" si="16"/>
        <v>516</v>
      </c>
      <c r="J56" s="310">
        <f t="shared" si="16"/>
        <v>526</v>
      </c>
      <c r="K56" s="310">
        <f t="shared" si="16"/>
        <v>534</v>
      </c>
      <c r="L56" s="310">
        <f t="shared" si="16"/>
        <v>525</v>
      </c>
      <c r="M56" s="310">
        <f t="shared" si="16"/>
        <v>527</v>
      </c>
      <c r="N56" s="310">
        <f t="shared" si="16"/>
        <v>529</v>
      </c>
      <c r="O56" s="310">
        <f t="shared" si="16"/>
        <v>528</v>
      </c>
      <c r="P56" s="310">
        <f t="shared" si="16"/>
        <v>534</v>
      </c>
      <c r="Q56" s="310">
        <f>SUM(E56:P56)</f>
        <v>6311</v>
      </c>
      <c r="R56" s="247"/>
    </row>
    <row r="57" spans="1:18" x14ac:dyDescent="0.25">
      <c r="A57" s="247"/>
      <c r="B57" s="247" t="s">
        <v>386</v>
      </c>
      <c r="C57" s="247" t="s">
        <v>379</v>
      </c>
      <c r="D57" s="247"/>
      <c r="E57" s="310">
        <f>+E54+(E55*$D$7)</f>
        <v>59.019999999999996</v>
      </c>
      <c r="F57" s="310">
        <f t="shared" ref="F57:P57" si="17">+F54+(F55*$D$7)</f>
        <v>60.284999999999997</v>
      </c>
      <c r="G57" s="310">
        <f t="shared" si="17"/>
        <v>59.284999999999997</v>
      </c>
      <c r="H57" s="310">
        <f t="shared" si="17"/>
        <v>59.864999999999995</v>
      </c>
      <c r="I57" s="310">
        <f t="shared" si="17"/>
        <v>56.864999999999995</v>
      </c>
      <c r="J57" s="310">
        <f t="shared" si="17"/>
        <v>59.704999999999998</v>
      </c>
      <c r="K57" s="310">
        <f t="shared" si="17"/>
        <v>58.754999999999995</v>
      </c>
      <c r="L57" s="310">
        <f t="shared" si="17"/>
        <v>61.39</v>
      </c>
      <c r="M57" s="310">
        <f t="shared" si="17"/>
        <v>59.809999999999995</v>
      </c>
      <c r="N57" s="310">
        <f t="shared" si="17"/>
        <v>60.019999999999996</v>
      </c>
      <c r="O57" s="310">
        <f t="shared" si="17"/>
        <v>61.704999999999998</v>
      </c>
      <c r="P57" s="310">
        <f t="shared" si="17"/>
        <v>62.335000000000001</v>
      </c>
      <c r="Q57" s="310">
        <f>SUM(E57:P57)</f>
        <v>719.04</v>
      </c>
      <c r="R57" s="247"/>
    </row>
    <row r="58" spans="1:18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</row>
    <row r="59" spans="1:18" x14ac:dyDescent="0.25">
      <c r="A59" s="247" t="s">
        <v>387</v>
      </c>
      <c r="B59" s="247" t="s">
        <v>387</v>
      </c>
      <c r="C59" s="247"/>
      <c r="D59" s="247" t="s">
        <v>374</v>
      </c>
      <c r="E59" s="310">
        <v>0</v>
      </c>
      <c r="F59" s="310">
        <v>0</v>
      </c>
      <c r="G59" s="310">
        <v>0</v>
      </c>
      <c r="H59" s="310">
        <v>0</v>
      </c>
      <c r="I59" s="310">
        <v>0</v>
      </c>
      <c r="J59" s="310">
        <v>0</v>
      </c>
      <c r="K59" s="310">
        <v>0</v>
      </c>
      <c r="L59" s="310">
        <v>0</v>
      </c>
      <c r="M59" s="310">
        <v>0</v>
      </c>
      <c r="N59" s="310">
        <v>0</v>
      </c>
      <c r="O59" s="310">
        <v>0</v>
      </c>
      <c r="P59" s="310">
        <v>0</v>
      </c>
      <c r="Q59" s="310">
        <f>SUM(E59:P59)</f>
        <v>0</v>
      </c>
      <c r="R59" s="247"/>
    </row>
    <row r="60" spans="1:18" x14ac:dyDescent="0.25">
      <c r="A60" s="247"/>
      <c r="B60" s="247" t="s">
        <v>387</v>
      </c>
      <c r="C60" s="247"/>
      <c r="D60" s="247" t="s">
        <v>378</v>
      </c>
      <c r="E60" s="310">
        <v>2003</v>
      </c>
      <c r="F60" s="310">
        <v>1943</v>
      </c>
      <c r="G60" s="310">
        <v>1929</v>
      </c>
      <c r="H60" s="310">
        <v>1910</v>
      </c>
      <c r="I60" s="310">
        <v>1939</v>
      </c>
      <c r="J60" s="310">
        <v>1959</v>
      </c>
      <c r="K60" s="310">
        <v>1958</v>
      </c>
      <c r="L60" s="310">
        <v>1935</v>
      </c>
      <c r="M60" s="310">
        <v>1997</v>
      </c>
      <c r="N60" s="310">
        <v>1960</v>
      </c>
      <c r="O60" s="310">
        <v>2002</v>
      </c>
      <c r="P60" s="310">
        <v>2016</v>
      </c>
      <c r="Q60" s="310">
        <f>SUM(E60:P60)</f>
        <v>23551</v>
      </c>
      <c r="R60" s="247"/>
    </row>
    <row r="61" spans="1:18" x14ac:dyDescent="0.25">
      <c r="A61" s="247"/>
      <c r="B61" s="247" t="s">
        <v>387</v>
      </c>
      <c r="C61" s="247" t="s">
        <v>373</v>
      </c>
      <c r="D61" s="247"/>
      <c r="E61" s="310">
        <f>SUM(E59:E60)</f>
        <v>2003</v>
      </c>
      <c r="F61" s="310">
        <f t="shared" ref="F61:P61" si="18">SUM(F59:F60)</f>
        <v>1943</v>
      </c>
      <c r="G61" s="310">
        <f t="shared" si="18"/>
        <v>1929</v>
      </c>
      <c r="H61" s="310">
        <f t="shared" si="18"/>
        <v>1910</v>
      </c>
      <c r="I61" s="310">
        <f t="shared" si="18"/>
        <v>1939</v>
      </c>
      <c r="J61" s="310">
        <f t="shared" si="18"/>
        <v>1959</v>
      </c>
      <c r="K61" s="310">
        <f t="shared" si="18"/>
        <v>1958</v>
      </c>
      <c r="L61" s="310">
        <f t="shared" si="18"/>
        <v>1935</v>
      </c>
      <c r="M61" s="310">
        <f t="shared" si="18"/>
        <v>1997</v>
      </c>
      <c r="N61" s="310">
        <f t="shared" si="18"/>
        <v>1960</v>
      </c>
      <c r="O61" s="310">
        <f t="shared" si="18"/>
        <v>2002</v>
      </c>
      <c r="P61" s="310">
        <f t="shared" si="18"/>
        <v>2016</v>
      </c>
      <c r="Q61" s="310">
        <f>SUM(E61:P61)</f>
        <v>23551</v>
      </c>
      <c r="R61" s="247"/>
    </row>
    <row r="62" spans="1:18" x14ac:dyDescent="0.25">
      <c r="A62" s="247"/>
      <c r="B62" s="247" t="s">
        <v>387</v>
      </c>
      <c r="C62" s="247" t="s">
        <v>379</v>
      </c>
      <c r="D62" s="247"/>
      <c r="E62" s="310">
        <f>+E59+(E60*$D$7)</f>
        <v>210.315</v>
      </c>
      <c r="F62" s="310">
        <f t="shared" ref="F62:P62" si="19">+F59+(F60*$D$7)</f>
        <v>204.01499999999999</v>
      </c>
      <c r="G62" s="310">
        <f t="shared" si="19"/>
        <v>202.54499999999999</v>
      </c>
      <c r="H62" s="310">
        <f t="shared" si="19"/>
        <v>200.54999999999998</v>
      </c>
      <c r="I62" s="310">
        <f t="shared" si="19"/>
        <v>203.595</v>
      </c>
      <c r="J62" s="310">
        <f t="shared" si="19"/>
        <v>205.69499999999999</v>
      </c>
      <c r="K62" s="310">
        <f t="shared" si="19"/>
        <v>205.59</v>
      </c>
      <c r="L62" s="310">
        <f t="shared" si="19"/>
        <v>203.17499999999998</v>
      </c>
      <c r="M62" s="310">
        <f t="shared" si="19"/>
        <v>209.685</v>
      </c>
      <c r="N62" s="310">
        <f t="shared" si="19"/>
        <v>205.79999999999998</v>
      </c>
      <c r="O62" s="310">
        <f t="shared" si="19"/>
        <v>210.20999999999998</v>
      </c>
      <c r="P62" s="310">
        <f t="shared" si="19"/>
        <v>211.67999999999998</v>
      </c>
      <c r="Q62" s="310">
        <f>SUM(E62:P62)</f>
        <v>2472.8549999999996</v>
      </c>
      <c r="R62" s="247"/>
    </row>
    <row r="63" spans="1:18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</row>
    <row r="64" spans="1:18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</row>
    <row r="65" spans="1:18" x14ac:dyDescent="0.25">
      <c r="A65" s="247" t="s">
        <v>388</v>
      </c>
      <c r="B65" s="247" t="s">
        <v>388</v>
      </c>
      <c r="C65" s="247"/>
      <c r="D65" s="247" t="s">
        <v>374</v>
      </c>
      <c r="E65" s="310">
        <f>SUMIFS(E$13:E$62,$D13:$D62,$D65)</f>
        <v>26937</v>
      </c>
      <c r="F65" s="310">
        <f t="shared" ref="F65:P65" si="20">SUMIFS(F$13:F$62,$D13:$D62,$D65)</f>
        <v>26718</v>
      </c>
      <c r="G65" s="310">
        <f t="shared" si="20"/>
        <v>26666</v>
      </c>
      <c r="H65" s="310">
        <f t="shared" si="20"/>
        <v>27172</v>
      </c>
      <c r="I65" s="310">
        <f t="shared" si="20"/>
        <v>27200</v>
      </c>
      <c r="J65" s="310">
        <f t="shared" si="20"/>
        <v>27357</v>
      </c>
      <c r="K65" s="310">
        <f t="shared" si="20"/>
        <v>27624</v>
      </c>
      <c r="L65" s="310">
        <f t="shared" si="20"/>
        <v>27717</v>
      </c>
      <c r="M65" s="310">
        <f t="shared" si="20"/>
        <v>27994</v>
      </c>
      <c r="N65" s="310">
        <f t="shared" si="20"/>
        <v>27859</v>
      </c>
      <c r="O65" s="310">
        <f t="shared" si="20"/>
        <v>28116</v>
      </c>
      <c r="P65" s="310">
        <f t="shared" si="20"/>
        <v>28030</v>
      </c>
      <c r="Q65" s="310">
        <f>SUM(E65:P65)</f>
        <v>329390</v>
      </c>
      <c r="R65" s="247"/>
    </row>
    <row r="66" spans="1:18" x14ac:dyDescent="0.25">
      <c r="A66" s="247"/>
      <c r="B66" s="247" t="s">
        <v>388</v>
      </c>
      <c r="C66" s="247"/>
      <c r="D66" s="247" t="s">
        <v>378</v>
      </c>
      <c r="E66" s="310">
        <f>SUMIFS(E$13:E$62,$D13:$D62,$D66)</f>
        <v>3477</v>
      </c>
      <c r="F66" s="310">
        <f t="shared" ref="F66:P66" si="21">SUMIFS(F$13:F$62,$D13:$D62,$D66)</f>
        <v>3402</v>
      </c>
      <c r="G66" s="310">
        <f t="shared" si="21"/>
        <v>3398</v>
      </c>
      <c r="H66" s="310">
        <f t="shared" si="21"/>
        <v>2636</v>
      </c>
      <c r="I66" s="310">
        <f t="shared" si="21"/>
        <v>2664</v>
      </c>
      <c r="J66" s="310">
        <f t="shared" si="21"/>
        <v>2692</v>
      </c>
      <c r="K66" s="310">
        <f t="shared" si="21"/>
        <v>2703</v>
      </c>
      <c r="L66" s="310">
        <f t="shared" si="21"/>
        <v>2663</v>
      </c>
      <c r="M66" s="310">
        <f t="shared" si="21"/>
        <v>2731</v>
      </c>
      <c r="N66" s="310">
        <f t="shared" si="21"/>
        <v>2697</v>
      </c>
      <c r="O66" s="310">
        <f t="shared" si="21"/>
        <v>2738</v>
      </c>
      <c r="P66" s="310">
        <f t="shared" si="21"/>
        <v>2762</v>
      </c>
      <c r="Q66" s="310">
        <f>SUM(E66:P66)</f>
        <v>34563</v>
      </c>
      <c r="R66" s="247"/>
    </row>
    <row r="67" spans="1:18" x14ac:dyDescent="0.25">
      <c r="A67" s="247"/>
      <c r="B67" s="247" t="s">
        <v>388</v>
      </c>
      <c r="C67" s="247" t="s">
        <v>373</v>
      </c>
      <c r="D67" s="247"/>
      <c r="E67" s="310">
        <f>SUM(E65:E66)</f>
        <v>30414</v>
      </c>
      <c r="F67" s="310">
        <f t="shared" ref="F67:P67" si="22">SUM(F65:F66)</f>
        <v>30120</v>
      </c>
      <c r="G67" s="310">
        <f t="shared" si="22"/>
        <v>30064</v>
      </c>
      <c r="H67" s="310">
        <f t="shared" si="22"/>
        <v>29808</v>
      </c>
      <c r="I67" s="310">
        <f t="shared" si="22"/>
        <v>29864</v>
      </c>
      <c r="J67" s="310">
        <f t="shared" si="22"/>
        <v>30049</v>
      </c>
      <c r="K67" s="310">
        <f t="shared" si="22"/>
        <v>30327</v>
      </c>
      <c r="L67" s="310">
        <f t="shared" si="22"/>
        <v>30380</v>
      </c>
      <c r="M67" s="310">
        <f t="shared" si="22"/>
        <v>30725</v>
      </c>
      <c r="N67" s="310">
        <f t="shared" si="22"/>
        <v>30556</v>
      </c>
      <c r="O67" s="310">
        <f t="shared" si="22"/>
        <v>30854</v>
      </c>
      <c r="P67" s="310">
        <f t="shared" si="22"/>
        <v>30792</v>
      </c>
      <c r="Q67" s="310">
        <f>SUM(E67:P67)</f>
        <v>363953</v>
      </c>
      <c r="R67" s="247"/>
    </row>
    <row r="68" spans="1:18" x14ac:dyDescent="0.25">
      <c r="A68" s="247"/>
      <c r="B68" s="247" t="s">
        <v>388</v>
      </c>
      <c r="C68" s="247" t="s">
        <v>379</v>
      </c>
      <c r="D68" s="247"/>
      <c r="E68" s="310">
        <f>+E65+(E66*$D$7)</f>
        <v>27302.084999999999</v>
      </c>
      <c r="F68" s="310">
        <f t="shared" ref="F68:P68" si="23">+F65+(F66*$D$7)</f>
        <v>27075.21</v>
      </c>
      <c r="G68" s="310">
        <f t="shared" si="23"/>
        <v>27022.79</v>
      </c>
      <c r="H68" s="310">
        <f t="shared" si="23"/>
        <v>27448.78</v>
      </c>
      <c r="I68" s="310">
        <f t="shared" si="23"/>
        <v>27479.72</v>
      </c>
      <c r="J68" s="310">
        <f t="shared" si="23"/>
        <v>27639.66</v>
      </c>
      <c r="K68" s="310">
        <f t="shared" si="23"/>
        <v>27907.814999999999</v>
      </c>
      <c r="L68" s="310">
        <f t="shared" si="23"/>
        <v>27996.615000000002</v>
      </c>
      <c r="M68" s="310">
        <f t="shared" si="23"/>
        <v>28280.755000000001</v>
      </c>
      <c r="N68" s="310">
        <f t="shared" si="23"/>
        <v>28142.185000000001</v>
      </c>
      <c r="O68" s="310">
        <f t="shared" si="23"/>
        <v>28403.49</v>
      </c>
      <c r="P68" s="310">
        <f t="shared" si="23"/>
        <v>28320.01</v>
      </c>
      <c r="Q68" s="310">
        <f>SUM(E68:P68)</f>
        <v>333019.11499999999</v>
      </c>
      <c r="R68" s="247"/>
    </row>
    <row r="69" spans="1:18" x14ac:dyDescent="0.25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</row>
  </sheetData>
  <pageMargins left="0.25" right="0.25" top="0.75" bottom="0.75" header="0.3" footer="0.3"/>
  <pageSetup scale="66" fitToHeight="0" orientation="landscape" r:id="rId1"/>
  <headerFooter>
    <oddFooter>&amp;L&amp;D&amp;C&amp;A&amp;RPage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366"/>
  <sheetViews>
    <sheetView workbookViewId="0">
      <pane ySplit="12" topLeftCell="A286" activePane="bottomLeft" state="frozen"/>
      <selection pane="bottomLeft" activeCell="A325" sqref="A325"/>
    </sheetView>
  </sheetViews>
  <sheetFormatPr defaultRowHeight="15.75" x14ac:dyDescent="0.25"/>
  <cols>
    <col min="1" max="1" width="7.109375" customWidth="1"/>
    <col min="2" max="2" width="19.6640625" customWidth="1"/>
    <col min="3" max="3" width="47.33203125" customWidth="1"/>
    <col min="4" max="4" width="10.5546875" bestFit="1" customWidth="1"/>
    <col min="5" max="5" width="6.6640625" customWidth="1"/>
    <col min="6" max="6" width="7" customWidth="1"/>
    <col min="7" max="7" width="7.33203125" customWidth="1"/>
    <col min="8" max="8" width="4.21875" customWidth="1"/>
    <col min="9" max="9" width="10.21875" customWidth="1"/>
    <col min="10" max="10" width="9.88671875" hidden="1" customWidth="1"/>
    <col min="11" max="11" width="10" hidden="1" customWidth="1"/>
    <col min="12" max="12" width="9.5546875" customWidth="1"/>
    <col min="13" max="13" width="8.6640625" hidden="1" customWidth="1"/>
    <col min="14" max="14" width="10.6640625" customWidth="1"/>
    <col min="15" max="15" width="9.5546875" customWidth="1"/>
    <col min="16" max="16" width="10.109375" customWidth="1"/>
    <col min="17" max="17" width="9.6640625" hidden="1" customWidth="1"/>
    <col min="18" max="18" width="8.6640625" hidden="1" customWidth="1"/>
    <col min="19" max="19" width="7.6640625" hidden="1" customWidth="1"/>
    <col min="20" max="20" width="9.6640625" hidden="1" customWidth="1"/>
    <col min="21" max="21" width="10.6640625" customWidth="1"/>
    <col min="22" max="24" width="9.6640625" hidden="1" customWidth="1"/>
    <col min="25" max="25" width="10.6640625" customWidth="1"/>
    <col min="26" max="26" width="11.77734375" customWidth="1"/>
    <col min="27" max="27" width="14.44140625" customWidth="1"/>
    <col min="28" max="29" width="8.6640625" customWidth="1"/>
    <col min="30" max="30" width="10.6640625" customWidth="1"/>
    <col min="31" max="34" width="9.6640625" customWidth="1"/>
    <col min="35" max="35" width="16.77734375" customWidth="1"/>
    <col min="36" max="36" width="14.6640625" customWidth="1"/>
  </cols>
  <sheetData>
    <row r="1" spans="1:38" x14ac:dyDescent="0.25">
      <c r="A1" s="199"/>
      <c r="B1" s="156"/>
      <c r="C1" s="157" t="s">
        <v>405</v>
      </c>
      <c r="D1" s="158"/>
      <c r="E1" s="159"/>
      <c r="F1" s="158"/>
      <c r="G1" s="158"/>
      <c r="H1" s="158"/>
      <c r="I1" s="158"/>
      <c r="J1" s="158"/>
      <c r="K1" s="158"/>
      <c r="L1" s="158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</row>
    <row r="2" spans="1:38" x14ac:dyDescent="0.25">
      <c r="A2" s="199"/>
      <c r="B2" s="156"/>
      <c r="C2" s="157" t="s">
        <v>406</v>
      </c>
      <c r="D2" s="158"/>
      <c r="E2" s="159"/>
      <c r="F2" s="158"/>
      <c r="G2" s="158"/>
      <c r="H2" s="158"/>
      <c r="I2" s="158"/>
      <c r="J2" s="158"/>
      <c r="K2" s="158"/>
      <c r="L2" s="158"/>
      <c r="M2" s="156"/>
      <c r="N2" s="161">
        <v>3</v>
      </c>
      <c r="O2" s="162" t="s">
        <v>407</v>
      </c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</row>
    <row r="3" spans="1:38" x14ac:dyDescent="0.25">
      <c r="A3" s="163"/>
      <c r="B3" s="156"/>
      <c r="C3" s="622" t="s">
        <v>408</v>
      </c>
      <c r="D3" s="622"/>
      <c r="E3" s="622"/>
      <c r="F3" s="622"/>
      <c r="G3" s="622"/>
      <c r="H3" s="622"/>
      <c r="I3" s="622"/>
      <c r="J3" s="622"/>
      <c r="K3" s="622"/>
      <c r="L3" s="622"/>
      <c r="M3" s="156"/>
      <c r="N3" s="161">
        <v>9</v>
      </c>
      <c r="O3" s="162" t="s">
        <v>409</v>
      </c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62" t="s">
        <v>410</v>
      </c>
      <c r="AF3" s="162" t="s">
        <v>411</v>
      </c>
      <c r="AG3" s="156"/>
      <c r="AH3" s="156"/>
      <c r="AI3" s="156"/>
      <c r="AJ3" s="156"/>
      <c r="AK3" s="156"/>
      <c r="AL3" s="156"/>
    </row>
    <row r="4" spans="1:38" x14ac:dyDescent="0.25">
      <c r="A4" s="163"/>
      <c r="B4" s="156"/>
      <c r="C4" s="164"/>
      <c r="D4" s="162"/>
      <c r="E4" s="161"/>
      <c r="F4" s="156"/>
      <c r="G4" s="156"/>
      <c r="H4" s="156"/>
      <c r="I4" s="156"/>
      <c r="J4" s="156"/>
      <c r="K4" s="156"/>
      <c r="L4" s="160"/>
      <c r="M4" s="156"/>
      <c r="N4" s="165">
        <v>2015</v>
      </c>
      <c r="O4" s="162" t="s">
        <v>412</v>
      </c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62" t="s">
        <v>413</v>
      </c>
      <c r="AF4" s="162" t="s">
        <v>414</v>
      </c>
      <c r="AG4" s="156"/>
      <c r="AH4" s="156"/>
      <c r="AI4" s="156"/>
      <c r="AJ4" s="156"/>
      <c r="AK4" s="156"/>
      <c r="AL4" s="156"/>
    </row>
    <row r="5" spans="1:38" x14ac:dyDescent="0.25">
      <c r="A5" s="163"/>
      <c r="B5" s="156"/>
      <c r="C5" s="164"/>
      <c r="D5" s="162"/>
      <c r="E5" s="161"/>
      <c r="F5" s="156"/>
      <c r="G5" s="156"/>
      <c r="H5" s="156"/>
      <c r="I5" s="156"/>
      <c r="J5" s="156"/>
      <c r="K5" s="156"/>
      <c r="L5" s="160"/>
      <c r="M5" s="156"/>
      <c r="N5" s="165">
        <v>2016</v>
      </c>
      <c r="O5" s="162" t="s">
        <v>415</v>
      </c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62" t="s">
        <v>416</v>
      </c>
      <c r="AF5" s="162" t="s">
        <v>417</v>
      </c>
      <c r="AG5" s="156"/>
      <c r="AH5" s="156"/>
      <c r="AI5" s="156"/>
      <c r="AJ5" s="156"/>
      <c r="AK5" s="156"/>
      <c r="AL5" s="156"/>
    </row>
    <row r="6" spans="1:38" x14ac:dyDescent="0.25">
      <c r="A6" s="163"/>
      <c r="B6" s="156"/>
      <c r="C6" s="156"/>
      <c r="D6" s="162"/>
      <c r="E6" s="161"/>
      <c r="F6" s="156"/>
      <c r="G6" s="156"/>
      <c r="H6" s="156"/>
      <c r="I6" s="156"/>
      <c r="J6" s="156"/>
      <c r="K6" s="156"/>
      <c r="L6" s="160"/>
      <c r="M6" s="156"/>
      <c r="N6" s="165"/>
      <c r="O6" s="162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62"/>
      <c r="AF6" s="162"/>
      <c r="AG6" s="156"/>
      <c r="AH6" s="156"/>
      <c r="AI6" s="156"/>
      <c r="AJ6" s="156"/>
      <c r="AK6" s="156"/>
      <c r="AL6" s="156"/>
    </row>
    <row r="7" spans="1:38" x14ac:dyDescent="0.25">
      <c r="A7" s="163"/>
      <c r="B7" s="156"/>
      <c r="C7" s="156"/>
      <c r="D7" s="162"/>
      <c r="E7" s="161"/>
      <c r="F7" s="156"/>
      <c r="G7" s="156"/>
      <c r="H7" s="156"/>
      <c r="I7" s="156"/>
      <c r="J7" s="156"/>
      <c r="K7" s="156"/>
      <c r="L7" s="160"/>
      <c r="M7" s="156"/>
      <c r="N7" s="165"/>
      <c r="O7" s="162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62"/>
      <c r="AF7" s="162"/>
      <c r="AG7" s="156"/>
      <c r="AH7" s="156"/>
      <c r="AI7" s="156"/>
      <c r="AJ7" s="156"/>
      <c r="AK7" s="156"/>
      <c r="AL7" s="156"/>
    </row>
    <row r="8" spans="1:38" x14ac:dyDescent="0.25">
      <c r="A8" s="163"/>
      <c r="B8" s="156"/>
      <c r="C8" s="156"/>
      <c r="D8" s="162"/>
      <c r="E8" s="161"/>
      <c r="F8" s="156"/>
      <c r="G8" s="156"/>
      <c r="H8" s="156"/>
      <c r="I8" s="156"/>
      <c r="J8" s="156"/>
      <c r="K8" s="156"/>
      <c r="L8" s="160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62"/>
      <c r="AF8" s="162"/>
      <c r="AG8" s="156"/>
      <c r="AH8" s="156"/>
      <c r="AI8" s="156"/>
      <c r="AJ8" s="156"/>
      <c r="AK8" s="156"/>
      <c r="AL8" s="156"/>
    </row>
    <row r="9" spans="1:38" x14ac:dyDescent="0.25">
      <c r="A9" s="163"/>
      <c r="B9" s="156"/>
      <c r="C9" s="156"/>
      <c r="D9" s="156"/>
      <c r="E9" s="161"/>
      <c r="F9" s="156"/>
      <c r="G9" s="156"/>
      <c r="H9" s="156"/>
      <c r="I9" s="156"/>
      <c r="J9" s="156"/>
      <c r="K9" s="156"/>
      <c r="L9" s="160"/>
      <c r="M9" s="156"/>
      <c r="N9" s="156"/>
      <c r="O9" s="156"/>
      <c r="P9" s="156"/>
      <c r="Q9" s="156"/>
      <c r="R9" s="156"/>
      <c r="S9" s="156"/>
      <c r="T9" s="166" t="s">
        <v>82</v>
      </c>
      <c r="U9" s="167" t="s">
        <v>418</v>
      </c>
      <c r="V9" s="167" t="s">
        <v>419</v>
      </c>
      <c r="W9" s="168"/>
      <c r="X9" s="167" t="s">
        <v>419</v>
      </c>
      <c r="Y9" s="167" t="s">
        <v>420</v>
      </c>
      <c r="Z9" s="156"/>
      <c r="AA9" s="156"/>
      <c r="AB9" s="156"/>
      <c r="AC9" s="156"/>
      <c r="AD9" s="156"/>
      <c r="AE9" s="162" t="s">
        <v>421</v>
      </c>
      <c r="AF9" s="162" t="s">
        <v>422</v>
      </c>
      <c r="AG9" s="156"/>
      <c r="AH9" s="156"/>
      <c r="AI9" s="156"/>
      <c r="AJ9" s="156"/>
      <c r="AK9" s="156"/>
      <c r="AL9" s="156"/>
    </row>
    <row r="10" spans="1:38" x14ac:dyDescent="0.25">
      <c r="A10" s="163"/>
      <c r="B10" s="156"/>
      <c r="C10" s="168"/>
      <c r="D10" s="157" t="s">
        <v>423</v>
      </c>
      <c r="E10" s="169"/>
      <c r="F10" s="167" t="s">
        <v>424</v>
      </c>
      <c r="G10" s="168"/>
      <c r="H10" s="168"/>
      <c r="I10" s="167" t="s">
        <v>425</v>
      </c>
      <c r="J10" s="168"/>
      <c r="K10" s="168"/>
      <c r="L10" s="170"/>
      <c r="M10" s="168"/>
      <c r="N10" s="168"/>
      <c r="O10" s="168"/>
      <c r="P10" s="168"/>
      <c r="Q10" s="167" t="s">
        <v>341</v>
      </c>
      <c r="R10" s="167" t="s">
        <v>82</v>
      </c>
      <c r="S10" s="168"/>
      <c r="T10" s="167" t="s">
        <v>419</v>
      </c>
      <c r="U10" s="167" t="s">
        <v>426</v>
      </c>
      <c r="V10" s="167" t="s">
        <v>426</v>
      </c>
      <c r="W10" s="167" t="s">
        <v>427</v>
      </c>
      <c r="X10" s="167" t="s">
        <v>428</v>
      </c>
      <c r="Y10" s="167" t="s">
        <v>426</v>
      </c>
      <c r="Z10" s="168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</row>
    <row r="11" spans="1:38" x14ac:dyDescent="0.25">
      <c r="A11" s="163"/>
      <c r="B11" s="156"/>
      <c r="C11" s="168"/>
      <c r="D11" s="167"/>
      <c r="E11" s="171"/>
      <c r="F11" s="167" t="s">
        <v>429</v>
      </c>
      <c r="G11" s="167" t="s">
        <v>430</v>
      </c>
      <c r="H11" s="167" t="s">
        <v>431</v>
      </c>
      <c r="I11" s="167" t="s">
        <v>432</v>
      </c>
      <c r="J11" s="167" t="s">
        <v>341</v>
      </c>
      <c r="K11" s="168"/>
      <c r="L11" s="170" t="s">
        <v>433</v>
      </c>
      <c r="M11" s="167" t="s">
        <v>433</v>
      </c>
      <c r="N11" s="167" t="s">
        <v>434</v>
      </c>
      <c r="O11" s="167" t="s">
        <v>435</v>
      </c>
      <c r="P11" s="167" t="s">
        <v>436</v>
      </c>
      <c r="Q11" s="167" t="s">
        <v>425</v>
      </c>
      <c r="R11" s="167" t="s">
        <v>437</v>
      </c>
      <c r="S11" s="167" t="s">
        <v>438</v>
      </c>
      <c r="T11" s="167" t="s">
        <v>436</v>
      </c>
      <c r="U11" s="167" t="s">
        <v>439</v>
      </c>
      <c r="V11" s="167" t="s">
        <v>439</v>
      </c>
      <c r="W11" s="167" t="s">
        <v>440</v>
      </c>
      <c r="X11" s="167" t="s">
        <v>441</v>
      </c>
      <c r="Y11" s="167" t="s">
        <v>439</v>
      </c>
      <c r="Z11" s="167" t="s">
        <v>442</v>
      </c>
      <c r="AA11" s="166"/>
      <c r="AB11" s="166"/>
      <c r="AC11" s="166"/>
      <c r="AD11" s="156"/>
      <c r="AE11" s="156"/>
      <c r="AF11" s="156"/>
      <c r="AG11" s="156"/>
      <c r="AH11" s="156"/>
      <c r="AI11" s="156" t="s">
        <v>443</v>
      </c>
      <c r="AJ11" s="156" t="s">
        <v>444</v>
      </c>
      <c r="AK11" s="156"/>
      <c r="AL11" s="156"/>
    </row>
    <row r="12" spans="1:38" ht="16.5" thickBot="1" x14ac:dyDescent="0.3">
      <c r="A12" s="172" t="s">
        <v>445</v>
      </c>
      <c r="B12" s="156"/>
      <c r="C12" s="167" t="s">
        <v>446</v>
      </c>
      <c r="D12" s="173" t="s">
        <v>425</v>
      </c>
      <c r="E12" s="174" t="s">
        <v>447</v>
      </c>
      <c r="F12" s="175" t="s">
        <v>438</v>
      </c>
      <c r="G12" s="175"/>
      <c r="H12" s="175"/>
      <c r="I12" s="175" t="s">
        <v>439</v>
      </c>
      <c r="J12" s="175" t="s">
        <v>448</v>
      </c>
      <c r="K12" s="175" t="s">
        <v>449</v>
      </c>
      <c r="L12" s="176" t="s">
        <v>450</v>
      </c>
      <c r="M12" s="175" t="s">
        <v>341</v>
      </c>
      <c r="N12" s="175" t="s">
        <v>450</v>
      </c>
      <c r="O12" s="175" t="s">
        <v>439</v>
      </c>
      <c r="P12" s="175" t="s">
        <v>439</v>
      </c>
      <c r="Q12" s="175" t="s">
        <v>441</v>
      </c>
      <c r="R12" s="175" t="s">
        <v>441</v>
      </c>
      <c r="S12" s="175" t="s">
        <v>440</v>
      </c>
      <c r="T12" s="175" t="s">
        <v>441</v>
      </c>
      <c r="U12" s="177">
        <v>42277</v>
      </c>
      <c r="V12" s="177">
        <f>U12</f>
        <v>42277</v>
      </c>
      <c r="W12" s="175" t="s">
        <v>438</v>
      </c>
      <c r="X12" s="177">
        <f>U12</f>
        <v>42277</v>
      </c>
      <c r="Y12" s="177">
        <v>42643</v>
      </c>
      <c r="Z12" s="175" t="s">
        <v>451</v>
      </c>
      <c r="AA12" s="166"/>
      <c r="AB12" s="166"/>
      <c r="AC12" s="166"/>
      <c r="AD12" s="156"/>
      <c r="AE12" s="166"/>
      <c r="AF12" s="166"/>
      <c r="AG12" s="166"/>
      <c r="AH12" s="166"/>
      <c r="AI12" s="156"/>
      <c r="AJ12" s="156"/>
      <c r="AK12" s="156"/>
      <c r="AL12" s="156"/>
    </row>
    <row r="13" spans="1:38" ht="16.5" thickTop="1" x14ac:dyDescent="0.25">
      <c r="A13" s="163"/>
      <c r="B13" s="156"/>
      <c r="C13" s="187"/>
      <c r="D13" s="182"/>
      <c r="E13" s="161"/>
      <c r="F13" s="156"/>
      <c r="G13" s="166"/>
      <c r="H13" s="156"/>
      <c r="I13" s="182"/>
      <c r="J13" s="156"/>
      <c r="K13" s="156"/>
      <c r="L13" s="188"/>
      <c r="M13" s="189"/>
      <c r="N13" s="189"/>
      <c r="O13" s="190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56"/>
      <c r="AB13" s="156"/>
      <c r="AC13" s="156"/>
      <c r="AD13" s="181"/>
      <c r="AE13" s="181"/>
      <c r="AF13" s="181"/>
      <c r="AG13" s="181"/>
      <c r="AH13" s="181"/>
      <c r="AI13" s="156"/>
      <c r="AJ13" s="156"/>
      <c r="AK13" s="156"/>
      <c r="AL13" s="156"/>
    </row>
    <row r="14" spans="1:38" x14ac:dyDescent="0.25">
      <c r="A14" s="163"/>
      <c r="B14" s="156"/>
      <c r="C14" s="319" t="s">
        <v>453</v>
      </c>
      <c r="D14" s="165"/>
      <c r="E14" s="161"/>
      <c r="F14" s="161"/>
      <c r="G14" s="161"/>
      <c r="H14" s="161"/>
      <c r="I14" s="165"/>
      <c r="J14" s="161"/>
      <c r="K14" s="161"/>
      <c r="L14" s="19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56" t="s">
        <v>454</v>
      </c>
      <c r="AB14" s="156" t="s">
        <v>455</v>
      </c>
      <c r="AC14" s="156" t="s">
        <v>456</v>
      </c>
      <c r="AD14" s="181" t="s">
        <v>457</v>
      </c>
      <c r="AE14" s="181"/>
      <c r="AF14" s="156" t="s">
        <v>456</v>
      </c>
      <c r="AG14" s="181" t="s">
        <v>457</v>
      </c>
      <c r="AH14" s="181"/>
      <c r="AI14" s="156"/>
      <c r="AJ14" s="156"/>
      <c r="AK14" s="156"/>
      <c r="AL14" s="156"/>
    </row>
    <row r="15" spans="1:38" x14ac:dyDescent="0.25">
      <c r="A15" s="192">
        <v>178</v>
      </c>
      <c r="B15" s="156" t="s">
        <v>458</v>
      </c>
      <c r="C15" s="194" t="s">
        <v>459</v>
      </c>
      <c r="D15" s="165">
        <v>1988</v>
      </c>
      <c r="E15" s="161">
        <v>8</v>
      </c>
      <c r="F15" s="178">
        <v>0.2</v>
      </c>
      <c r="G15" s="179" t="s">
        <v>452</v>
      </c>
      <c r="H15" s="161">
        <v>7</v>
      </c>
      <c r="I15" s="165">
        <f t="shared" ref="I15:I70" si="0">D15+H15</f>
        <v>1995</v>
      </c>
      <c r="J15" s="161"/>
      <c r="K15" s="161"/>
      <c r="L15" s="180">
        <v>7498</v>
      </c>
      <c r="M15" s="161"/>
      <c r="N15" s="161">
        <f t="shared" ref="N15:N73" si="1">L15-L15*F15</f>
        <v>5998.4</v>
      </c>
      <c r="O15" s="161">
        <f t="shared" ref="O15:O73" si="2">N15/H15/12</f>
        <v>71.409523809523805</v>
      </c>
      <c r="P15" s="161">
        <f t="shared" ref="P15:P73" si="3">IF(M15&gt;0,0,IF((OR((AA15&gt;AB15),(AC15&lt;AD15))),0,IF((AND((AC15&gt;=AD15),(AC15&lt;=AB15))),O15*((AC15-AD15)*12),IF((AND((AD15&lt;=AA15),(AB15&gt;=AA15))),((AB15-AA15)*12)*O15,IF(AC15&gt;AB15,12*O15,0)))))</f>
        <v>0</v>
      </c>
      <c r="Q15" s="161">
        <f t="shared" ref="Q15:Q73" si="4">IF(M15=0,0,IF((AND((AE15&gt;=AD15),(AE15&lt;=AC15))),((AE15-AD15)*12)*O15,0))</f>
        <v>0</v>
      </c>
      <c r="R15" s="161">
        <f t="shared" ref="R15:R73" si="5">IF(Q15&gt;0,Q15,P15)</f>
        <v>0</v>
      </c>
      <c r="S15" s="161">
        <v>1</v>
      </c>
      <c r="T15" s="161">
        <f t="shared" ref="T15:T73" si="6">S15*SUM(P15:Q15)</f>
        <v>0</v>
      </c>
      <c r="U15" s="161">
        <f t="shared" ref="U15:U73" si="7">IF(AA15&gt;AB15,0,IF(AC15&lt;AD15,N15,IF((AND((AC15&gt;=AD15),(AC15&lt;=AB15))),(N15-R15),IF((AND((AD15&lt;=AA15),(AB15&gt;=AA15))),0,IF(AC15&gt;AB15,((AD15-AA15)*12)*O15,0)))))</f>
        <v>5998.4</v>
      </c>
      <c r="V15" s="161">
        <f t="shared" ref="V15:V73" si="8">U15*S15</f>
        <v>5998.4</v>
      </c>
      <c r="W15" s="161">
        <v>1</v>
      </c>
      <c r="X15" s="161">
        <f t="shared" ref="X15:X73" si="9">V15*W15</f>
        <v>5998.4</v>
      </c>
      <c r="Y15" s="161">
        <f t="shared" ref="Y15:Y73" si="10">IF(M15&gt;0,0,X15+T15*W15)*W15</f>
        <v>5998.4</v>
      </c>
      <c r="Z15" s="161">
        <f t="shared" ref="Z15:Z73" si="11">IF(M15&gt;0,(L15-X15)/2,IF(AA15&gt;=AD15,(((L15*S15)*W15)-Y15)/2,((((L15*S15)*W15)-X15)+(((L15*S15)*W15)-Y15))/2))</f>
        <v>1499.6000000000004</v>
      </c>
      <c r="AA15" s="156">
        <f t="shared" ref="AA15:AA73" si="12">$D15+(($E15-1)/12)</f>
        <v>1988.5833333333333</v>
      </c>
      <c r="AB15" s="156">
        <f t="shared" ref="AB15:AB73" si="13">($N$5+1)-($N$2/12)</f>
        <v>2016.75</v>
      </c>
      <c r="AC15" s="156">
        <f t="shared" ref="AC15:AC73" si="14">$I15+(($E15-1)/12)</f>
        <v>1995.5833333333333</v>
      </c>
      <c r="AD15" s="181">
        <f t="shared" ref="AD15:AD73" si="15">$N$4+($N$3/12)</f>
        <v>2015.75</v>
      </c>
      <c r="AE15" s="181">
        <f t="shared" ref="AE15:AE73" si="16">$J15+(($K15-1)/12)</f>
        <v>-8.3333333333333329E-2</v>
      </c>
      <c r="AF15" s="181">
        <f t="shared" ref="AF15:AF73" si="17">$I15+(($E15-1)/12)</f>
        <v>1995.5833333333333</v>
      </c>
      <c r="AG15" s="181">
        <f t="shared" ref="AG15:AG73" si="18">$N$4+($N$3/12)</f>
        <v>2015.75</v>
      </c>
      <c r="AH15" s="181">
        <f t="shared" ref="AH15:AH73" si="19">$J15+(($K15-1)/12)</f>
        <v>-8.3333333333333329E-2</v>
      </c>
      <c r="AI15" s="156" t="s">
        <v>460</v>
      </c>
      <c r="AJ15" s="156" t="s">
        <v>461</v>
      </c>
      <c r="AK15" s="156"/>
      <c r="AL15" s="156"/>
    </row>
    <row r="16" spans="1:38" x14ac:dyDescent="0.25">
      <c r="A16" s="195" t="s">
        <v>462</v>
      </c>
      <c r="B16" s="156" t="s">
        <v>458</v>
      </c>
      <c r="C16" s="194" t="s">
        <v>463</v>
      </c>
      <c r="D16" s="165">
        <v>1991</v>
      </c>
      <c r="E16" s="161">
        <v>8</v>
      </c>
      <c r="F16" s="178">
        <v>0.2</v>
      </c>
      <c r="G16" s="179" t="s">
        <v>452</v>
      </c>
      <c r="H16" s="161">
        <v>7</v>
      </c>
      <c r="I16" s="165">
        <f t="shared" si="0"/>
        <v>1998</v>
      </c>
      <c r="J16" s="161"/>
      <c r="K16" s="161"/>
      <c r="L16" s="180">
        <v>7498</v>
      </c>
      <c r="M16" s="161"/>
      <c r="N16" s="161">
        <f t="shared" si="1"/>
        <v>5998.4</v>
      </c>
      <c r="O16" s="161">
        <f t="shared" si="2"/>
        <v>71.409523809523805</v>
      </c>
      <c r="P16" s="161">
        <f t="shared" si="3"/>
        <v>0</v>
      </c>
      <c r="Q16" s="161">
        <f t="shared" si="4"/>
        <v>0</v>
      </c>
      <c r="R16" s="161">
        <f t="shared" si="5"/>
        <v>0</v>
      </c>
      <c r="S16" s="161">
        <v>1</v>
      </c>
      <c r="T16" s="161">
        <f t="shared" si="6"/>
        <v>0</v>
      </c>
      <c r="U16" s="161">
        <f t="shared" si="7"/>
        <v>5998.4</v>
      </c>
      <c r="V16" s="161">
        <f t="shared" si="8"/>
        <v>5998.4</v>
      </c>
      <c r="W16" s="161">
        <v>1</v>
      </c>
      <c r="X16" s="161">
        <f t="shared" si="9"/>
        <v>5998.4</v>
      </c>
      <c r="Y16" s="161">
        <f t="shared" si="10"/>
        <v>5998.4</v>
      </c>
      <c r="Z16" s="161">
        <f t="shared" si="11"/>
        <v>1499.6000000000004</v>
      </c>
      <c r="AA16" s="156">
        <f t="shared" si="12"/>
        <v>1991.5833333333333</v>
      </c>
      <c r="AB16" s="156">
        <f t="shared" si="13"/>
        <v>2016.75</v>
      </c>
      <c r="AC16" s="156">
        <f t="shared" si="14"/>
        <v>1998.5833333333333</v>
      </c>
      <c r="AD16" s="181">
        <f t="shared" si="15"/>
        <v>2015.75</v>
      </c>
      <c r="AE16" s="181">
        <f t="shared" si="16"/>
        <v>-8.3333333333333329E-2</v>
      </c>
      <c r="AF16" s="181">
        <f t="shared" si="17"/>
        <v>1998.5833333333333</v>
      </c>
      <c r="AG16" s="181">
        <f t="shared" si="18"/>
        <v>2015.75</v>
      </c>
      <c r="AH16" s="181">
        <f t="shared" si="19"/>
        <v>-8.3333333333333329E-2</v>
      </c>
      <c r="AI16" s="156" t="s">
        <v>460</v>
      </c>
      <c r="AJ16" s="156"/>
      <c r="AK16" s="156"/>
      <c r="AL16" s="156"/>
    </row>
    <row r="17" spans="1:38" x14ac:dyDescent="0.25">
      <c r="A17" s="195" t="s">
        <v>465</v>
      </c>
      <c r="B17" s="156" t="s">
        <v>458</v>
      </c>
      <c r="C17" s="196" t="s">
        <v>466</v>
      </c>
      <c r="D17" s="165">
        <v>2002</v>
      </c>
      <c r="E17" s="161">
        <v>11</v>
      </c>
      <c r="F17" s="178">
        <v>0.2</v>
      </c>
      <c r="G17" s="179" t="s">
        <v>452</v>
      </c>
      <c r="H17" s="161">
        <v>7</v>
      </c>
      <c r="I17" s="165">
        <f t="shared" si="0"/>
        <v>2009</v>
      </c>
      <c r="J17" s="161"/>
      <c r="K17" s="161"/>
      <c r="L17" s="180">
        <v>30875.55</v>
      </c>
      <c r="M17" s="161"/>
      <c r="N17" s="161">
        <f t="shared" si="1"/>
        <v>24700.44</v>
      </c>
      <c r="O17" s="161">
        <f t="shared" si="2"/>
        <v>294.05285714285714</v>
      </c>
      <c r="P17" s="161">
        <f t="shared" si="3"/>
        <v>0</v>
      </c>
      <c r="Q17" s="161">
        <f t="shared" si="4"/>
        <v>0</v>
      </c>
      <c r="R17" s="161">
        <f t="shared" si="5"/>
        <v>0</v>
      </c>
      <c r="S17" s="161">
        <v>1</v>
      </c>
      <c r="T17" s="161">
        <f t="shared" si="6"/>
        <v>0</v>
      </c>
      <c r="U17" s="161">
        <f t="shared" si="7"/>
        <v>24700.44</v>
      </c>
      <c r="V17" s="161">
        <f t="shared" si="8"/>
        <v>24700.44</v>
      </c>
      <c r="W17" s="161">
        <v>1</v>
      </c>
      <c r="X17" s="161">
        <f t="shared" si="9"/>
        <v>24700.44</v>
      </c>
      <c r="Y17" s="161">
        <f t="shared" si="10"/>
        <v>24700.44</v>
      </c>
      <c r="Z17" s="161">
        <f t="shared" si="11"/>
        <v>6175.1100000000006</v>
      </c>
      <c r="AA17" s="156">
        <f t="shared" si="12"/>
        <v>2002.8333333333333</v>
      </c>
      <c r="AB17" s="156">
        <f t="shared" si="13"/>
        <v>2016.75</v>
      </c>
      <c r="AC17" s="156">
        <f t="shared" si="14"/>
        <v>2009.8333333333333</v>
      </c>
      <c r="AD17" s="181">
        <f t="shared" si="15"/>
        <v>2015.75</v>
      </c>
      <c r="AE17" s="181">
        <f t="shared" si="16"/>
        <v>-8.3333333333333329E-2</v>
      </c>
      <c r="AF17" s="181">
        <f t="shared" si="17"/>
        <v>2009.8333333333333</v>
      </c>
      <c r="AG17" s="181">
        <f t="shared" si="18"/>
        <v>2015.75</v>
      </c>
      <c r="AH17" s="181">
        <f t="shared" si="19"/>
        <v>-8.3333333333333329E-2</v>
      </c>
      <c r="AI17" s="156" t="s">
        <v>460</v>
      </c>
      <c r="AJ17" s="156"/>
      <c r="AK17" s="156"/>
      <c r="AL17" s="156"/>
    </row>
    <row r="18" spans="1:38" x14ac:dyDescent="0.25">
      <c r="A18" s="195" t="s">
        <v>467</v>
      </c>
      <c r="B18" s="156" t="s">
        <v>458</v>
      </c>
      <c r="C18" s="196" t="s">
        <v>468</v>
      </c>
      <c r="D18" s="165">
        <v>2005</v>
      </c>
      <c r="E18" s="161">
        <v>11</v>
      </c>
      <c r="F18" s="178">
        <v>0.2</v>
      </c>
      <c r="G18" s="179" t="s">
        <v>452</v>
      </c>
      <c r="H18" s="161">
        <v>7</v>
      </c>
      <c r="I18" s="165">
        <f t="shared" si="0"/>
        <v>2012</v>
      </c>
      <c r="J18" s="161"/>
      <c r="K18" s="161"/>
      <c r="L18" s="180">
        <v>30875.55</v>
      </c>
      <c r="M18" s="161"/>
      <c r="N18" s="161">
        <f t="shared" si="1"/>
        <v>24700.44</v>
      </c>
      <c r="O18" s="161">
        <f t="shared" si="2"/>
        <v>294.05285714285714</v>
      </c>
      <c r="P18" s="161">
        <f t="shared" si="3"/>
        <v>0</v>
      </c>
      <c r="Q18" s="161">
        <f t="shared" si="4"/>
        <v>0</v>
      </c>
      <c r="R18" s="161">
        <f t="shared" si="5"/>
        <v>0</v>
      </c>
      <c r="S18" s="161">
        <v>1</v>
      </c>
      <c r="T18" s="161">
        <f t="shared" si="6"/>
        <v>0</v>
      </c>
      <c r="U18" s="161">
        <f t="shared" si="7"/>
        <v>24700.44</v>
      </c>
      <c r="V18" s="161">
        <f t="shared" si="8"/>
        <v>24700.44</v>
      </c>
      <c r="W18" s="161">
        <v>1</v>
      </c>
      <c r="X18" s="161">
        <f t="shared" si="9"/>
        <v>24700.44</v>
      </c>
      <c r="Y18" s="161">
        <f t="shared" si="10"/>
        <v>24700.44</v>
      </c>
      <c r="Z18" s="161">
        <f t="shared" si="11"/>
        <v>6175.1100000000006</v>
      </c>
      <c r="AA18" s="156">
        <f t="shared" si="12"/>
        <v>2005.8333333333333</v>
      </c>
      <c r="AB18" s="156">
        <f t="shared" si="13"/>
        <v>2016.75</v>
      </c>
      <c r="AC18" s="156">
        <f t="shared" si="14"/>
        <v>2012.8333333333333</v>
      </c>
      <c r="AD18" s="181">
        <f t="shared" si="15"/>
        <v>2015.75</v>
      </c>
      <c r="AE18" s="181">
        <f t="shared" si="16"/>
        <v>-8.3333333333333329E-2</v>
      </c>
      <c r="AF18" s="181">
        <f t="shared" si="17"/>
        <v>2012.8333333333333</v>
      </c>
      <c r="AG18" s="181">
        <f t="shared" si="18"/>
        <v>2015.75</v>
      </c>
      <c r="AH18" s="181">
        <f t="shared" si="19"/>
        <v>-8.3333333333333329E-2</v>
      </c>
      <c r="AI18" s="156" t="s">
        <v>460</v>
      </c>
      <c r="AJ18" s="156"/>
      <c r="AK18" s="156"/>
      <c r="AL18" s="156"/>
    </row>
    <row r="19" spans="1:38" x14ac:dyDescent="0.25">
      <c r="A19" s="195" t="s">
        <v>469</v>
      </c>
      <c r="B19" s="156" t="s">
        <v>458</v>
      </c>
      <c r="C19" s="194" t="s">
        <v>470</v>
      </c>
      <c r="D19" s="165">
        <v>1999</v>
      </c>
      <c r="E19" s="161">
        <v>11</v>
      </c>
      <c r="F19" s="178">
        <v>0.2</v>
      </c>
      <c r="G19" s="179" t="s">
        <v>452</v>
      </c>
      <c r="H19" s="161">
        <v>7</v>
      </c>
      <c r="I19" s="165">
        <f t="shared" si="0"/>
        <v>2006</v>
      </c>
      <c r="J19" s="161"/>
      <c r="K19" s="161"/>
      <c r="L19" s="180">
        <v>97222.96</v>
      </c>
      <c r="M19" s="161"/>
      <c r="N19" s="161">
        <f t="shared" si="1"/>
        <v>77778.368000000002</v>
      </c>
      <c r="O19" s="161">
        <f t="shared" si="2"/>
        <v>925.93295238095243</v>
      </c>
      <c r="P19" s="161">
        <f t="shared" si="3"/>
        <v>0</v>
      </c>
      <c r="Q19" s="161">
        <f t="shared" si="4"/>
        <v>0</v>
      </c>
      <c r="R19" s="161">
        <f t="shared" si="5"/>
        <v>0</v>
      </c>
      <c r="S19" s="161">
        <v>1</v>
      </c>
      <c r="T19" s="161">
        <f t="shared" si="6"/>
        <v>0</v>
      </c>
      <c r="U19" s="161">
        <f t="shared" si="7"/>
        <v>77778.368000000002</v>
      </c>
      <c r="V19" s="161">
        <f t="shared" si="8"/>
        <v>77778.368000000002</v>
      </c>
      <c r="W19" s="161">
        <v>1</v>
      </c>
      <c r="X19" s="161">
        <f t="shared" si="9"/>
        <v>77778.368000000002</v>
      </c>
      <c r="Y19" s="161">
        <f t="shared" si="10"/>
        <v>77778.368000000002</v>
      </c>
      <c r="Z19" s="161">
        <f t="shared" si="11"/>
        <v>19444.592000000004</v>
      </c>
      <c r="AA19" s="181">
        <f t="shared" si="12"/>
        <v>1999.8333333333333</v>
      </c>
      <c r="AB19" s="156">
        <f t="shared" si="13"/>
        <v>2016.75</v>
      </c>
      <c r="AC19" s="156">
        <f t="shared" si="14"/>
        <v>2006.8333333333333</v>
      </c>
      <c r="AD19" s="181">
        <f t="shared" si="15"/>
        <v>2015.75</v>
      </c>
      <c r="AE19" s="181">
        <f t="shared" si="16"/>
        <v>-8.3333333333333329E-2</v>
      </c>
      <c r="AF19" s="181">
        <f t="shared" si="17"/>
        <v>2006.8333333333333</v>
      </c>
      <c r="AG19" s="181">
        <f t="shared" si="18"/>
        <v>2015.75</v>
      </c>
      <c r="AH19" s="181">
        <f t="shared" si="19"/>
        <v>-8.3333333333333329E-2</v>
      </c>
      <c r="AI19" s="156" t="s">
        <v>471</v>
      </c>
      <c r="AJ19" s="156"/>
      <c r="AK19" s="156"/>
      <c r="AL19" s="156"/>
    </row>
    <row r="20" spans="1:38" x14ac:dyDescent="0.25">
      <c r="A20" s="163"/>
      <c r="B20" s="161" t="s">
        <v>458</v>
      </c>
      <c r="C20" s="194" t="s">
        <v>472</v>
      </c>
      <c r="D20" s="165">
        <v>1999</v>
      </c>
      <c r="E20" s="161">
        <v>12</v>
      </c>
      <c r="F20" s="178">
        <v>0.2</v>
      </c>
      <c r="G20" s="179" t="s">
        <v>452</v>
      </c>
      <c r="H20" s="161">
        <v>7</v>
      </c>
      <c r="I20" s="165">
        <f t="shared" si="0"/>
        <v>2006</v>
      </c>
      <c r="J20" s="161"/>
      <c r="K20" s="161"/>
      <c r="L20" s="180">
        <v>38272.080000000002</v>
      </c>
      <c r="M20" s="161"/>
      <c r="N20" s="161">
        <f t="shared" si="1"/>
        <v>30617.664000000001</v>
      </c>
      <c r="O20" s="161">
        <f t="shared" si="2"/>
        <v>364.49600000000004</v>
      </c>
      <c r="P20" s="161">
        <f t="shared" si="3"/>
        <v>0</v>
      </c>
      <c r="Q20" s="161">
        <f t="shared" si="4"/>
        <v>0</v>
      </c>
      <c r="R20" s="161">
        <f t="shared" si="5"/>
        <v>0</v>
      </c>
      <c r="S20" s="161">
        <v>1</v>
      </c>
      <c r="T20" s="161">
        <f t="shared" si="6"/>
        <v>0</v>
      </c>
      <c r="U20" s="161">
        <f t="shared" si="7"/>
        <v>30617.664000000001</v>
      </c>
      <c r="V20" s="161">
        <f t="shared" si="8"/>
        <v>30617.664000000001</v>
      </c>
      <c r="W20" s="161">
        <v>1</v>
      </c>
      <c r="X20" s="161">
        <f t="shared" si="9"/>
        <v>30617.664000000001</v>
      </c>
      <c r="Y20" s="161">
        <f t="shared" si="10"/>
        <v>30617.664000000001</v>
      </c>
      <c r="Z20" s="161">
        <f t="shared" si="11"/>
        <v>7654.4160000000011</v>
      </c>
      <c r="AA20" s="161">
        <f t="shared" si="12"/>
        <v>1999.9166666666667</v>
      </c>
      <c r="AB20" s="161">
        <f t="shared" si="13"/>
        <v>2016.75</v>
      </c>
      <c r="AC20" s="161">
        <f t="shared" si="14"/>
        <v>2006.9166666666667</v>
      </c>
      <c r="AD20" s="197">
        <f t="shared" si="15"/>
        <v>2015.75</v>
      </c>
      <c r="AE20" s="197">
        <f t="shared" si="16"/>
        <v>-8.3333333333333329E-2</v>
      </c>
      <c r="AF20" s="197">
        <f t="shared" si="17"/>
        <v>2006.9166666666667</v>
      </c>
      <c r="AG20" s="197">
        <f t="shared" si="18"/>
        <v>2015.75</v>
      </c>
      <c r="AH20" s="197">
        <f t="shared" si="19"/>
        <v>-8.3333333333333329E-2</v>
      </c>
      <c r="AI20" s="156" t="s">
        <v>471</v>
      </c>
      <c r="AJ20" s="161"/>
      <c r="AK20" s="161"/>
      <c r="AL20" s="161"/>
    </row>
    <row r="21" spans="1:38" x14ac:dyDescent="0.25">
      <c r="A21" s="195" t="s">
        <v>473</v>
      </c>
      <c r="B21" s="156" t="s">
        <v>458</v>
      </c>
      <c r="C21" s="194" t="s">
        <v>474</v>
      </c>
      <c r="D21" s="165">
        <v>2001</v>
      </c>
      <c r="E21" s="161">
        <v>5</v>
      </c>
      <c r="F21" s="178">
        <v>0.2</v>
      </c>
      <c r="G21" s="179" t="s">
        <v>452</v>
      </c>
      <c r="H21" s="161">
        <v>7</v>
      </c>
      <c r="I21" s="165">
        <f t="shared" si="0"/>
        <v>2008</v>
      </c>
      <c r="J21" s="161"/>
      <c r="K21" s="161"/>
      <c r="L21" s="180">
        <v>85862.65</v>
      </c>
      <c r="M21" s="161"/>
      <c r="N21" s="161">
        <f t="shared" si="1"/>
        <v>68690.12</v>
      </c>
      <c r="O21" s="161">
        <f t="shared" si="2"/>
        <v>817.73952380952369</v>
      </c>
      <c r="P21" s="161">
        <f t="shared" si="3"/>
        <v>0</v>
      </c>
      <c r="Q21" s="161">
        <f t="shared" si="4"/>
        <v>0</v>
      </c>
      <c r="R21" s="161">
        <f t="shared" si="5"/>
        <v>0</v>
      </c>
      <c r="S21" s="161">
        <v>1</v>
      </c>
      <c r="T21" s="161">
        <f t="shared" si="6"/>
        <v>0</v>
      </c>
      <c r="U21" s="161">
        <f t="shared" si="7"/>
        <v>68690.12</v>
      </c>
      <c r="V21" s="161">
        <f t="shared" si="8"/>
        <v>68690.12</v>
      </c>
      <c r="W21" s="161">
        <v>1</v>
      </c>
      <c r="X21" s="161">
        <f t="shared" si="9"/>
        <v>68690.12</v>
      </c>
      <c r="Y21" s="161">
        <f t="shared" si="10"/>
        <v>68690.12</v>
      </c>
      <c r="Z21" s="161">
        <f t="shared" si="11"/>
        <v>17172.53</v>
      </c>
      <c r="AA21" s="156">
        <f t="shared" si="12"/>
        <v>2001.3333333333333</v>
      </c>
      <c r="AB21" s="156">
        <f t="shared" si="13"/>
        <v>2016.75</v>
      </c>
      <c r="AC21" s="156">
        <f t="shared" si="14"/>
        <v>2008.3333333333333</v>
      </c>
      <c r="AD21" s="181">
        <f t="shared" si="15"/>
        <v>2015.75</v>
      </c>
      <c r="AE21" s="181">
        <f t="shared" si="16"/>
        <v>-8.3333333333333329E-2</v>
      </c>
      <c r="AF21" s="181">
        <f t="shared" si="17"/>
        <v>2008.3333333333333</v>
      </c>
      <c r="AG21" s="181">
        <f t="shared" si="18"/>
        <v>2015.75</v>
      </c>
      <c r="AH21" s="181">
        <f t="shared" si="19"/>
        <v>-8.3333333333333329E-2</v>
      </c>
      <c r="AI21" s="156" t="s">
        <v>471</v>
      </c>
      <c r="AJ21" s="156"/>
      <c r="AK21" s="156"/>
      <c r="AL21" s="156"/>
    </row>
    <row r="22" spans="1:38" x14ac:dyDescent="0.25">
      <c r="A22" s="163"/>
      <c r="B22" s="156" t="s">
        <v>458</v>
      </c>
      <c r="C22" s="194" t="s">
        <v>475</v>
      </c>
      <c r="D22" s="165">
        <v>2001</v>
      </c>
      <c r="E22" s="161">
        <v>6</v>
      </c>
      <c r="F22" s="178">
        <v>0.2</v>
      </c>
      <c r="G22" s="179" t="s">
        <v>452</v>
      </c>
      <c r="H22" s="161">
        <v>7</v>
      </c>
      <c r="I22" s="165">
        <f t="shared" si="0"/>
        <v>2008</v>
      </c>
      <c r="J22" s="161"/>
      <c r="K22" s="161"/>
      <c r="L22" s="180">
        <v>69034</v>
      </c>
      <c r="M22" s="161"/>
      <c r="N22" s="161">
        <f t="shared" si="1"/>
        <v>55227.199999999997</v>
      </c>
      <c r="O22" s="161">
        <f t="shared" si="2"/>
        <v>657.46666666666658</v>
      </c>
      <c r="P22" s="161">
        <f t="shared" si="3"/>
        <v>0</v>
      </c>
      <c r="Q22" s="161">
        <f t="shared" si="4"/>
        <v>0</v>
      </c>
      <c r="R22" s="161">
        <f t="shared" si="5"/>
        <v>0</v>
      </c>
      <c r="S22" s="161">
        <v>1</v>
      </c>
      <c r="T22" s="161">
        <f t="shared" si="6"/>
        <v>0</v>
      </c>
      <c r="U22" s="161">
        <f t="shared" si="7"/>
        <v>55227.199999999997</v>
      </c>
      <c r="V22" s="161">
        <f t="shared" si="8"/>
        <v>55227.199999999997</v>
      </c>
      <c r="W22" s="161">
        <v>1</v>
      </c>
      <c r="X22" s="161">
        <f t="shared" si="9"/>
        <v>55227.199999999997</v>
      </c>
      <c r="Y22" s="161">
        <f t="shared" si="10"/>
        <v>55227.199999999997</v>
      </c>
      <c r="Z22" s="161">
        <f t="shared" si="11"/>
        <v>13806.800000000003</v>
      </c>
      <c r="AA22" s="156">
        <f t="shared" si="12"/>
        <v>2001.4166666666667</v>
      </c>
      <c r="AB22" s="156">
        <f t="shared" si="13"/>
        <v>2016.75</v>
      </c>
      <c r="AC22" s="156">
        <f t="shared" si="14"/>
        <v>2008.4166666666667</v>
      </c>
      <c r="AD22" s="181">
        <f t="shared" si="15"/>
        <v>2015.75</v>
      </c>
      <c r="AE22" s="181">
        <f t="shared" si="16"/>
        <v>-8.3333333333333329E-2</v>
      </c>
      <c r="AF22" s="181">
        <f t="shared" si="17"/>
        <v>2008.4166666666667</v>
      </c>
      <c r="AG22" s="181">
        <f t="shared" si="18"/>
        <v>2015.75</v>
      </c>
      <c r="AH22" s="181">
        <f t="shared" si="19"/>
        <v>-8.3333333333333329E-2</v>
      </c>
      <c r="AI22" s="156" t="s">
        <v>471</v>
      </c>
      <c r="AJ22" s="156"/>
      <c r="AK22" s="156"/>
      <c r="AL22" s="156"/>
    </row>
    <row r="23" spans="1:38" x14ac:dyDescent="0.25">
      <c r="A23" s="195" t="s">
        <v>476</v>
      </c>
      <c r="B23" s="156" t="s">
        <v>458</v>
      </c>
      <c r="C23" s="194" t="s">
        <v>477</v>
      </c>
      <c r="D23" s="165">
        <v>2001</v>
      </c>
      <c r="E23" s="161">
        <v>6</v>
      </c>
      <c r="F23" s="178">
        <v>0.2</v>
      </c>
      <c r="G23" s="179" t="s">
        <v>452</v>
      </c>
      <c r="H23" s="161">
        <v>7</v>
      </c>
      <c r="I23" s="165">
        <f t="shared" si="0"/>
        <v>2008</v>
      </c>
      <c r="J23" s="161"/>
      <c r="K23" s="161"/>
      <c r="L23" s="180">
        <v>76084.67</v>
      </c>
      <c r="M23" s="161"/>
      <c r="N23" s="161">
        <f t="shared" si="1"/>
        <v>60867.735999999997</v>
      </c>
      <c r="O23" s="161">
        <f t="shared" si="2"/>
        <v>724.61590476190474</v>
      </c>
      <c r="P23" s="161">
        <f t="shared" si="3"/>
        <v>0</v>
      </c>
      <c r="Q23" s="161">
        <f t="shared" si="4"/>
        <v>0</v>
      </c>
      <c r="R23" s="161">
        <f t="shared" si="5"/>
        <v>0</v>
      </c>
      <c r="S23" s="161">
        <v>1</v>
      </c>
      <c r="T23" s="161">
        <f t="shared" si="6"/>
        <v>0</v>
      </c>
      <c r="U23" s="161">
        <f t="shared" si="7"/>
        <v>60867.735999999997</v>
      </c>
      <c r="V23" s="161">
        <f t="shared" si="8"/>
        <v>60867.735999999997</v>
      </c>
      <c r="W23" s="161">
        <v>1</v>
      </c>
      <c r="X23" s="161">
        <f t="shared" si="9"/>
        <v>60867.735999999997</v>
      </c>
      <c r="Y23" s="161">
        <f t="shared" si="10"/>
        <v>60867.735999999997</v>
      </c>
      <c r="Z23" s="161">
        <f t="shared" si="11"/>
        <v>15216.934000000001</v>
      </c>
      <c r="AA23" s="156">
        <f t="shared" si="12"/>
        <v>2001.4166666666667</v>
      </c>
      <c r="AB23" s="156">
        <f t="shared" si="13"/>
        <v>2016.75</v>
      </c>
      <c r="AC23" s="156">
        <f t="shared" si="14"/>
        <v>2008.4166666666667</v>
      </c>
      <c r="AD23" s="181">
        <f t="shared" si="15"/>
        <v>2015.75</v>
      </c>
      <c r="AE23" s="181">
        <f t="shared" si="16"/>
        <v>-8.3333333333333329E-2</v>
      </c>
      <c r="AF23" s="181">
        <f t="shared" si="17"/>
        <v>2008.4166666666667</v>
      </c>
      <c r="AG23" s="181">
        <f t="shared" si="18"/>
        <v>2015.75</v>
      </c>
      <c r="AH23" s="181">
        <f t="shared" si="19"/>
        <v>-8.3333333333333329E-2</v>
      </c>
      <c r="AI23" s="156" t="s">
        <v>471</v>
      </c>
      <c r="AJ23" s="156"/>
      <c r="AK23" s="156"/>
      <c r="AL23" s="156"/>
    </row>
    <row r="24" spans="1:38" x14ac:dyDescent="0.25">
      <c r="A24" s="163"/>
      <c r="B24" s="156" t="s">
        <v>458</v>
      </c>
      <c r="C24" s="194" t="s">
        <v>478</v>
      </c>
      <c r="D24" s="165">
        <v>2001</v>
      </c>
      <c r="E24" s="161">
        <v>6</v>
      </c>
      <c r="F24" s="178">
        <v>0.2</v>
      </c>
      <c r="G24" s="179" t="s">
        <v>452</v>
      </c>
      <c r="H24" s="161">
        <v>7</v>
      </c>
      <c r="I24" s="165">
        <f t="shared" si="0"/>
        <v>2008</v>
      </c>
      <c r="J24" s="161"/>
      <c r="K24" s="161"/>
      <c r="L24" s="180">
        <v>69034</v>
      </c>
      <c r="M24" s="161"/>
      <c r="N24" s="161">
        <f t="shared" si="1"/>
        <v>55227.199999999997</v>
      </c>
      <c r="O24" s="161">
        <f t="shared" si="2"/>
        <v>657.46666666666658</v>
      </c>
      <c r="P24" s="161">
        <f t="shared" si="3"/>
        <v>0</v>
      </c>
      <c r="Q24" s="161">
        <f t="shared" si="4"/>
        <v>0</v>
      </c>
      <c r="R24" s="161">
        <f t="shared" si="5"/>
        <v>0</v>
      </c>
      <c r="S24" s="161">
        <v>1</v>
      </c>
      <c r="T24" s="161">
        <f t="shared" si="6"/>
        <v>0</v>
      </c>
      <c r="U24" s="161">
        <f t="shared" si="7"/>
        <v>55227.199999999997</v>
      </c>
      <c r="V24" s="161">
        <f t="shared" si="8"/>
        <v>55227.199999999997</v>
      </c>
      <c r="W24" s="161">
        <v>1</v>
      </c>
      <c r="X24" s="161">
        <f t="shared" si="9"/>
        <v>55227.199999999997</v>
      </c>
      <c r="Y24" s="161">
        <f t="shared" si="10"/>
        <v>55227.199999999997</v>
      </c>
      <c r="Z24" s="161">
        <f t="shared" si="11"/>
        <v>13806.800000000003</v>
      </c>
      <c r="AA24" s="156">
        <f t="shared" si="12"/>
        <v>2001.4166666666667</v>
      </c>
      <c r="AB24" s="156">
        <f t="shared" si="13"/>
        <v>2016.75</v>
      </c>
      <c r="AC24" s="156">
        <f t="shared" si="14"/>
        <v>2008.4166666666667</v>
      </c>
      <c r="AD24" s="181">
        <f t="shared" si="15"/>
        <v>2015.75</v>
      </c>
      <c r="AE24" s="181">
        <f t="shared" si="16"/>
        <v>-8.3333333333333329E-2</v>
      </c>
      <c r="AF24" s="181">
        <f t="shared" si="17"/>
        <v>2008.4166666666667</v>
      </c>
      <c r="AG24" s="181">
        <f t="shared" si="18"/>
        <v>2015.75</v>
      </c>
      <c r="AH24" s="181">
        <f t="shared" si="19"/>
        <v>-8.3333333333333329E-2</v>
      </c>
      <c r="AI24" s="156" t="s">
        <v>471</v>
      </c>
      <c r="AJ24" s="156"/>
      <c r="AK24" s="156"/>
      <c r="AL24" s="156"/>
    </row>
    <row r="25" spans="1:38" x14ac:dyDescent="0.25">
      <c r="A25" s="163" t="s">
        <v>479</v>
      </c>
      <c r="B25" s="156" t="s">
        <v>458</v>
      </c>
      <c r="C25" s="198" t="s">
        <v>480</v>
      </c>
      <c r="D25" s="165">
        <v>2002</v>
      </c>
      <c r="E25" s="161">
        <v>6</v>
      </c>
      <c r="F25" s="178">
        <v>0.2</v>
      </c>
      <c r="G25" s="179" t="s">
        <v>452</v>
      </c>
      <c r="H25" s="161">
        <v>7</v>
      </c>
      <c r="I25" s="165">
        <f t="shared" si="0"/>
        <v>2009</v>
      </c>
      <c r="J25" s="161"/>
      <c r="K25" s="161"/>
      <c r="L25" s="180">
        <v>147538.76999999999</v>
      </c>
      <c r="M25" s="161"/>
      <c r="N25" s="161">
        <f t="shared" si="1"/>
        <v>118031.01599999999</v>
      </c>
      <c r="O25" s="161">
        <f t="shared" si="2"/>
        <v>1405.1311428571428</v>
      </c>
      <c r="P25" s="161">
        <f t="shared" si="3"/>
        <v>0</v>
      </c>
      <c r="Q25" s="161">
        <f t="shared" si="4"/>
        <v>0</v>
      </c>
      <c r="R25" s="161">
        <f t="shared" si="5"/>
        <v>0</v>
      </c>
      <c r="S25" s="161">
        <v>1</v>
      </c>
      <c r="T25" s="161">
        <f t="shared" si="6"/>
        <v>0</v>
      </c>
      <c r="U25" s="161">
        <f t="shared" si="7"/>
        <v>118031.01599999999</v>
      </c>
      <c r="V25" s="161">
        <f t="shared" si="8"/>
        <v>118031.01599999999</v>
      </c>
      <c r="W25" s="161">
        <v>1</v>
      </c>
      <c r="X25" s="161">
        <f t="shared" si="9"/>
        <v>118031.01599999999</v>
      </c>
      <c r="Y25" s="161">
        <f t="shared" si="10"/>
        <v>118031.01599999999</v>
      </c>
      <c r="Z25" s="161">
        <f t="shared" si="11"/>
        <v>29507.754000000001</v>
      </c>
      <c r="AA25" s="156">
        <f t="shared" si="12"/>
        <v>2002.4166666666667</v>
      </c>
      <c r="AB25" s="156">
        <f t="shared" si="13"/>
        <v>2016.75</v>
      </c>
      <c r="AC25" s="156">
        <f t="shared" si="14"/>
        <v>2009.4166666666667</v>
      </c>
      <c r="AD25" s="181">
        <f t="shared" si="15"/>
        <v>2015.75</v>
      </c>
      <c r="AE25" s="181">
        <f t="shared" si="16"/>
        <v>-8.3333333333333329E-2</v>
      </c>
      <c r="AF25" s="181">
        <f t="shared" si="17"/>
        <v>2009.4166666666667</v>
      </c>
      <c r="AG25" s="181">
        <f t="shared" si="18"/>
        <v>2015.75</v>
      </c>
      <c r="AH25" s="181">
        <f t="shared" si="19"/>
        <v>-8.3333333333333329E-2</v>
      </c>
      <c r="AI25" s="156" t="s">
        <v>471</v>
      </c>
      <c r="AJ25" s="156"/>
      <c r="AK25" s="156"/>
      <c r="AL25" s="156"/>
    </row>
    <row r="26" spans="1:38" x14ac:dyDescent="0.25">
      <c r="A26" s="163"/>
      <c r="B26" s="161" t="s">
        <v>458</v>
      </c>
      <c r="C26" s="194" t="s">
        <v>2510</v>
      </c>
      <c r="D26" s="165">
        <v>2003</v>
      </c>
      <c r="E26" s="161">
        <v>11</v>
      </c>
      <c r="F26" s="178">
        <v>0.2</v>
      </c>
      <c r="G26" s="179" t="s">
        <v>452</v>
      </c>
      <c r="H26" s="161">
        <v>7</v>
      </c>
      <c r="I26" s="165">
        <f t="shared" si="0"/>
        <v>2010</v>
      </c>
      <c r="J26" s="161"/>
      <c r="K26" s="161"/>
      <c r="L26" s="180">
        <v>69935</v>
      </c>
      <c r="M26" s="161"/>
      <c r="N26" s="161">
        <f t="shared" si="1"/>
        <v>55948</v>
      </c>
      <c r="O26" s="161">
        <f t="shared" si="2"/>
        <v>666.04761904761904</v>
      </c>
      <c r="P26" s="161">
        <f t="shared" si="3"/>
        <v>0</v>
      </c>
      <c r="Q26" s="161">
        <f t="shared" si="4"/>
        <v>0</v>
      </c>
      <c r="R26" s="161">
        <f t="shared" si="5"/>
        <v>0</v>
      </c>
      <c r="S26" s="161">
        <v>1</v>
      </c>
      <c r="T26" s="161">
        <f t="shared" si="6"/>
        <v>0</v>
      </c>
      <c r="U26" s="161">
        <f t="shared" si="7"/>
        <v>55948</v>
      </c>
      <c r="V26" s="161">
        <f t="shared" si="8"/>
        <v>55948</v>
      </c>
      <c r="W26" s="161">
        <v>1</v>
      </c>
      <c r="X26" s="161">
        <f t="shared" si="9"/>
        <v>55948</v>
      </c>
      <c r="Y26" s="161">
        <f t="shared" si="10"/>
        <v>55948</v>
      </c>
      <c r="Z26" s="161">
        <f t="shared" si="11"/>
        <v>13987</v>
      </c>
      <c r="AA26" s="161">
        <f t="shared" si="12"/>
        <v>2003.8333333333333</v>
      </c>
      <c r="AB26" s="161">
        <f t="shared" si="13"/>
        <v>2016.75</v>
      </c>
      <c r="AC26" s="161">
        <f t="shared" si="14"/>
        <v>2010.8333333333333</v>
      </c>
      <c r="AD26" s="197">
        <f t="shared" si="15"/>
        <v>2015.75</v>
      </c>
      <c r="AE26" s="197">
        <f t="shared" si="16"/>
        <v>-8.3333333333333329E-2</v>
      </c>
      <c r="AF26" s="197">
        <f t="shared" si="17"/>
        <v>2010.8333333333333</v>
      </c>
      <c r="AG26" s="197">
        <f t="shared" si="18"/>
        <v>2015.75</v>
      </c>
      <c r="AH26" s="197">
        <f t="shared" si="19"/>
        <v>-8.3333333333333329E-2</v>
      </c>
      <c r="AI26" s="161" t="s">
        <v>471</v>
      </c>
      <c r="AJ26" s="161" t="s">
        <v>481</v>
      </c>
      <c r="AK26" s="161"/>
      <c r="AL26" s="161"/>
    </row>
    <row r="27" spans="1:38" x14ac:dyDescent="0.25">
      <c r="A27" s="163"/>
      <c r="B27" s="161" t="s">
        <v>458</v>
      </c>
      <c r="C27" s="194" t="s">
        <v>2511</v>
      </c>
      <c r="D27" s="165">
        <v>2005</v>
      </c>
      <c r="E27" s="161">
        <v>7</v>
      </c>
      <c r="F27" s="178">
        <v>0.2</v>
      </c>
      <c r="G27" s="179" t="s">
        <v>452</v>
      </c>
      <c r="H27" s="161">
        <v>7</v>
      </c>
      <c r="I27" s="165">
        <f t="shared" si="0"/>
        <v>2012</v>
      </c>
      <c r="J27" s="161"/>
      <c r="K27" s="161"/>
      <c r="L27" s="180">
        <v>9351</v>
      </c>
      <c r="M27" s="161"/>
      <c r="N27" s="161">
        <f t="shared" si="1"/>
        <v>7480.8</v>
      </c>
      <c r="O27" s="161">
        <f t="shared" si="2"/>
        <v>89.057142857142864</v>
      </c>
      <c r="P27" s="161">
        <f t="shared" si="3"/>
        <v>0</v>
      </c>
      <c r="Q27" s="161">
        <f t="shared" si="4"/>
        <v>0</v>
      </c>
      <c r="R27" s="161">
        <f t="shared" si="5"/>
        <v>0</v>
      </c>
      <c r="S27" s="161">
        <v>1</v>
      </c>
      <c r="T27" s="161">
        <f t="shared" si="6"/>
        <v>0</v>
      </c>
      <c r="U27" s="161">
        <f t="shared" si="7"/>
        <v>7480.8</v>
      </c>
      <c r="V27" s="161">
        <f t="shared" si="8"/>
        <v>7480.8</v>
      </c>
      <c r="W27" s="161">
        <v>1</v>
      </c>
      <c r="X27" s="161">
        <f t="shared" si="9"/>
        <v>7480.8</v>
      </c>
      <c r="Y27" s="161">
        <f t="shared" si="10"/>
        <v>7480.8</v>
      </c>
      <c r="Z27" s="161">
        <f t="shared" si="11"/>
        <v>1870.1999999999998</v>
      </c>
      <c r="AA27" s="161">
        <f t="shared" si="12"/>
        <v>2005.5</v>
      </c>
      <c r="AB27" s="161">
        <f t="shared" si="13"/>
        <v>2016.75</v>
      </c>
      <c r="AC27" s="161">
        <f t="shared" si="14"/>
        <v>2012.5</v>
      </c>
      <c r="AD27" s="197">
        <f t="shared" si="15"/>
        <v>2015.75</v>
      </c>
      <c r="AE27" s="197">
        <f t="shared" si="16"/>
        <v>-8.3333333333333329E-2</v>
      </c>
      <c r="AF27" s="197">
        <f t="shared" si="17"/>
        <v>2012.5</v>
      </c>
      <c r="AG27" s="197">
        <f t="shared" si="18"/>
        <v>2015.75</v>
      </c>
      <c r="AH27" s="197">
        <f t="shared" si="19"/>
        <v>-8.3333333333333329E-2</v>
      </c>
      <c r="AI27" s="161" t="s">
        <v>471</v>
      </c>
      <c r="AJ27" s="161"/>
      <c r="AK27" s="161"/>
      <c r="AL27" s="161"/>
    </row>
    <row r="28" spans="1:38" x14ac:dyDescent="0.25">
      <c r="A28" s="199"/>
      <c r="B28" s="161" t="s">
        <v>458</v>
      </c>
      <c r="C28" s="198" t="s">
        <v>482</v>
      </c>
      <c r="D28" s="165">
        <v>2005</v>
      </c>
      <c r="E28" s="161">
        <v>2</v>
      </c>
      <c r="F28" s="178">
        <v>0.2</v>
      </c>
      <c r="G28" s="179" t="s">
        <v>452</v>
      </c>
      <c r="H28" s="161">
        <v>7</v>
      </c>
      <c r="I28" s="165">
        <f t="shared" si="0"/>
        <v>2012</v>
      </c>
      <c r="J28" s="161"/>
      <c r="K28" s="161"/>
      <c r="L28" s="180">
        <v>53229.91</v>
      </c>
      <c r="M28" s="161"/>
      <c r="N28" s="161">
        <f t="shared" si="1"/>
        <v>42583.928</v>
      </c>
      <c r="O28" s="161">
        <f t="shared" si="2"/>
        <v>506.95152380952385</v>
      </c>
      <c r="P28" s="161">
        <f t="shared" si="3"/>
        <v>0</v>
      </c>
      <c r="Q28" s="161">
        <f t="shared" si="4"/>
        <v>0</v>
      </c>
      <c r="R28" s="161">
        <f t="shared" si="5"/>
        <v>0</v>
      </c>
      <c r="S28" s="161">
        <v>1</v>
      </c>
      <c r="T28" s="161">
        <f t="shared" si="6"/>
        <v>0</v>
      </c>
      <c r="U28" s="161">
        <f t="shared" si="7"/>
        <v>42583.928</v>
      </c>
      <c r="V28" s="161">
        <f t="shared" si="8"/>
        <v>42583.928</v>
      </c>
      <c r="W28" s="161">
        <v>1</v>
      </c>
      <c r="X28" s="161">
        <f t="shared" si="9"/>
        <v>42583.928</v>
      </c>
      <c r="Y28" s="161">
        <f t="shared" si="10"/>
        <v>42583.928</v>
      </c>
      <c r="Z28" s="161">
        <f t="shared" si="11"/>
        <v>10645.982000000004</v>
      </c>
      <c r="AA28" s="161">
        <f t="shared" si="12"/>
        <v>2005.0833333333333</v>
      </c>
      <c r="AB28" s="161">
        <f t="shared" si="13"/>
        <v>2016.75</v>
      </c>
      <c r="AC28" s="161">
        <f t="shared" si="14"/>
        <v>2012.0833333333333</v>
      </c>
      <c r="AD28" s="197">
        <f t="shared" si="15"/>
        <v>2015.75</v>
      </c>
      <c r="AE28" s="197">
        <f t="shared" si="16"/>
        <v>-8.3333333333333329E-2</v>
      </c>
      <c r="AF28" s="197">
        <f t="shared" si="17"/>
        <v>2012.0833333333333</v>
      </c>
      <c r="AG28" s="197">
        <f t="shared" si="18"/>
        <v>2015.75</v>
      </c>
      <c r="AH28" s="197">
        <f t="shared" si="19"/>
        <v>-8.3333333333333329E-2</v>
      </c>
      <c r="AI28" s="161" t="s">
        <v>471</v>
      </c>
      <c r="AJ28" s="161"/>
      <c r="AK28" s="161"/>
      <c r="AL28" s="161"/>
    </row>
    <row r="29" spans="1:38" x14ac:dyDescent="0.25">
      <c r="A29" s="200" t="s">
        <v>483</v>
      </c>
      <c r="B29" s="161" t="s">
        <v>458</v>
      </c>
      <c r="C29" s="194" t="s">
        <v>482</v>
      </c>
      <c r="D29" s="165">
        <v>2005</v>
      </c>
      <c r="E29" s="161">
        <v>2</v>
      </c>
      <c r="F29" s="178">
        <v>0.2</v>
      </c>
      <c r="G29" s="179" t="s">
        <v>452</v>
      </c>
      <c r="H29" s="161">
        <v>7</v>
      </c>
      <c r="I29" s="165">
        <f t="shared" si="0"/>
        <v>2012</v>
      </c>
      <c r="J29" s="161"/>
      <c r="K29" s="161"/>
      <c r="L29" s="180">
        <v>88601</v>
      </c>
      <c r="M29" s="161"/>
      <c r="N29" s="161">
        <f t="shared" si="1"/>
        <v>70880.800000000003</v>
      </c>
      <c r="O29" s="161">
        <f t="shared" si="2"/>
        <v>843.81904761904764</v>
      </c>
      <c r="P29" s="161">
        <f t="shared" si="3"/>
        <v>0</v>
      </c>
      <c r="Q29" s="161">
        <f t="shared" si="4"/>
        <v>0</v>
      </c>
      <c r="R29" s="161">
        <f t="shared" si="5"/>
        <v>0</v>
      </c>
      <c r="S29" s="161">
        <v>1</v>
      </c>
      <c r="T29" s="161">
        <f t="shared" si="6"/>
        <v>0</v>
      </c>
      <c r="U29" s="161">
        <f t="shared" si="7"/>
        <v>70880.800000000003</v>
      </c>
      <c r="V29" s="161">
        <f t="shared" si="8"/>
        <v>70880.800000000003</v>
      </c>
      <c r="W29" s="161">
        <v>1</v>
      </c>
      <c r="X29" s="161">
        <f t="shared" si="9"/>
        <v>70880.800000000003</v>
      </c>
      <c r="Y29" s="161">
        <f t="shared" si="10"/>
        <v>70880.800000000003</v>
      </c>
      <c r="Z29" s="161">
        <f t="shared" si="11"/>
        <v>17720.199999999997</v>
      </c>
      <c r="AA29" s="161">
        <f t="shared" si="12"/>
        <v>2005.0833333333333</v>
      </c>
      <c r="AB29" s="161">
        <f t="shared" si="13"/>
        <v>2016.75</v>
      </c>
      <c r="AC29" s="161">
        <f t="shared" si="14"/>
        <v>2012.0833333333333</v>
      </c>
      <c r="AD29" s="197">
        <f t="shared" si="15"/>
        <v>2015.75</v>
      </c>
      <c r="AE29" s="197">
        <f t="shared" si="16"/>
        <v>-8.3333333333333329E-2</v>
      </c>
      <c r="AF29" s="197">
        <f t="shared" si="17"/>
        <v>2012.0833333333333</v>
      </c>
      <c r="AG29" s="197">
        <f t="shared" si="18"/>
        <v>2015.75</v>
      </c>
      <c r="AH29" s="197">
        <f t="shared" si="19"/>
        <v>-8.3333333333333329E-2</v>
      </c>
      <c r="AI29" s="161" t="s">
        <v>471</v>
      </c>
      <c r="AJ29" s="161"/>
      <c r="AK29" s="161"/>
      <c r="AL29" s="161"/>
    </row>
    <row r="30" spans="1:38" x14ac:dyDescent="0.25">
      <c r="A30" s="199"/>
      <c r="B30" s="161" t="s">
        <v>458</v>
      </c>
      <c r="C30" s="198" t="s">
        <v>484</v>
      </c>
      <c r="D30" s="165">
        <v>2005</v>
      </c>
      <c r="E30" s="161">
        <v>2</v>
      </c>
      <c r="F30" s="178">
        <v>0.2</v>
      </c>
      <c r="G30" s="179" t="s">
        <v>452</v>
      </c>
      <c r="H30" s="161">
        <v>7</v>
      </c>
      <c r="I30" s="165">
        <f t="shared" si="0"/>
        <v>2012</v>
      </c>
      <c r="J30" s="161"/>
      <c r="K30" s="161"/>
      <c r="L30" s="180">
        <v>32246.53</v>
      </c>
      <c r="M30" s="161"/>
      <c r="N30" s="161">
        <f t="shared" si="1"/>
        <v>25797.223999999998</v>
      </c>
      <c r="O30" s="161">
        <f t="shared" si="2"/>
        <v>307.10980952380947</v>
      </c>
      <c r="P30" s="161">
        <f t="shared" si="3"/>
        <v>0</v>
      </c>
      <c r="Q30" s="161">
        <f t="shared" si="4"/>
        <v>0</v>
      </c>
      <c r="R30" s="161">
        <f t="shared" si="5"/>
        <v>0</v>
      </c>
      <c r="S30" s="161">
        <v>1</v>
      </c>
      <c r="T30" s="161">
        <f t="shared" si="6"/>
        <v>0</v>
      </c>
      <c r="U30" s="161">
        <f t="shared" si="7"/>
        <v>25797.223999999998</v>
      </c>
      <c r="V30" s="161">
        <f t="shared" si="8"/>
        <v>25797.223999999998</v>
      </c>
      <c r="W30" s="161">
        <v>1</v>
      </c>
      <c r="X30" s="161">
        <f t="shared" si="9"/>
        <v>25797.223999999998</v>
      </c>
      <c r="Y30" s="161">
        <f t="shared" si="10"/>
        <v>25797.223999999998</v>
      </c>
      <c r="Z30" s="161">
        <f t="shared" si="11"/>
        <v>6449.3060000000005</v>
      </c>
      <c r="AA30" s="161">
        <f t="shared" si="12"/>
        <v>2005.0833333333333</v>
      </c>
      <c r="AB30" s="161">
        <f t="shared" si="13"/>
        <v>2016.75</v>
      </c>
      <c r="AC30" s="161">
        <f t="shared" si="14"/>
        <v>2012.0833333333333</v>
      </c>
      <c r="AD30" s="197">
        <f t="shared" si="15"/>
        <v>2015.75</v>
      </c>
      <c r="AE30" s="197">
        <f t="shared" si="16"/>
        <v>-8.3333333333333329E-2</v>
      </c>
      <c r="AF30" s="197">
        <f t="shared" si="17"/>
        <v>2012.0833333333333</v>
      </c>
      <c r="AG30" s="197">
        <f t="shared" si="18"/>
        <v>2015.75</v>
      </c>
      <c r="AH30" s="197">
        <f t="shared" si="19"/>
        <v>-8.3333333333333329E-2</v>
      </c>
      <c r="AI30" s="161" t="s">
        <v>471</v>
      </c>
      <c r="AJ30" s="161"/>
      <c r="AK30" s="161"/>
      <c r="AL30" s="161"/>
    </row>
    <row r="31" spans="1:38" x14ac:dyDescent="0.25">
      <c r="A31" s="200" t="s">
        <v>485</v>
      </c>
      <c r="B31" s="161" t="s">
        <v>458</v>
      </c>
      <c r="C31" s="194" t="s">
        <v>484</v>
      </c>
      <c r="D31" s="165">
        <v>2005</v>
      </c>
      <c r="E31" s="161">
        <v>2</v>
      </c>
      <c r="F31" s="178">
        <v>0.2</v>
      </c>
      <c r="G31" s="179" t="s">
        <v>452</v>
      </c>
      <c r="H31" s="161">
        <v>7</v>
      </c>
      <c r="I31" s="165">
        <f t="shared" si="0"/>
        <v>2012</v>
      </c>
      <c r="J31" s="161"/>
      <c r="K31" s="161"/>
      <c r="L31" s="180">
        <v>129583</v>
      </c>
      <c r="M31" s="161"/>
      <c r="N31" s="161">
        <f t="shared" si="1"/>
        <v>103666.4</v>
      </c>
      <c r="O31" s="161">
        <f t="shared" si="2"/>
        <v>1234.1238095238093</v>
      </c>
      <c r="P31" s="161">
        <f t="shared" si="3"/>
        <v>0</v>
      </c>
      <c r="Q31" s="161">
        <f t="shared" si="4"/>
        <v>0</v>
      </c>
      <c r="R31" s="161">
        <f t="shared" si="5"/>
        <v>0</v>
      </c>
      <c r="S31" s="161">
        <v>1</v>
      </c>
      <c r="T31" s="161">
        <f t="shared" si="6"/>
        <v>0</v>
      </c>
      <c r="U31" s="161">
        <f t="shared" si="7"/>
        <v>103666.4</v>
      </c>
      <c r="V31" s="161">
        <f t="shared" si="8"/>
        <v>103666.4</v>
      </c>
      <c r="W31" s="161">
        <v>1</v>
      </c>
      <c r="X31" s="161">
        <f t="shared" si="9"/>
        <v>103666.4</v>
      </c>
      <c r="Y31" s="161">
        <f t="shared" si="10"/>
        <v>103666.4</v>
      </c>
      <c r="Z31" s="161">
        <f t="shared" si="11"/>
        <v>25916.600000000006</v>
      </c>
      <c r="AA31" s="161">
        <f t="shared" si="12"/>
        <v>2005.0833333333333</v>
      </c>
      <c r="AB31" s="161">
        <f t="shared" si="13"/>
        <v>2016.75</v>
      </c>
      <c r="AC31" s="161">
        <f t="shared" si="14"/>
        <v>2012.0833333333333</v>
      </c>
      <c r="AD31" s="197">
        <f t="shared" si="15"/>
        <v>2015.75</v>
      </c>
      <c r="AE31" s="197">
        <f t="shared" si="16"/>
        <v>-8.3333333333333329E-2</v>
      </c>
      <c r="AF31" s="197">
        <f t="shared" si="17"/>
        <v>2012.0833333333333</v>
      </c>
      <c r="AG31" s="197">
        <f t="shared" si="18"/>
        <v>2015.75</v>
      </c>
      <c r="AH31" s="197">
        <f t="shared" si="19"/>
        <v>-8.3333333333333329E-2</v>
      </c>
      <c r="AI31" s="161" t="s">
        <v>471</v>
      </c>
      <c r="AJ31" s="161"/>
      <c r="AK31" s="161"/>
      <c r="AL31" s="161"/>
    </row>
    <row r="32" spans="1:38" x14ac:dyDescent="0.25">
      <c r="A32" s="199"/>
      <c r="B32" s="161" t="s">
        <v>458</v>
      </c>
      <c r="C32" s="198" t="s">
        <v>486</v>
      </c>
      <c r="D32" s="165">
        <v>2005</v>
      </c>
      <c r="E32" s="161">
        <v>3</v>
      </c>
      <c r="F32" s="178">
        <v>0.2</v>
      </c>
      <c r="G32" s="179" t="s">
        <v>452</v>
      </c>
      <c r="H32" s="161">
        <v>7</v>
      </c>
      <c r="I32" s="165">
        <f t="shared" si="0"/>
        <v>2012</v>
      </c>
      <c r="J32" s="161"/>
      <c r="K32" s="161"/>
      <c r="L32" s="180">
        <v>40726.61</v>
      </c>
      <c r="M32" s="161"/>
      <c r="N32" s="161">
        <f t="shared" si="1"/>
        <v>32581.288</v>
      </c>
      <c r="O32" s="161">
        <f t="shared" si="2"/>
        <v>387.87247619047616</v>
      </c>
      <c r="P32" s="161">
        <f t="shared" si="3"/>
        <v>0</v>
      </c>
      <c r="Q32" s="161">
        <f t="shared" si="4"/>
        <v>0</v>
      </c>
      <c r="R32" s="161">
        <f t="shared" si="5"/>
        <v>0</v>
      </c>
      <c r="S32" s="161">
        <v>1</v>
      </c>
      <c r="T32" s="161">
        <f t="shared" si="6"/>
        <v>0</v>
      </c>
      <c r="U32" s="161">
        <f t="shared" si="7"/>
        <v>32581.288</v>
      </c>
      <c r="V32" s="161">
        <f t="shared" si="8"/>
        <v>32581.288</v>
      </c>
      <c r="W32" s="161">
        <v>1</v>
      </c>
      <c r="X32" s="161">
        <f t="shared" si="9"/>
        <v>32581.288</v>
      </c>
      <c r="Y32" s="161">
        <f t="shared" si="10"/>
        <v>32581.288</v>
      </c>
      <c r="Z32" s="161">
        <f t="shared" si="11"/>
        <v>8145.3220000000001</v>
      </c>
      <c r="AA32" s="161">
        <f t="shared" si="12"/>
        <v>2005.1666666666667</v>
      </c>
      <c r="AB32" s="161">
        <f t="shared" si="13"/>
        <v>2016.75</v>
      </c>
      <c r="AC32" s="161">
        <f t="shared" si="14"/>
        <v>2012.1666666666667</v>
      </c>
      <c r="AD32" s="197">
        <f t="shared" si="15"/>
        <v>2015.75</v>
      </c>
      <c r="AE32" s="197">
        <f t="shared" si="16"/>
        <v>-8.3333333333333329E-2</v>
      </c>
      <c r="AF32" s="197">
        <f t="shared" si="17"/>
        <v>2012.1666666666667</v>
      </c>
      <c r="AG32" s="197">
        <f t="shared" si="18"/>
        <v>2015.75</v>
      </c>
      <c r="AH32" s="197">
        <f t="shared" si="19"/>
        <v>-8.3333333333333329E-2</v>
      </c>
      <c r="AI32" s="161" t="s">
        <v>471</v>
      </c>
      <c r="AJ32" s="161"/>
      <c r="AK32" s="161"/>
      <c r="AL32" s="161"/>
    </row>
    <row r="33" spans="1:38" x14ac:dyDescent="0.25">
      <c r="A33" s="200" t="s">
        <v>487</v>
      </c>
      <c r="B33" s="156" t="s">
        <v>458</v>
      </c>
      <c r="C33" s="194" t="s">
        <v>486</v>
      </c>
      <c r="D33" s="165">
        <v>2005</v>
      </c>
      <c r="E33" s="161">
        <v>3</v>
      </c>
      <c r="F33" s="178">
        <v>0.2</v>
      </c>
      <c r="G33" s="179" t="s">
        <v>452</v>
      </c>
      <c r="H33" s="161">
        <v>7</v>
      </c>
      <c r="I33" s="165">
        <f t="shared" si="0"/>
        <v>2012</v>
      </c>
      <c r="J33" s="161"/>
      <c r="K33" s="161"/>
      <c r="L33" s="180">
        <v>136248</v>
      </c>
      <c r="M33" s="161"/>
      <c r="N33" s="161">
        <f t="shared" si="1"/>
        <v>108998.39999999999</v>
      </c>
      <c r="O33" s="161">
        <f t="shared" si="2"/>
        <v>1297.5999999999999</v>
      </c>
      <c r="P33" s="161">
        <f t="shared" si="3"/>
        <v>0</v>
      </c>
      <c r="Q33" s="161">
        <f t="shared" si="4"/>
        <v>0</v>
      </c>
      <c r="R33" s="161">
        <f t="shared" si="5"/>
        <v>0</v>
      </c>
      <c r="S33" s="161">
        <v>1</v>
      </c>
      <c r="T33" s="161">
        <f t="shared" si="6"/>
        <v>0</v>
      </c>
      <c r="U33" s="161">
        <f t="shared" si="7"/>
        <v>108998.39999999999</v>
      </c>
      <c r="V33" s="161">
        <f t="shared" si="8"/>
        <v>108998.39999999999</v>
      </c>
      <c r="W33" s="161">
        <v>1</v>
      </c>
      <c r="X33" s="161">
        <f t="shared" si="9"/>
        <v>108998.39999999999</v>
      </c>
      <c r="Y33" s="161">
        <f t="shared" si="10"/>
        <v>108998.39999999999</v>
      </c>
      <c r="Z33" s="161">
        <f t="shared" si="11"/>
        <v>27249.600000000006</v>
      </c>
      <c r="AA33" s="156">
        <f t="shared" si="12"/>
        <v>2005.1666666666667</v>
      </c>
      <c r="AB33" s="156">
        <f t="shared" si="13"/>
        <v>2016.75</v>
      </c>
      <c r="AC33" s="156">
        <f t="shared" si="14"/>
        <v>2012.1666666666667</v>
      </c>
      <c r="AD33" s="181">
        <f t="shared" si="15"/>
        <v>2015.75</v>
      </c>
      <c r="AE33" s="181">
        <f t="shared" si="16"/>
        <v>-8.3333333333333329E-2</v>
      </c>
      <c r="AF33" s="181">
        <f t="shared" si="17"/>
        <v>2012.1666666666667</v>
      </c>
      <c r="AG33" s="181">
        <f t="shared" si="18"/>
        <v>2015.75</v>
      </c>
      <c r="AH33" s="181">
        <f t="shared" si="19"/>
        <v>-8.3333333333333329E-2</v>
      </c>
      <c r="AI33" s="156" t="s">
        <v>471</v>
      </c>
      <c r="AJ33" s="156"/>
      <c r="AK33" s="156"/>
      <c r="AL33" s="156"/>
    </row>
    <row r="34" spans="1:38" x14ac:dyDescent="0.25">
      <c r="A34" s="163"/>
      <c r="B34" s="156" t="s">
        <v>458</v>
      </c>
      <c r="C34" s="198" t="s">
        <v>488</v>
      </c>
      <c r="D34" s="165">
        <v>2006</v>
      </c>
      <c r="E34" s="161">
        <v>7</v>
      </c>
      <c r="F34" s="178">
        <v>0.2</v>
      </c>
      <c r="G34" s="179" t="s">
        <v>452</v>
      </c>
      <c r="H34" s="161">
        <v>7</v>
      </c>
      <c r="I34" s="165">
        <f t="shared" si="0"/>
        <v>2013</v>
      </c>
      <c r="J34" s="161"/>
      <c r="K34" s="161"/>
      <c r="L34" s="180">
        <v>10229.459999999999</v>
      </c>
      <c r="M34" s="161"/>
      <c r="N34" s="161">
        <f t="shared" si="1"/>
        <v>8183.5679999999993</v>
      </c>
      <c r="O34" s="161">
        <f t="shared" si="2"/>
        <v>97.423428571428573</v>
      </c>
      <c r="P34" s="161">
        <f t="shared" si="3"/>
        <v>0</v>
      </c>
      <c r="Q34" s="161">
        <f t="shared" si="4"/>
        <v>0</v>
      </c>
      <c r="R34" s="161">
        <f t="shared" si="5"/>
        <v>0</v>
      </c>
      <c r="S34" s="161">
        <v>1</v>
      </c>
      <c r="T34" s="161">
        <f t="shared" si="6"/>
        <v>0</v>
      </c>
      <c r="U34" s="161">
        <f t="shared" si="7"/>
        <v>8183.5679999999993</v>
      </c>
      <c r="V34" s="161">
        <f t="shared" si="8"/>
        <v>8183.5679999999993</v>
      </c>
      <c r="W34" s="161">
        <v>1</v>
      </c>
      <c r="X34" s="161">
        <f t="shared" si="9"/>
        <v>8183.5679999999993</v>
      </c>
      <c r="Y34" s="161">
        <f t="shared" si="10"/>
        <v>8183.5679999999993</v>
      </c>
      <c r="Z34" s="161">
        <f t="shared" si="11"/>
        <v>2045.8919999999998</v>
      </c>
      <c r="AA34" s="156">
        <f t="shared" si="12"/>
        <v>2006.5</v>
      </c>
      <c r="AB34" s="156">
        <f t="shared" si="13"/>
        <v>2016.75</v>
      </c>
      <c r="AC34" s="156">
        <f t="shared" si="14"/>
        <v>2013.5</v>
      </c>
      <c r="AD34" s="181">
        <f t="shared" si="15"/>
        <v>2015.75</v>
      </c>
      <c r="AE34" s="181">
        <f t="shared" si="16"/>
        <v>-8.3333333333333329E-2</v>
      </c>
      <c r="AF34" s="181">
        <f t="shared" si="17"/>
        <v>2013.5</v>
      </c>
      <c r="AG34" s="181">
        <f t="shared" si="18"/>
        <v>2015.75</v>
      </c>
      <c r="AH34" s="181">
        <f t="shared" si="19"/>
        <v>-8.3333333333333329E-2</v>
      </c>
      <c r="AI34" s="156" t="s">
        <v>471</v>
      </c>
      <c r="AJ34" s="156"/>
      <c r="AK34" s="156"/>
      <c r="AL34" s="156"/>
    </row>
    <row r="35" spans="1:38" x14ac:dyDescent="0.25">
      <c r="A35" s="163"/>
      <c r="B35" s="156" t="s">
        <v>458</v>
      </c>
      <c r="C35" s="198" t="s">
        <v>489</v>
      </c>
      <c r="D35" s="165">
        <v>2007</v>
      </c>
      <c r="E35" s="161">
        <v>5</v>
      </c>
      <c r="F35" s="178">
        <v>0.2</v>
      </c>
      <c r="G35" s="179" t="s">
        <v>452</v>
      </c>
      <c r="H35" s="161">
        <v>7</v>
      </c>
      <c r="I35" s="165">
        <f t="shared" si="0"/>
        <v>2014</v>
      </c>
      <c r="J35" s="161"/>
      <c r="K35" s="161"/>
      <c r="L35" s="180">
        <v>2895.58</v>
      </c>
      <c r="M35" s="161"/>
      <c r="N35" s="161">
        <f t="shared" si="1"/>
        <v>2316.4639999999999</v>
      </c>
      <c r="O35" s="161">
        <f t="shared" si="2"/>
        <v>27.576952380952381</v>
      </c>
      <c r="P35" s="161">
        <f t="shared" si="3"/>
        <v>0</v>
      </c>
      <c r="Q35" s="161">
        <f t="shared" si="4"/>
        <v>0</v>
      </c>
      <c r="R35" s="161">
        <f t="shared" si="5"/>
        <v>0</v>
      </c>
      <c r="S35" s="161">
        <v>1</v>
      </c>
      <c r="T35" s="161">
        <f t="shared" si="6"/>
        <v>0</v>
      </c>
      <c r="U35" s="161">
        <f t="shared" si="7"/>
        <v>2316.4639999999999</v>
      </c>
      <c r="V35" s="161">
        <f t="shared" si="8"/>
        <v>2316.4639999999999</v>
      </c>
      <c r="W35" s="161">
        <v>1</v>
      </c>
      <c r="X35" s="161">
        <f t="shared" si="9"/>
        <v>2316.4639999999999</v>
      </c>
      <c r="Y35" s="161">
        <f t="shared" si="10"/>
        <v>2316.4639999999999</v>
      </c>
      <c r="Z35" s="161">
        <f t="shared" si="11"/>
        <v>579.11599999999999</v>
      </c>
      <c r="AA35" s="156">
        <f t="shared" si="12"/>
        <v>2007.3333333333333</v>
      </c>
      <c r="AB35" s="156">
        <f t="shared" si="13"/>
        <v>2016.75</v>
      </c>
      <c r="AC35" s="156">
        <f t="shared" si="14"/>
        <v>2014.3333333333333</v>
      </c>
      <c r="AD35" s="181">
        <f t="shared" si="15"/>
        <v>2015.75</v>
      </c>
      <c r="AE35" s="181">
        <f t="shared" si="16"/>
        <v>-8.3333333333333329E-2</v>
      </c>
      <c r="AF35" s="181">
        <f t="shared" si="17"/>
        <v>2014.3333333333333</v>
      </c>
      <c r="AG35" s="181">
        <f t="shared" si="18"/>
        <v>2015.75</v>
      </c>
      <c r="AH35" s="181">
        <f t="shared" si="19"/>
        <v>-8.3333333333333329E-2</v>
      </c>
      <c r="AI35" s="156" t="s">
        <v>471</v>
      </c>
      <c r="AJ35" s="156"/>
      <c r="AK35" s="156"/>
      <c r="AL35" s="156"/>
    </row>
    <row r="36" spans="1:38" x14ac:dyDescent="0.25">
      <c r="A36" s="195" t="s">
        <v>490</v>
      </c>
      <c r="B36" s="156" t="s">
        <v>458</v>
      </c>
      <c r="C36" s="194" t="s">
        <v>488</v>
      </c>
      <c r="D36" s="165">
        <v>2006</v>
      </c>
      <c r="E36" s="161">
        <v>7</v>
      </c>
      <c r="F36" s="178">
        <v>0.2</v>
      </c>
      <c r="G36" s="179" t="s">
        <v>452</v>
      </c>
      <c r="H36" s="161">
        <v>7</v>
      </c>
      <c r="I36" s="165">
        <f t="shared" si="0"/>
        <v>2013</v>
      </c>
      <c r="J36" s="161"/>
      <c r="K36" s="161"/>
      <c r="L36" s="201">
        <v>81975</v>
      </c>
      <c r="M36" s="161"/>
      <c r="N36" s="161">
        <f t="shared" si="1"/>
        <v>65580</v>
      </c>
      <c r="O36" s="161">
        <f t="shared" si="2"/>
        <v>780.71428571428578</v>
      </c>
      <c r="P36" s="161">
        <f t="shared" si="3"/>
        <v>0</v>
      </c>
      <c r="Q36" s="161">
        <f t="shared" si="4"/>
        <v>0</v>
      </c>
      <c r="R36" s="161">
        <f t="shared" si="5"/>
        <v>0</v>
      </c>
      <c r="S36" s="161">
        <v>1</v>
      </c>
      <c r="T36" s="161">
        <f t="shared" si="6"/>
        <v>0</v>
      </c>
      <c r="U36" s="161">
        <f t="shared" si="7"/>
        <v>65580</v>
      </c>
      <c r="V36" s="161">
        <f t="shared" si="8"/>
        <v>65580</v>
      </c>
      <c r="W36" s="161">
        <v>1</v>
      </c>
      <c r="X36" s="161">
        <f t="shared" si="9"/>
        <v>65580</v>
      </c>
      <c r="Y36" s="161">
        <f t="shared" si="10"/>
        <v>65580</v>
      </c>
      <c r="Z36" s="161">
        <f t="shared" si="11"/>
        <v>16395</v>
      </c>
      <c r="AA36" s="156">
        <f t="shared" si="12"/>
        <v>2006.5</v>
      </c>
      <c r="AB36" s="156">
        <f t="shared" si="13"/>
        <v>2016.75</v>
      </c>
      <c r="AC36" s="156">
        <f t="shared" si="14"/>
        <v>2013.5</v>
      </c>
      <c r="AD36" s="181">
        <f t="shared" si="15"/>
        <v>2015.75</v>
      </c>
      <c r="AE36" s="181">
        <f t="shared" si="16"/>
        <v>-8.3333333333333329E-2</v>
      </c>
      <c r="AF36" s="181">
        <f t="shared" si="17"/>
        <v>2013.5</v>
      </c>
      <c r="AG36" s="181">
        <f t="shared" si="18"/>
        <v>2015.75</v>
      </c>
      <c r="AH36" s="181">
        <f t="shared" si="19"/>
        <v>-8.3333333333333329E-2</v>
      </c>
      <c r="AI36" s="156" t="s">
        <v>471</v>
      </c>
      <c r="AJ36" s="156"/>
      <c r="AK36" s="156"/>
      <c r="AL36" s="156"/>
    </row>
    <row r="37" spans="1:38" x14ac:dyDescent="0.25">
      <c r="A37" s="163"/>
      <c r="B37" s="156" t="s">
        <v>458</v>
      </c>
      <c r="C37" s="194" t="s">
        <v>491</v>
      </c>
      <c r="D37" s="165">
        <v>2007</v>
      </c>
      <c r="E37" s="161">
        <v>3</v>
      </c>
      <c r="F37" s="178">
        <v>0.2</v>
      </c>
      <c r="G37" s="179" t="s">
        <v>452</v>
      </c>
      <c r="H37" s="161">
        <v>7</v>
      </c>
      <c r="I37" s="165">
        <f t="shared" si="0"/>
        <v>2014</v>
      </c>
      <c r="J37" s="161"/>
      <c r="K37" s="161"/>
      <c r="L37" s="201">
        <v>64519</v>
      </c>
      <c r="M37" s="161"/>
      <c r="N37" s="161">
        <f t="shared" si="1"/>
        <v>51615.199999999997</v>
      </c>
      <c r="O37" s="161">
        <f t="shared" si="2"/>
        <v>614.46666666666658</v>
      </c>
      <c r="P37" s="161">
        <f t="shared" si="3"/>
        <v>0</v>
      </c>
      <c r="Q37" s="161">
        <f t="shared" si="4"/>
        <v>0</v>
      </c>
      <c r="R37" s="161">
        <f t="shared" si="5"/>
        <v>0</v>
      </c>
      <c r="S37" s="161">
        <v>1</v>
      </c>
      <c r="T37" s="161">
        <f t="shared" si="6"/>
        <v>0</v>
      </c>
      <c r="U37" s="161">
        <f t="shared" si="7"/>
        <v>51615.199999999997</v>
      </c>
      <c r="V37" s="161">
        <f t="shared" si="8"/>
        <v>51615.199999999997</v>
      </c>
      <c r="W37" s="161">
        <v>1</v>
      </c>
      <c r="X37" s="161">
        <f t="shared" si="9"/>
        <v>51615.199999999997</v>
      </c>
      <c r="Y37" s="161">
        <f t="shared" si="10"/>
        <v>51615.199999999997</v>
      </c>
      <c r="Z37" s="161">
        <f t="shared" si="11"/>
        <v>12903.800000000003</v>
      </c>
      <c r="AA37" s="156">
        <f t="shared" si="12"/>
        <v>2007.1666666666667</v>
      </c>
      <c r="AB37" s="156">
        <f t="shared" si="13"/>
        <v>2016.75</v>
      </c>
      <c r="AC37" s="156">
        <f t="shared" si="14"/>
        <v>2014.1666666666667</v>
      </c>
      <c r="AD37" s="181">
        <f t="shared" si="15"/>
        <v>2015.75</v>
      </c>
      <c r="AE37" s="181">
        <f t="shared" si="16"/>
        <v>-8.3333333333333329E-2</v>
      </c>
      <c r="AF37" s="181">
        <f t="shared" si="17"/>
        <v>2014.1666666666667</v>
      </c>
      <c r="AG37" s="181">
        <f t="shared" si="18"/>
        <v>2015.75</v>
      </c>
      <c r="AH37" s="181">
        <f t="shared" si="19"/>
        <v>-8.3333333333333329E-2</v>
      </c>
      <c r="AI37" s="156" t="s">
        <v>471</v>
      </c>
      <c r="AJ37" s="156"/>
      <c r="AK37" s="156"/>
      <c r="AL37" s="156"/>
    </row>
    <row r="38" spans="1:38" x14ac:dyDescent="0.25">
      <c r="A38" s="163"/>
      <c r="B38" s="156" t="s">
        <v>458</v>
      </c>
      <c r="C38" s="198" t="s">
        <v>492</v>
      </c>
      <c r="D38" s="165">
        <v>2007</v>
      </c>
      <c r="E38" s="161">
        <v>6</v>
      </c>
      <c r="F38" s="178">
        <v>0.2</v>
      </c>
      <c r="G38" s="179" t="s">
        <v>452</v>
      </c>
      <c r="H38" s="161">
        <v>7</v>
      </c>
      <c r="I38" s="165">
        <f t="shared" si="0"/>
        <v>2014</v>
      </c>
      <c r="J38" s="161"/>
      <c r="K38" s="161"/>
      <c r="L38" s="180">
        <v>34557.199999999997</v>
      </c>
      <c r="M38" s="161"/>
      <c r="N38" s="161">
        <f t="shared" si="1"/>
        <v>27645.759999999998</v>
      </c>
      <c r="O38" s="161">
        <f t="shared" si="2"/>
        <v>329.11619047619047</v>
      </c>
      <c r="P38" s="161">
        <f t="shared" si="3"/>
        <v>0</v>
      </c>
      <c r="Q38" s="161">
        <f t="shared" si="4"/>
        <v>0</v>
      </c>
      <c r="R38" s="161">
        <f t="shared" si="5"/>
        <v>0</v>
      </c>
      <c r="S38" s="161">
        <v>1</v>
      </c>
      <c r="T38" s="161">
        <f t="shared" si="6"/>
        <v>0</v>
      </c>
      <c r="U38" s="161">
        <f t="shared" si="7"/>
        <v>27645.759999999998</v>
      </c>
      <c r="V38" s="161">
        <f t="shared" si="8"/>
        <v>27645.759999999998</v>
      </c>
      <c r="W38" s="161">
        <v>1</v>
      </c>
      <c r="X38" s="161">
        <f t="shared" si="9"/>
        <v>27645.759999999998</v>
      </c>
      <c r="Y38" s="161">
        <f t="shared" si="10"/>
        <v>27645.759999999998</v>
      </c>
      <c r="Z38" s="161">
        <f t="shared" si="11"/>
        <v>6911.4399999999987</v>
      </c>
      <c r="AA38" s="156">
        <f t="shared" si="12"/>
        <v>2007.4166666666667</v>
      </c>
      <c r="AB38" s="156">
        <f t="shared" si="13"/>
        <v>2016.75</v>
      </c>
      <c r="AC38" s="156">
        <f t="shared" si="14"/>
        <v>2014.4166666666667</v>
      </c>
      <c r="AD38" s="181">
        <f t="shared" si="15"/>
        <v>2015.75</v>
      </c>
      <c r="AE38" s="181">
        <f t="shared" si="16"/>
        <v>-8.3333333333333329E-2</v>
      </c>
      <c r="AF38" s="181">
        <f t="shared" si="17"/>
        <v>2014.4166666666667</v>
      </c>
      <c r="AG38" s="181">
        <f t="shared" si="18"/>
        <v>2015.75</v>
      </c>
      <c r="AH38" s="181">
        <f t="shared" si="19"/>
        <v>-8.3333333333333329E-2</v>
      </c>
      <c r="AI38" s="156" t="s">
        <v>471</v>
      </c>
      <c r="AJ38" s="156"/>
      <c r="AK38" s="156"/>
      <c r="AL38" s="156"/>
    </row>
    <row r="39" spans="1:38" x14ac:dyDescent="0.25">
      <c r="A39" s="195" t="s">
        <v>493</v>
      </c>
      <c r="B39" s="156" t="s">
        <v>458</v>
      </c>
      <c r="C39" s="194" t="s">
        <v>492</v>
      </c>
      <c r="D39" s="165">
        <v>2007</v>
      </c>
      <c r="E39" s="161">
        <v>6</v>
      </c>
      <c r="F39" s="178">
        <v>0.2</v>
      </c>
      <c r="G39" s="179" t="s">
        <v>452</v>
      </c>
      <c r="H39" s="161">
        <v>7</v>
      </c>
      <c r="I39" s="165">
        <f t="shared" si="0"/>
        <v>2014</v>
      </c>
      <c r="J39" s="161"/>
      <c r="K39" s="161"/>
      <c r="L39" s="201">
        <v>68214</v>
      </c>
      <c r="M39" s="161"/>
      <c r="N39" s="161">
        <f t="shared" si="1"/>
        <v>54571.199999999997</v>
      </c>
      <c r="O39" s="161">
        <f t="shared" si="2"/>
        <v>649.65714285714284</v>
      </c>
      <c r="P39" s="161">
        <f t="shared" si="3"/>
        <v>0</v>
      </c>
      <c r="Q39" s="161">
        <f t="shared" si="4"/>
        <v>0</v>
      </c>
      <c r="R39" s="161">
        <f t="shared" si="5"/>
        <v>0</v>
      </c>
      <c r="S39" s="161">
        <v>1</v>
      </c>
      <c r="T39" s="161">
        <f t="shared" si="6"/>
        <v>0</v>
      </c>
      <c r="U39" s="161">
        <f t="shared" si="7"/>
        <v>54571.199999999997</v>
      </c>
      <c r="V39" s="161">
        <f t="shared" si="8"/>
        <v>54571.199999999997</v>
      </c>
      <c r="W39" s="161">
        <v>1</v>
      </c>
      <c r="X39" s="161">
        <f t="shared" si="9"/>
        <v>54571.199999999997</v>
      </c>
      <c r="Y39" s="161">
        <f t="shared" si="10"/>
        <v>54571.199999999997</v>
      </c>
      <c r="Z39" s="161">
        <f t="shared" si="11"/>
        <v>13642.800000000003</v>
      </c>
      <c r="AA39" s="156">
        <f t="shared" si="12"/>
        <v>2007.4166666666667</v>
      </c>
      <c r="AB39" s="156">
        <f t="shared" si="13"/>
        <v>2016.75</v>
      </c>
      <c r="AC39" s="156">
        <f t="shared" si="14"/>
        <v>2014.4166666666667</v>
      </c>
      <c r="AD39" s="181">
        <f t="shared" si="15"/>
        <v>2015.75</v>
      </c>
      <c r="AE39" s="181">
        <f t="shared" si="16"/>
        <v>-8.3333333333333329E-2</v>
      </c>
      <c r="AF39" s="181">
        <f t="shared" si="17"/>
        <v>2014.4166666666667</v>
      </c>
      <c r="AG39" s="181">
        <f t="shared" si="18"/>
        <v>2015.75</v>
      </c>
      <c r="AH39" s="181">
        <f t="shared" si="19"/>
        <v>-8.3333333333333329E-2</v>
      </c>
      <c r="AI39" s="156" t="s">
        <v>471</v>
      </c>
      <c r="AJ39" s="156"/>
      <c r="AK39" s="156"/>
      <c r="AL39" s="156"/>
    </row>
    <row r="40" spans="1:38" x14ac:dyDescent="0.25">
      <c r="A40" s="163"/>
      <c r="B40" s="156" t="s">
        <v>458</v>
      </c>
      <c r="C40" s="194" t="s">
        <v>494</v>
      </c>
      <c r="D40" s="165">
        <v>2007</v>
      </c>
      <c r="E40" s="161">
        <v>8</v>
      </c>
      <c r="F40" s="178">
        <v>0.2</v>
      </c>
      <c r="G40" s="179" t="s">
        <v>452</v>
      </c>
      <c r="H40" s="161">
        <v>7</v>
      </c>
      <c r="I40" s="165">
        <f t="shared" si="0"/>
        <v>2014</v>
      </c>
      <c r="J40" s="161"/>
      <c r="K40" s="161"/>
      <c r="L40" s="201">
        <v>104292</v>
      </c>
      <c r="M40" s="161"/>
      <c r="N40" s="161">
        <f t="shared" si="1"/>
        <v>83433.600000000006</v>
      </c>
      <c r="O40" s="161">
        <f t="shared" si="2"/>
        <v>993.25714285714287</v>
      </c>
      <c r="P40" s="161">
        <f t="shared" si="3"/>
        <v>0</v>
      </c>
      <c r="Q40" s="161">
        <f t="shared" si="4"/>
        <v>0</v>
      </c>
      <c r="R40" s="161">
        <f t="shared" si="5"/>
        <v>0</v>
      </c>
      <c r="S40" s="161">
        <v>1</v>
      </c>
      <c r="T40" s="161">
        <f t="shared" si="6"/>
        <v>0</v>
      </c>
      <c r="U40" s="161">
        <f t="shared" si="7"/>
        <v>83433.600000000006</v>
      </c>
      <c r="V40" s="161">
        <f t="shared" si="8"/>
        <v>83433.600000000006</v>
      </c>
      <c r="W40" s="161">
        <v>1</v>
      </c>
      <c r="X40" s="161">
        <f t="shared" si="9"/>
        <v>83433.600000000006</v>
      </c>
      <c r="Y40" s="161">
        <f t="shared" si="10"/>
        <v>83433.600000000006</v>
      </c>
      <c r="Z40" s="161">
        <f t="shared" si="11"/>
        <v>20858.399999999994</v>
      </c>
      <c r="AA40" s="156">
        <f t="shared" si="12"/>
        <v>2007.5833333333333</v>
      </c>
      <c r="AB40" s="156">
        <f t="shared" si="13"/>
        <v>2016.75</v>
      </c>
      <c r="AC40" s="156">
        <f t="shared" si="14"/>
        <v>2014.5833333333333</v>
      </c>
      <c r="AD40" s="181">
        <f t="shared" si="15"/>
        <v>2015.75</v>
      </c>
      <c r="AE40" s="181">
        <f t="shared" si="16"/>
        <v>-8.3333333333333329E-2</v>
      </c>
      <c r="AF40" s="181">
        <f t="shared" si="17"/>
        <v>2014.5833333333333</v>
      </c>
      <c r="AG40" s="181">
        <f t="shared" si="18"/>
        <v>2015.75</v>
      </c>
      <c r="AH40" s="181">
        <f t="shared" si="19"/>
        <v>-8.3333333333333329E-2</v>
      </c>
      <c r="AI40" s="156" t="s">
        <v>471</v>
      </c>
      <c r="AJ40" s="156"/>
      <c r="AK40" s="156"/>
      <c r="AL40" s="156"/>
    </row>
    <row r="41" spans="1:38" x14ac:dyDescent="0.25">
      <c r="A41" s="195" t="s">
        <v>495</v>
      </c>
      <c r="B41" s="156" t="s">
        <v>458</v>
      </c>
      <c r="C41" s="194" t="s">
        <v>496</v>
      </c>
      <c r="D41" s="165">
        <v>2007</v>
      </c>
      <c r="E41" s="161">
        <v>8</v>
      </c>
      <c r="F41" s="178">
        <v>0.2</v>
      </c>
      <c r="G41" s="179" t="s">
        <v>452</v>
      </c>
      <c r="H41" s="161">
        <v>7</v>
      </c>
      <c r="I41" s="165">
        <f t="shared" si="0"/>
        <v>2014</v>
      </c>
      <c r="J41" s="161"/>
      <c r="K41" s="161"/>
      <c r="L41" s="201">
        <v>202343</v>
      </c>
      <c r="M41" s="161"/>
      <c r="N41" s="161">
        <f t="shared" si="1"/>
        <v>161874.4</v>
      </c>
      <c r="O41" s="161">
        <f t="shared" si="2"/>
        <v>1927.0761904761903</v>
      </c>
      <c r="P41" s="161">
        <f t="shared" si="3"/>
        <v>0</v>
      </c>
      <c r="Q41" s="161">
        <f t="shared" si="4"/>
        <v>0</v>
      </c>
      <c r="R41" s="161">
        <f t="shared" si="5"/>
        <v>0</v>
      </c>
      <c r="S41" s="161">
        <v>1</v>
      </c>
      <c r="T41" s="161">
        <f t="shared" si="6"/>
        <v>0</v>
      </c>
      <c r="U41" s="161">
        <f t="shared" si="7"/>
        <v>161874.4</v>
      </c>
      <c r="V41" s="161">
        <f t="shared" si="8"/>
        <v>161874.4</v>
      </c>
      <c r="W41" s="161">
        <v>1</v>
      </c>
      <c r="X41" s="161">
        <f t="shared" si="9"/>
        <v>161874.4</v>
      </c>
      <c r="Y41" s="161">
        <f t="shared" si="10"/>
        <v>161874.4</v>
      </c>
      <c r="Z41" s="161">
        <f t="shared" si="11"/>
        <v>40468.600000000006</v>
      </c>
      <c r="AA41" s="156">
        <f t="shared" si="12"/>
        <v>2007.5833333333333</v>
      </c>
      <c r="AB41" s="156">
        <f t="shared" si="13"/>
        <v>2016.75</v>
      </c>
      <c r="AC41" s="156">
        <f t="shared" si="14"/>
        <v>2014.5833333333333</v>
      </c>
      <c r="AD41" s="181">
        <f t="shared" si="15"/>
        <v>2015.75</v>
      </c>
      <c r="AE41" s="181">
        <f t="shared" si="16"/>
        <v>-8.3333333333333329E-2</v>
      </c>
      <c r="AF41" s="181">
        <f t="shared" si="17"/>
        <v>2014.5833333333333</v>
      </c>
      <c r="AG41" s="181">
        <f t="shared" si="18"/>
        <v>2015.75</v>
      </c>
      <c r="AH41" s="181">
        <f t="shared" si="19"/>
        <v>-8.3333333333333329E-2</v>
      </c>
      <c r="AI41" s="156" t="s">
        <v>471</v>
      </c>
      <c r="AJ41" s="156"/>
      <c r="AK41" s="156"/>
      <c r="AL41" s="156"/>
    </row>
    <row r="42" spans="1:38" x14ac:dyDescent="0.25">
      <c r="A42" s="163"/>
      <c r="B42" s="156" t="s">
        <v>458</v>
      </c>
      <c r="C42" s="198" t="s">
        <v>496</v>
      </c>
      <c r="D42" s="165">
        <v>2007</v>
      </c>
      <c r="E42" s="161">
        <v>8</v>
      </c>
      <c r="F42" s="178">
        <v>0.2</v>
      </c>
      <c r="G42" s="179" t="s">
        <v>452</v>
      </c>
      <c r="H42" s="161">
        <v>7</v>
      </c>
      <c r="I42" s="165">
        <f t="shared" si="0"/>
        <v>2014</v>
      </c>
      <c r="J42" s="161"/>
      <c r="K42" s="161"/>
      <c r="L42" s="180">
        <v>39489.449999999997</v>
      </c>
      <c r="M42" s="161"/>
      <c r="N42" s="161">
        <f t="shared" si="1"/>
        <v>31591.559999999998</v>
      </c>
      <c r="O42" s="161">
        <f t="shared" si="2"/>
        <v>376.09</v>
      </c>
      <c r="P42" s="161">
        <f t="shared" si="3"/>
        <v>0</v>
      </c>
      <c r="Q42" s="161">
        <f t="shared" si="4"/>
        <v>0</v>
      </c>
      <c r="R42" s="161">
        <f t="shared" si="5"/>
        <v>0</v>
      </c>
      <c r="S42" s="161">
        <v>1</v>
      </c>
      <c r="T42" s="161">
        <f t="shared" si="6"/>
        <v>0</v>
      </c>
      <c r="U42" s="161">
        <f t="shared" si="7"/>
        <v>31591.559999999998</v>
      </c>
      <c r="V42" s="161">
        <f t="shared" si="8"/>
        <v>31591.559999999998</v>
      </c>
      <c r="W42" s="161">
        <v>1</v>
      </c>
      <c r="X42" s="161">
        <f t="shared" si="9"/>
        <v>31591.559999999998</v>
      </c>
      <c r="Y42" s="161">
        <f t="shared" si="10"/>
        <v>31591.559999999998</v>
      </c>
      <c r="Z42" s="161">
        <f t="shared" si="11"/>
        <v>7897.8899999999994</v>
      </c>
      <c r="AA42" s="156">
        <f t="shared" si="12"/>
        <v>2007.5833333333333</v>
      </c>
      <c r="AB42" s="156">
        <f t="shared" si="13"/>
        <v>2016.75</v>
      </c>
      <c r="AC42" s="156">
        <f t="shared" si="14"/>
        <v>2014.5833333333333</v>
      </c>
      <c r="AD42" s="181">
        <f t="shared" si="15"/>
        <v>2015.75</v>
      </c>
      <c r="AE42" s="181">
        <f t="shared" si="16"/>
        <v>-8.3333333333333329E-2</v>
      </c>
      <c r="AF42" s="181">
        <f t="shared" si="17"/>
        <v>2014.5833333333333</v>
      </c>
      <c r="AG42" s="181">
        <f t="shared" si="18"/>
        <v>2015.75</v>
      </c>
      <c r="AH42" s="181">
        <f t="shared" si="19"/>
        <v>-8.3333333333333329E-2</v>
      </c>
      <c r="AI42" s="156" t="s">
        <v>471</v>
      </c>
      <c r="AJ42" s="156"/>
      <c r="AK42" s="156"/>
      <c r="AL42" s="156"/>
    </row>
    <row r="43" spans="1:38" x14ac:dyDescent="0.25">
      <c r="A43" s="163"/>
      <c r="B43" s="156" t="s">
        <v>458</v>
      </c>
      <c r="C43" s="198" t="s">
        <v>497</v>
      </c>
      <c r="D43" s="165">
        <v>2007</v>
      </c>
      <c r="E43" s="161">
        <v>8</v>
      </c>
      <c r="F43" s="178">
        <v>0.2</v>
      </c>
      <c r="G43" s="179" t="s">
        <v>452</v>
      </c>
      <c r="H43" s="161">
        <v>7</v>
      </c>
      <c r="I43" s="165">
        <f t="shared" si="0"/>
        <v>2014</v>
      </c>
      <c r="J43" s="161"/>
      <c r="K43" s="161"/>
      <c r="L43" s="180">
        <v>60059.54</v>
      </c>
      <c r="M43" s="161"/>
      <c r="N43" s="161">
        <f t="shared" si="1"/>
        <v>48047.631999999998</v>
      </c>
      <c r="O43" s="161">
        <f t="shared" si="2"/>
        <v>571.99561904761902</v>
      </c>
      <c r="P43" s="161">
        <f t="shared" si="3"/>
        <v>0</v>
      </c>
      <c r="Q43" s="161">
        <f t="shared" si="4"/>
        <v>0</v>
      </c>
      <c r="R43" s="161">
        <f t="shared" si="5"/>
        <v>0</v>
      </c>
      <c r="S43" s="161">
        <v>1</v>
      </c>
      <c r="T43" s="161">
        <f t="shared" si="6"/>
        <v>0</v>
      </c>
      <c r="U43" s="161">
        <f t="shared" si="7"/>
        <v>48047.631999999998</v>
      </c>
      <c r="V43" s="161">
        <f t="shared" si="8"/>
        <v>48047.631999999998</v>
      </c>
      <c r="W43" s="161">
        <v>1</v>
      </c>
      <c r="X43" s="161">
        <f t="shared" si="9"/>
        <v>48047.631999999998</v>
      </c>
      <c r="Y43" s="161">
        <f t="shared" si="10"/>
        <v>48047.631999999998</v>
      </c>
      <c r="Z43" s="161">
        <f t="shared" si="11"/>
        <v>12011.908000000003</v>
      </c>
      <c r="AA43" s="156">
        <f t="shared" si="12"/>
        <v>2007.5833333333333</v>
      </c>
      <c r="AB43" s="156">
        <f t="shared" si="13"/>
        <v>2016.75</v>
      </c>
      <c r="AC43" s="156">
        <f t="shared" si="14"/>
        <v>2014.5833333333333</v>
      </c>
      <c r="AD43" s="181">
        <f t="shared" si="15"/>
        <v>2015.75</v>
      </c>
      <c r="AE43" s="181">
        <f t="shared" si="16"/>
        <v>-8.3333333333333329E-2</v>
      </c>
      <c r="AF43" s="181">
        <f t="shared" si="17"/>
        <v>2014.5833333333333</v>
      </c>
      <c r="AG43" s="181">
        <f t="shared" si="18"/>
        <v>2015.75</v>
      </c>
      <c r="AH43" s="181">
        <f t="shared" si="19"/>
        <v>-8.3333333333333329E-2</v>
      </c>
      <c r="AI43" s="156" t="s">
        <v>471</v>
      </c>
      <c r="AJ43" s="156"/>
      <c r="AK43" s="156"/>
      <c r="AL43" s="156"/>
    </row>
    <row r="44" spans="1:38" x14ac:dyDescent="0.25">
      <c r="A44" s="195" t="s">
        <v>498</v>
      </c>
      <c r="B44" s="156" t="s">
        <v>458</v>
      </c>
      <c r="C44" s="194" t="s">
        <v>497</v>
      </c>
      <c r="D44" s="165">
        <v>2008</v>
      </c>
      <c r="E44" s="161">
        <v>4</v>
      </c>
      <c r="F44" s="178">
        <v>0.2</v>
      </c>
      <c r="G44" s="179" t="s">
        <v>452</v>
      </c>
      <c r="H44" s="161">
        <v>7</v>
      </c>
      <c r="I44" s="165">
        <f t="shared" si="0"/>
        <v>2015</v>
      </c>
      <c r="J44" s="161"/>
      <c r="K44" s="161"/>
      <c r="L44" s="201">
        <v>170473</v>
      </c>
      <c r="M44" s="161"/>
      <c r="N44" s="161">
        <f t="shared" si="1"/>
        <v>136378.4</v>
      </c>
      <c r="O44" s="161">
        <f t="shared" si="2"/>
        <v>1623.5523809523809</v>
      </c>
      <c r="P44" s="161">
        <f t="shared" si="3"/>
        <v>0</v>
      </c>
      <c r="Q44" s="161">
        <f t="shared" si="4"/>
        <v>0</v>
      </c>
      <c r="R44" s="161">
        <f t="shared" si="5"/>
        <v>0</v>
      </c>
      <c r="S44" s="161">
        <v>1</v>
      </c>
      <c r="T44" s="161">
        <f t="shared" si="6"/>
        <v>0</v>
      </c>
      <c r="U44" s="161">
        <f t="shared" si="7"/>
        <v>136378.4</v>
      </c>
      <c r="V44" s="161">
        <f t="shared" si="8"/>
        <v>136378.4</v>
      </c>
      <c r="W44" s="161">
        <v>1</v>
      </c>
      <c r="X44" s="161">
        <f t="shared" si="9"/>
        <v>136378.4</v>
      </c>
      <c r="Y44" s="161">
        <f t="shared" si="10"/>
        <v>136378.4</v>
      </c>
      <c r="Z44" s="161">
        <f t="shared" si="11"/>
        <v>34094.600000000006</v>
      </c>
      <c r="AA44" s="156">
        <f t="shared" si="12"/>
        <v>2008.25</v>
      </c>
      <c r="AB44" s="156">
        <f t="shared" si="13"/>
        <v>2016.75</v>
      </c>
      <c r="AC44" s="156">
        <f t="shared" si="14"/>
        <v>2015.25</v>
      </c>
      <c r="AD44" s="181">
        <f t="shared" si="15"/>
        <v>2015.75</v>
      </c>
      <c r="AE44" s="181">
        <f t="shared" si="16"/>
        <v>-8.3333333333333329E-2</v>
      </c>
      <c r="AF44" s="181">
        <f t="shared" si="17"/>
        <v>2015.25</v>
      </c>
      <c r="AG44" s="181">
        <f t="shared" si="18"/>
        <v>2015.75</v>
      </c>
      <c r="AH44" s="181">
        <f t="shared" si="19"/>
        <v>-8.3333333333333329E-2</v>
      </c>
      <c r="AI44" s="156" t="s">
        <v>471</v>
      </c>
      <c r="AJ44" s="156"/>
      <c r="AK44" s="156"/>
      <c r="AL44" s="156"/>
    </row>
    <row r="45" spans="1:38" x14ac:dyDescent="0.25">
      <c r="A45" s="195" t="s">
        <v>499</v>
      </c>
      <c r="B45" s="156" t="s">
        <v>458</v>
      </c>
      <c r="C45" s="194" t="s">
        <v>500</v>
      </c>
      <c r="D45" s="165">
        <v>2008</v>
      </c>
      <c r="E45" s="161">
        <v>7</v>
      </c>
      <c r="F45" s="178">
        <v>0.2</v>
      </c>
      <c r="G45" s="179" t="s">
        <v>452</v>
      </c>
      <c r="H45" s="161">
        <v>7</v>
      </c>
      <c r="I45" s="165">
        <f t="shared" si="0"/>
        <v>2015</v>
      </c>
      <c r="J45" s="161"/>
      <c r="K45" s="161"/>
      <c r="L45" s="201">
        <v>31870</v>
      </c>
      <c r="M45" s="161"/>
      <c r="N45" s="161">
        <f t="shared" si="1"/>
        <v>25496</v>
      </c>
      <c r="O45" s="161">
        <f t="shared" si="2"/>
        <v>303.52380952380952</v>
      </c>
      <c r="P45" s="161">
        <f t="shared" si="3"/>
        <v>0</v>
      </c>
      <c r="Q45" s="161">
        <f t="shared" si="4"/>
        <v>0</v>
      </c>
      <c r="R45" s="161">
        <f t="shared" si="5"/>
        <v>0</v>
      </c>
      <c r="S45" s="161">
        <v>1</v>
      </c>
      <c r="T45" s="161">
        <f t="shared" si="6"/>
        <v>0</v>
      </c>
      <c r="U45" s="161">
        <f t="shared" si="7"/>
        <v>25496</v>
      </c>
      <c r="V45" s="161">
        <f t="shared" si="8"/>
        <v>25496</v>
      </c>
      <c r="W45" s="161">
        <v>1</v>
      </c>
      <c r="X45" s="161">
        <f t="shared" si="9"/>
        <v>25496</v>
      </c>
      <c r="Y45" s="161">
        <f t="shared" si="10"/>
        <v>25496</v>
      </c>
      <c r="Z45" s="161">
        <f t="shared" si="11"/>
        <v>6374</v>
      </c>
      <c r="AA45" s="156">
        <f t="shared" si="12"/>
        <v>2008.5</v>
      </c>
      <c r="AB45" s="156">
        <f t="shared" si="13"/>
        <v>2016.75</v>
      </c>
      <c r="AC45" s="156">
        <f t="shared" si="14"/>
        <v>2015.5</v>
      </c>
      <c r="AD45" s="181">
        <f t="shared" si="15"/>
        <v>2015.75</v>
      </c>
      <c r="AE45" s="181">
        <f t="shared" si="16"/>
        <v>-8.3333333333333329E-2</v>
      </c>
      <c r="AF45" s="181">
        <f t="shared" si="17"/>
        <v>2015.5</v>
      </c>
      <c r="AG45" s="181">
        <f t="shared" si="18"/>
        <v>2015.75</v>
      </c>
      <c r="AH45" s="181">
        <f t="shared" si="19"/>
        <v>-8.3333333333333329E-2</v>
      </c>
      <c r="AI45" s="156" t="s">
        <v>471</v>
      </c>
      <c r="AJ45" s="156"/>
      <c r="AK45" s="156"/>
      <c r="AL45" s="156"/>
    </row>
    <row r="46" spans="1:38" x14ac:dyDescent="0.25">
      <c r="A46" s="195" t="s">
        <v>501</v>
      </c>
      <c r="B46" s="156" t="s">
        <v>458</v>
      </c>
      <c r="C46" s="194" t="s">
        <v>502</v>
      </c>
      <c r="D46" s="165">
        <v>2008</v>
      </c>
      <c r="E46" s="161">
        <v>8</v>
      </c>
      <c r="F46" s="178">
        <v>0.2</v>
      </c>
      <c r="G46" s="179" t="s">
        <v>452</v>
      </c>
      <c r="H46" s="161">
        <v>7</v>
      </c>
      <c r="I46" s="165">
        <f t="shared" si="0"/>
        <v>2015</v>
      </c>
      <c r="J46" s="161"/>
      <c r="K46" s="161"/>
      <c r="L46" s="201">
        <v>170473</v>
      </c>
      <c r="M46" s="161"/>
      <c r="N46" s="161">
        <f t="shared" si="1"/>
        <v>136378.4</v>
      </c>
      <c r="O46" s="161">
        <f t="shared" si="2"/>
        <v>1623.5523809523809</v>
      </c>
      <c r="P46" s="161">
        <f t="shared" si="3"/>
        <v>0</v>
      </c>
      <c r="Q46" s="161">
        <f t="shared" si="4"/>
        <v>0</v>
      </c>
      <c r="R46" s="161">
        <f t="shared" si="5"/>
        <v>0</v>
      </c>
      <c r="S46" s="161">
        <v>1</v>
      </c>
      <c r="T46" s="161">
        <f t="shared" si="6"/>
        <v>0</v>
      </c>
      <c r="U46" s="161">
        <f t="shared" si="7"/>
        <v>136378.4</v>
      </c>
      <c r="V46" s="161">
        <f t="shared" si="8"/>
        <v>136378.4</v>
      </c>
      <c r="W46" s="161">
        <v>1</v>
      </c>
      <c r="X46" s="161">
        <f t="shared" si="9"/>
        <v>136378.4</v>
      </c>
      <c r="Y46" s="161">
        <f t="shared" si="10"/>
        <v>136378.4</v>
      </c>
      <c r="Z46" s="161">
        <f t="shared" si="11"/>
        <v>34094.600000000006</v>
      </c>
      <c r="AA46" s="156">
        <f t="shared" si="12"/>
        <v>2008.5833333333333</v>
      </c>
      <c r="AB46" s="156">
        <f t="shared" si="13"/>
        <v>2016.75</v>
      </c>
      <c r="AC46" s="156">
        <f t="shared" si="14"/>
        <v>2015.5833333333333</v>
      </c>
      <c r="AD46" s="181">
        <f t="shared" si="15"/>
        <v>2015.75</v>
      </c>
      <c r="AE46" s="181">
        <f t="shared" si="16"/>
        <v>-8.3333333333333329E-2</v>
      </c>
      <c r="AF46" s="181">
        <f t="shared" si="17"/>
        <v>2015.5833333333333</v>
      </c>
      <c r="AG46" s="181">
        <f t="shared" si="18"/>
        <v>2015.75</v>
      </c>
      <c r="AH46" s="181">
        <f t="shared" si="19"/>
        <v>-8.3333333333333329E-2</v>
      </c>
      <c r="AI46" s="156" t="s">
        <v>471</v>
      </c>
      <c r="AJ46" s="156"/>
      <c r="AK46" s="156"/>
      <c r="AL46" s="156"/>
    </row>
    <row r="47" spans="1:38" x14ac:dyDescent="0.25">
      <c r="A47" s="163"/>
      <c r="B47" s="156" t="s">
        <v>458</v>
      </c>
      <c r="C47" s="198" t="s">
        <v>503</v>
      </c>
      <c r="D47" s="165">
        <v>2008</v>
      </c>
      <c r="E47" s="161">
        <v>4</v>
      </c>
      <c r="F47" s="178">
        <v>0.2</v>
      </c>
      <c r="G47" s="179" t="s">
        <v>452</v>
      </c>
      <c r="H47" s="161">
        <v>7</v>
      </c>
      <c r="I47" s="165">
        <f t="shared" si="0"/>
        <v>2015</v>
      </c>
      <c r="J47" s="161"/>
      <c r="K47" s="161"/>
      <c r="L47" s="180">
        <v>86966.86</v>
      </c>
      <c r="M47" s="161"/>
      <c r="N47" s="161">
        <f t="shared" si="1"/>
        <v>69573.487999999998</v>
      </c>
      <c r="O47" s="161">
        <f t="shared" si="2"/>
        <v>828.25580952380949</v>
      </c>
      <c r="P47" s="161">
        <f t="shared" si="3"/>
        <v>0</v>
      </c>
      <c r="Q47" s="161">
        <f t="shared" si="4"/>
        <v>0</v>
      </c>
      <c r="R47" s="161">
        <f t="shared" si="5"/>
        <v>0</v>
      </c>
      <c r="S47" s="161">
        <v>1</v>
      </c>
      <c r="T47" s="161">
        <f t="shared" si="6"/>
        <v>0</v>
      </c>
      <c r="U47" s="161">
        <f t="shared" si="7"/>
        <v>69573.487999999998</v>
      </c>
      <c r="V47" s="161">
        <f t="shared" si="8"/>
        <v>69573.487999999998</v>
      </c>
      <c r="W47" s="161">
        <v>1</v>
      </c>
      <c r="X47" s="161">
        <f t="shared" si="9"/>
        <v>69573.487999999998</v>
      </c>
      <c r="Y47" s="161">
        <f t="shared" si="10"/>
        <v>69573.487999999998</v>
      </c>
      <c r="Z47" s="161">
        <f t="shared" si="11"/>
        <v>17393.372000000003</v>
      </c>
      <c r="AA47" s="156">
        <f t="shared" si="12"/>
        <v>2008.25</v>
      </c>
      <c r="AB47" s="156">
        <f t="shared" si="13"/>
        <v>2016.75</v>
      </c>
      <c r="AC47" s="156">
        <f t="shared" si="14"/>
        <v>2015.25</v>
      </c>
      <c r="AD47" s="181">
        <f t="shared" si="15"/>
        <v>2015.75</v>
      </c>
      <c r="AE47" s="181">
        <f t="shared" si="16"/>
        <v>-8.3333333333333329E-2</v>
      </c>
      <c r="AF47" s="181">
        <f t="shared" si="17"/>
        <v>2015.25</v>
      </c>
      <c r="AG47" s="181">
        <f t="shared" si="18"/>
        <v>2015.75</v>
      </c>
      <c r="AH47" s="181">
        <f t="shared" si="19"/>
        <v>-8.3333333333333329E-2</v>
      </c>
      <c r="AI47" s="156" t="s">
        <v>471</v>
      </c>
      <c r="AJ47" s="156"/>
      <c r="AK47" s="156"/>
      <c r="AL47" s="156"/>
    </row>
    <row r="48" spans="1:38" x14ac:dyDescent="0.25">
      <c r="A48" s="163"/>
      <c r="B48" s="156" t="s">
        <v>458</v>
      </c>
      <c r="C48" s="198" t="s">
        <v>504</v>
      </c>
      <c r="D48" s="165">
        <v>2008</v>
      </c>
      <c r="E48" s="161">
        <v>7</v>
      </c>
      <c r="F48" s="178">
        <v>0.2</v>
      </c>
      <c r="G48" s="179" t="s">
        <v>452</v>
      </c>
      <c r="H48" s="161">
        <v>7</v>
      </c>
      <c r="I48" s="165">
        <f t="shared" si="0"/>
        <v>2015</v>
      </c>
      <c r="J48" s="161"/>
      <c r="K48" s="161"/>
      <c r="L48" s="180">
        <v>41055</v>
      </c>
      <c r="M48" s="161"/>
      <c r="N48" s="161">
        <f t="shared" si="1"/>
        <v>32844</v>
      </c>
      <c r="O48" s="161">
        <f t="shared" si="2"/>
        <v>391</v>
      </c>
      <c r="P48" s="161">
        <f t="shared" si="3"/>
        <v>0</v>
      </c>
      <c r="Q48" s="161">
        <f t="shared" si="4"/>
        <v>0</v>
      </c>
      <c r="R48" s="161">
        <f t="shared" si="5"/>
        <v>0</v>
      </c>
      <c r="S48" s="161">
        <v>1</v>
      </c>
      <c r="T48" s="161">
        <f t="shared" si="6"/>
        <v>0</v>
      </c>
      <c r="U48" s="161">
        <f t="shared" si="7"/>
        <v>32844</v>
      </c>
      <c r="V48" s="161">
        <f t="shared" si="8"/>
        <v>32844</v>
      </c>
      <c r="W48" s="161">
        <v>1</v>
      </c>
      <c r="X48" s="161">
        <f t="shared" si="9"/>
        <v>32844</v>
      </c>
      <c r="Y48" s="161">
        <f t="shared" si="10"/>
        <v>32844</v>
      </c>
      <c r="Z48" s="161">
        <f t="shared" si="11"/>
        <v>8211</v>
      </c>
      <c r="AA48" s="156">
        <f t="shared" si="12"/>
        <v>2008.5</v>
      </c>
      <c r="AB48" s="156">
        <f t="shared" si="13"/>
        <v>2016.75</v>
      </c>
      <c r="AC48" s="156">
        <f t="shared" si="14"/>
        <v>2015.5</v>
      </c>
      <c r="AD48" s="181">
        <f t="shared" si="15"/>
        <v>2015.75</v>
      </c>
      <c r="AE48" s="181">
        <f t="shared" si="16"/>
        <v>-8.3333333333333329E-2</v>
      </c>
      <c r="AF48" s="181">
        <f t="shared" si="17"/>
        <v>2015.5</v>
      </c>
      <c r="AG48" s="181">
        <f t="shared" si="18"/>
        <v>2015.75</v>
      </c>
      <c r="AH48" s="181">
        <f t="shared" si="19"/>
        <v>-8.3333333333333329E-2</v>
      </c>
      <c r="AI48" s="156" t="s">
        <v>471</v>
      </c>
      <c r="AJ48" s="156"/>
      <c r="AK48" s="156"/>
      <c r="AL48" s="156"/>
    </row>
    <row r="49" spans="1:38" x14ac:dyDescent="0.25">
      <c r="A49" s="195" t="s">
        <v>505</v>
      </c>
      <c r="B49" s="156" t="s">
        <v>458</v>
      </c>
      <c r="C49" s="194" t="s">
        <v>504</v>
      </c>
      <c r="D49" s="165">
        <v>2009</v>
      </c>
      <c r="E49" s="161">
        <v>3</v>
      </c>
      <c r="F49" s="178">
        <v>0.2</v>
      </c>
      <c r="G49" s="179" t="s">
        <v>452</v>
      </c>
      <c r="H49" s="161">
        <v>7</v>
      </c>
      <c r="I49" s="165">
        <f t="shared" si="0"/>
        <v>2016</v>
      </c>
      <c r="J49" s="161"/>
      <c r="K49" s="161"/>
      <c r="L49" s="201">
        <v>165720.94</v>
      </c>
      <c r="M49" s="161"/>
      <c r="N49" s="161">
        <f t="shared" si="1"/>
        <v>132576.75200000001</v>
      </c>
      <c r="O49" s="161">
        <f t="shared" si="2"/>
        <v>1578.2946666666667</v>
      </c>
      <c r="P49" s="161">
        <f t="shared" si="3"/>
        <v>7891.4733333347685</v>
      </c>
      <c r="Q49" s="161">
        <f t="shared" si="4"/>
        <v>0</v>
      </c>
      <c r="R49" s="161">
        <f t="shared" si="5"/>
        <v>7891.4733333347685</v>
      </c>
      <c r="S49" s="161">
        <v>1</v>
      </c>
      <c r="T49" s="161">
        <f t="shared" si="6"/>
        <v>7891.4733333347685</v>
      </c>
      <c r="U49" s="161">
        <f t="shared" si="7"/>
        <v>124685.27866666524</v>
      </c>
      <c r="V49" s="161">
        <f t="shared" si="8"/>
        <v>124685.27866666524</v>
      </c>
      <c r="W49" s="161">
        <v>1</v>
      </c>
      <c r="X49" s="161">
        <f t="shared" si="9"/>
        <v>124685.27866666524</v>
      </c>
      <c r="Y49" s="161">
        <f t="shared" si="10"/>
        <v>132576.75200000001</v>
      </c>
      <c r="Z49" s="161">
        <f t="shared" si="11"/>
        <v>37089.924666667379</v>
      </c>
      <c r="AA49" s="156">
        <f t="shared" si="12"/>
        <v>2009.1666666666667</v>
      </c>
      <c r="AB49" s="156">
        <f t="shared" si="13"/>
        <v>2016.75</v>
      </c>
      <c r="AC49" s="156">
        <f t="shared" si="14"/>
        <v>2016.1666666666667</v>
      </c>
      <c r="AD49" s="181">
        <f t="shared" si="15"/>
        <v>2015.75</v>
      </c>
      <c r="AE49" s="181">
        <f t="shared" si="16"/>
        <v>-8.3333333333333329E-2</v>
      </c>
      <c r="AF49" s="181">
        <f t="shared" si="17"/>
        <v>2016.1666666666667</v>
      </c>
      <c r="AG49" s="181">
        <f t="shared" si="18"/>
        <v>2015.75</v>
      </c>
      <c r="AH49" s="181">
        <f t="shared" si="19"/>
        <v>-8.3333333333333329E-2</v>
      </c>
      <c r="AI49" s="156" t="s">
        <v>471</v>
      </c>
      <c r="AJ49" s="156"/>
      <c r="AK49" s="156"/>
      <c r="AL49" s="156"/>
    </row>
    <row r="50" spans="1:38" x14ac:dyDescent="0.25">
      <c r="A50" s="163"/>
      <c r="B50" s="156" t="s">
        <v>458</v>
      </c>
      <c r="C50" s="198" t="s">
        <v>506</v>
      </c>
      <c r="D50" s="165">
        <v>2008</v>
      </c>
      <c r="E50" s="161">
        <v>8</v>
      </c>
      <c r="F50" s="178">
        <v>0.2</v>
      </c>
      <c r="G50" s="179" t="s">
        <v>452</v>
      </c>
      <c r="H50" s="161">
        <v>7</v>
      </c>
      <c r="I50" s="165">
        <f t="shared" si="0"/>
        <v>2015</v>
      </c>
      <c r="J50" s="161"/>
      <c r="K50" s="161"/>
      <c r="L50" s="180">
        <v>34410.18</v>
      </c>
      <c r="M50" s="161"/>
      <c r="N50" s="161">
        <f t="shared" si="1"/>
        <v>27528.144</v>
      </c>
      <c r="O50" s="161">
        <f t="shared" si="2"/>
        <v>327.71600000000001</v>
      </c>
      <c r="P50" s="161">
        <f t="shared" si="3"/>
        <v>0</v>
      </c>
      <c r="Q50" s="161">
        <f t="shared" si="4"/>
        <v>0</v>
      </c>
      <c r="R50" s="161">
        <f t="shared" si="5"/>
        <v>0</v>
      </c>
      <c r="S50" s="161">
        <v>1</v>
      </c>
      <c r="T50" s="161">
        <f t="shared" si="6"/>
        <v>0</v>
      </c>
      <c r="U50" s="161">
        <f t="shared" si="7"/>
        <v>27528.144</v>
      </c>
      <c r="V50" s="161">
        <f t="shared" si="8"/>
        <v>27528.144</v>
      </c>
      <c r="W50" s="161">
        <v>1</v>
      </c>
      <c r="X50" s="161">
        <f t="shared" si="9"/>
        <v>27528.144</v>
      </c>
      <c r="Y50" s="161">
        <f t="shared" si="10"/>
        <v>27528.144</v>
      </c>
      <c r="Z50" s="161">
        <f t="shared" si="11"/>
        <v>6882.0360000000001</v>
      </c>
      <c r="AA50" s="156">
        <f t="shared" si="12"/>
        <v>2008.5833333333333</v>
      </c>
      <c r="AB50" s="156">
        <f t="shared" si="13"/>
        <v>2016.75</v>
      </c>
      <c r="AC50" s="156">
        <f t="shared" si="14"/>
        <v>2015.5833333333333</v>
      </c>
      <c r="AD50" s="181">
        <f t="shared" si="15"/>
        <v>2015.75</v>
      </c>
      <c r="AE50" s="181">
        <f t="shared" si="16"/>
        <v>-8.3333333333333329E-2</v>
      </c>
      <c r="AF50" s="181">
        <f t="shared" si="17"/>
        <v>2015.5833333333333</v>
      </c>
      <c r="AG50" s="181">
        <f t="shared" si="18"/>
        <v>2015.75</v>
      </c>
      <c r="AH50" s="181">
        <f t="shared" si="19"/>
        <v>-8.3333333333333329E-2</v>
      </c>
      <c r="AI50" s="156" t="s">
        <v>471</v>
      </c>
      <c r="AJ50" s="156"/>
      <c r="AK50" s="156"/>
      <c r="AL50" s="156"/>
    </row>
    <row r="51" spans="1:38" x14ac:dyDescent="0.25">
      <c r="A51" s="163"/>
      <c r="B51" s="156" t="s">
        <v>458</v>
      </c>
      <c r="C51" s="198" t="s">
        <v>507</v>
      </c>
      <c r="D51" s="165">
        <v>2009</v>
      </c>
      <c r="E51" s="161">
        <v>3</v>
      </c>
      <c r="F51" s="178">
        <v>0.2</v>
      </c>
      <c r="G51" s="179" t="s">
        <v>452</v>
      </c>
      <c r="H51" s="161">
        <v>7</v>
      </c>
      <c r="I51" s="165">
        <f t="shared" si="0"/>
        <v>2016</v>
      </c>
      <c r="J51" s="161"/>
      <c r="K51" s="161"/>
      <c r="L51" s="180">
        <v>12358.2</v>
      </c>
      <c r="M51" s="161"/>
      <c r="N51" s="161">
        <f t="shared" si="1"/>
        <v>9886.5600000000013</v>
      </c>
      <c r="O51" s="161">
        <f t="shared" si="2"/>
        <v>117.69714285714286</v>
      </c>
      <c r="P51" s="161">
        <f t="shared" si="3"/>
        <v>588.48571428582136</v>
      </c>
      <c r="Q51" s="161">
        <f t="shared" si="4"/>
        <v>0</v>
      </c>
      <c r="R51" s="161">
        <f t="shared" si="5"/>
        <v>588.48571428582136</v>
      </c>
      <c r="S51" s="161">
        <v>1</v>
      </c>
      <c r="T51" s="161">
        <f t="shared" si="6"/>
        <v>588.48571428582136</v>
      </c>
      <c r="U51" s="161">
        <f t="shared" si="7"/>
        <v>9298.0742857141795</v>
      </c>
      <c r="V51" s="161">
        <f t="shared" si="8"/>
        <v>9298.0742857141795</v>
      </c>
      <c r="W51" s="161">
        <v>1</v>
      </c>
      <c r="X51" s="161">
        <f t="shared" si="9"/>
        <v>9298.0742857141795</v>
      </c>
      <c r="Y51" s="161">
        <f t="shared" si="10"/>
        <v>9886.5600000000013</v>
      </c>
      <c r="Z51" s="161">
        <f t="shared" si="11"/>
        <v>2765.8828571429103</v>
      </c>
      <c r="AA51" s="156">
        <f t="shared" si="12"/>
        <v>2009.1666666666667</v>
      </c>
      <c r="AB51" s="156">
        <f t="shared" si="13"/>
        <v>2016.75</v>
      </c>
      <c r="AC51" s="156">
        <f t="shared" si="14"/>
        <v>2016.1666666666667</v>
      </c>
      <c r="AD51" s="181">
        <f t="shared" si="15"/>
        <v>2015.75</v>
      </c>
      <c r="AE51" s="181">
        <f t="shared" si="16"/>
        <v>-8.3333333333333329E-2</v>
      </c>
      <c r="AF51" s="181">
        <f t="shared" si="17"/>
        <v>2016.1666666666667</v>
      </c>
      <c r="AG51" s="181">
        <f t="shared" si="18"/>
        <v>2015.75</v>
      </c>
      <c r="AH51" s="181">
        <f t="shared" si="19"/>
        <v>-8.3333333333333329E-2</v>
      </c>
      <c r="AI51" s="156" t="s">
        <v>471</v>
      </c>
      <c r="AJ51" s="156"/>
      <c r="AK51" s="156"/>
      <c r="AL51" s="156"/>
    </row>
    <row r="52" spans="1:38" x14ac:dyDescent="0.25">
      <c r="A52" s="195" t="s">
        <v>508</v>
      </c>
      <c r="B52" s="156" t="s">
        <v>458</v>
      </c>
      <c r="C52" s="194" t="s">
        <v>506</v>
      </c>
      <c r="D52" s="165">
        <v>2009</v>
      </c>
      <c r="E52" s="161">
        <v>9</v>
      </c>
      <c r="F52" s="178">
        <v>0.2</v>
      </c>
      <c r="G52" s="179" t="s">
        <v>452</v>
      </c>
      <c r="H52" s="161">
        <v>7</v>
      </c>
      <c r="I52" s="165">
        <f t="shared" si="0"/>
        <v>2016</v>
      </c>
      <c r="J52" s="161"/>
      <c r="K52" s="161"/>
      <c r="L52" s="201">
        <v>110229</v>
      </c>
      <c r="M52" s="161"/>
      <c r="N52" s="161">
        <f t="shared" si="1"/>
        <v>88183.2</v>
      </c>
      <c r="O52" s="161">
        <f t="shared" si="2"/>
        <v>1049.8</v>
      </c>
      <c r="P52" s="161">
        <f t="shared" si="3"/>
        <v>11547.800000000954</v>
      </c>
      <c r="Q52" s="161">
        <f t="shared" si="4"/>
        <v>0</v>
      </c>
      <c r="R52" s="161">
        <f t="shared" si="5"/>
        <v>11547.800000000954</v>
      </c>
      <c r="S52" s="161">
        <v>1</v>
      </c>
      <c r="T52" s="161">
        <f t="shared" si="6"/>
        <v>11547.800000000954</v>
      </c>
      <c r="U52" s="161">
        <f t="shared" si="7"/>
        <v>76635.399999999048</v>
      </c>
      <c r="V52" s="161">
        <f t="shared" si="8"/>
        <v>76635.399999999048</v>
      </c>
      <c r="W52" s="161">
        <v>1</v>
      </c>
      <c r="X52" s="161">
        <f t="shared" si="9"/>
        <v>76635.399999999048</v>
      </c>
      <c r="Y52" s="161">
        <f t="shared" si="10"/>
        <v>88183.2</v>
      </c>
      <c r="Z52" s="161">
        <f t="shared" si="11"/>
        <v>27819.700000000477</v>
      </c>
      <c r="AA52" s="156">
        <f t="shared" si="12"/>
        <v>2009.6666666666667</v>
      </c>
      <c r="AB52" s="156">
        <f t="shared" si="13"/>
        <v>2016.75</v>
      </c>
      <c r="AC52" s="156">
        <f t="shared" si="14"/>
        <v>2016.6666666666667</v>
      </c>
      <c r="AD52" s="181">
        <f t="shared" si="15"/>
        <v>2015.75</v>
      </c>
      <c r="AE52" s="181">
        <f t="shared" si="16"/>
        <v>-8.3333333333333329E-2</v>
      </c>
      <c r="AF52" s="181">
        <f t="shared" si="17"/>
        <v>2016.6666666666667</v>
      </c>
      <c r="AG52" s="181">
        <f t="shared" si="18"/>
        <v>2015.75</v>
      </c>
      <c r="AH52" s="181">
        <f t="shared" si="19"/>
        <v>-8.3333333333333329E-2</v>
      </c>
      <c r="AI52" s="156" t="s">
        <v>471</v>
      </c>
      <c r="AJ52" s="156"/>
      <c r="AK52" s="156"/>
      <c r="AL52" s="156"/>
    </row>
    <row r="53" spans="1:38" x14ac:dyDescent="0.25">
      <c r="A53" s="195" t="s">
        <v>509</v>
      </c>
      <c r="B53" s="156" t="s">
        <v>458</v>
      </c>
      <c r="C53" s="194" t="s">
        <v>507</v>
      </c>
      <c r="D53" s="165">
        <v>2009</v>
      </c>
      <c r="E53" s="161">
        <v>11</v>
      </c>
      <c r="F53" s="178">
        <v>0.2</v>
      </c>
      <c r="G53" s="179" t="s">
        <v>452</v>
      </c>
      <c r="H53" s="161">
        <v>7</v>
      </c>
      <c r="I53" s="165">
        <f t="shared" si="0"/>
        <v>2016</v>
      </c>
      <c r="J53" s="161"/>
      <c r="K53" s="161"/>
      <c r="L53" s="201">
        <v>105785</v>
      </c>
      <c r="M53" s="161"/>
      <c r="N53" s="161">
        <f t="shared" si="1"/>
        <v>84628</v>
      </c>
      <c r="O53" s="161">
        <f t="shared" si="2"/>
        <v>1007.4761904761905</v>
      </c>
      <c r="P53" s="161">
        <f t="shared" si="3"/>
        <v>12089.714285714286</v>
      </c>
      <c r="Q53" s="161">
        <f t="shared" si="4"/>
        <v>0</v>
      </c>
      <c r="R53" s="161">
        <f t="shared" si="5"/>
        <v>12089.714285714286</v>
      </c>
      <c r="S53" s="161">
        <v>1</v>
      </c>
      <c r="T53" s="161">
        <f t="shared" si="6"/>
        <v>12089.714285714286</v>
      </c>
      <c r="U53" s="161">
        <f t="shared" si="7"/>
        <v>71530.809523810443</v>
      </c>
      <c r="V53" s="161">
        <f t="shared" si="8"/>
        <v>71530.809523810443</v>
      </c>
      <c r="W53" s="161">
        <v>1</v>
      </c>
      <c r="X53" s="161">
        <f t="shared" si="9"/>
        <v>71530.809523810443</v>
      </c>
      <c r="Y53" s="161">
        <f t="shared" si="10"/>
        <v>83620.523809524733</v>
      </c>
      <c r="Z53" s="161">
        <f t="shared" si="11"/>
        <v>28209.333333332412</v>
      </c>
      <c r="AA53" s="156">
        <f t="shared" si="12"/>
        <v>2009.8333333333333</v>
      </c>
      <c r="AB53" s="156">
        <f t="shared" si="13"/>
        <v>2016.75</v>
      </c>
      <c r="AC53" s="156">
        <f t="shared" si="14"/>
        <v>2016.8333333333333</v>
      </c>
      <c r="AD53" s="181">
        <f t="shared" si="15"/>
        <v>2015.75</v>
      </c>
      <c r="AE53" s="181">
        <f t="shared" si="16"/>
        <v>-8.3333333333333329E-2</v>
      </c>
      <c r="AF53" s="181">
        <f t="shared" si="17"/>
        <v>2016.8333333333333</v>
      </c>
      <c r="AG53" s="181">
        <f t="shared" si="18"/>
        <v>2015.75</v>
      </c>
      <c r="AH53" s="181">
        <f t="shared" si="19"/>
        <v>-8.3333333333333329E-2</v>
      </c>
      <c r="AI53" s="156" t="s">
        <v>471</v>
      </c>
      <c r="AJ53" s="156"/>
      <c r="AK53" s="156"/>
      <c r="AL53" s="156"/>
    </row>
    <row r="54" spans="1:38" x14ac:dyDescent="0.25">
      <c r="A54" s="195" t="s">
        <v>510</v>
      </c>
      <c r="B54" s="156" t="s">
        <v>458</v>
      </c>
      <c r="C54" s="194" t="s">
        <v>511</v>
      </c>
      <c r="D54" s="165">
        <v>2009</v>
      </c>
      <c r="E54" s="161">
        <v>12</v>
      </c>
      <c r="F54" s="178">
        <v>0.2</v>
      </c>
      <c r="G54" s="179" t="s">
        <v>452</v>
      </c>
      <c r="H54" s="161">
        <v>7</v>
      </c>
      <c r="I54" s="165">
        <f t="shared" si="0"/>
        <v>2016</v>
      </c>
      <c r="J54" s="161"/>
      <c r="K54" s="161"/>
      <c r="L54" s="201">
        <v>93526</v>
      </c>
      <c r="M54" s="161"/>
      <c r="N54" s="161">
        <f t="shared" si="1"/>
        <v>74820.800000000003</v>
      </c>
      <c r="O54" s="161">
        <f t="shared" si="2"/>
        <v>890.72380952380956</v>
      </c>
      <c r="P54" s="161">
        <f t="shared" si="3"/>
        <v>10688.685714285715</v>
      </c>
      <c r="Q54" s="161">
        <f t="shared" si="4"/>
        <v>0</v>
      </c>
      <c r="R54" s="161">
        <f t="shared" si="5"/>
        <v>10688.685714285715</v>
      </c>
      <c r="S54" s="161">
        <v>1</v>
      </c>
      <c r="T54" s="161">
        <f t="shared" si="6"/>
        <v>10688.685714285715</v>
      </c>
      <c r="U54" s="161">
        <f t="shared" si="7"/>
        <v>62350.666666665857</v>
      </c>
      <c r="V54" s="161">
        <f t="shared" si="8"/>
        <v>62350.666666665857</v>
      </c>
      <c r="W54" s="161">
        <v>1</v>
      </c>
      <c r="X54" s="161">
        <f t="shared" si="9"/>
        <v>62350.666666665857</v>
      </c>
      <c r="Y54" s="161">
        <f t="shared" si="10"/>
        <v>73039.352380951575</v>
      </c>
      <c r="Z54" s="161">
        <f t="shared" si="11"/>
        <v>25830.990476191284</v>
      </c>
      <c r="AA54" s="156">
        <f t="shared" si="12"/>
        <v>2009.9166666666667</v>
      </c>
      <c r="AB54" s="156">
        <f t="shared" si="13"/>
        <v>2016.75</v>
      </c>
      <c r="AC54" s="156">
        <f t="shared" si="14"/>
        <v>2016.9166666666667</v>
      </c>
      <c r="AD54" s="181">
        <f t="shared" si="15"/>
        <v>2015.75</v>
      </c>
      <c r="AE54" s="181">
        <f t="shared" si="16"/>
        <v>-8.3333333333333329E-2</v>
      </c>
      <c r="AF54" s="181">
        <f t="shared" si="17"/>
        <v>2016.9166666666667</v>
      </c>
      <c r="AG54" s="181">
        <f t="shared" si="18"/>
        <v>2015.75</v>
      </c>
      <c r="AH54" s="181">
        <f t="shared" si="19"/>
        <v>-8.3333333333333329E-2</v>
      </c>
      <c r="AI54" s="156" t="s">
        <v>471</v>
      </c>
      <c r="AJ54" s="156"/>
      <c r="AK54" s="156"/>
      <c r="AL54" s="156"/>
    </row>
    <row r="55" spans="1:38" x14ac:dyDescent="0.25">
      <c r="A55" s="195"/>
      <c r="B55" s="156" t="s">
        <v>458</v>
      </c>
      <c r="C55" s="194" t="s">
        <v>512</v>
      </c>
      <c r="D55" s="165">
        <v>2009</v>
      </c>
      <c r="E55" s="161">
        <v>12</v>
      </c>
      <c r="F55" s="178">
        <v>0.2</v>
      </c>
      <c r="G55" s="179" t="s">
        <v>452</v>
      </c>
      <c r="H55" s="161">
        <v>7</v>
      </c>
      <c r="I55" s="165">
        <f t="shared" si="0"/>
        <v>2016</v>
      </c>
      <c r="J55" s="161"/>
      <c r="K55" s="161"/>
      <c r="L55" s="201">
        <v>44873</v>
      </c>
      <c r="M55" s="161"/>
      <c r="N55" s="161">
        <f t="shared" si="1"/>
        <v>35898.400000000001</v>
      </c>
      <c r="O55" s="161">
        <f t="shared" si="2"/>
        <v>427.36190476190478</v>
      </c>
      <c r="P55" s="161">
        <f t="shared" si="3"/>
        <v>5128.3428571428576</v>
      </c>
      <c r="Q55" s="161">
        <f t="shared" si="4"/>
        <v>0</v>
      </c>
      <c r="R55" s="161">
        <f t="shared" si="5"/>
        <v>5128.3428571428576</v>
      </c>
      <c r="S55" s="161">
        <v>1</v>
      </c>
      <c r="T55" s="161">
        <f t="shared" si="6"/>
        <v>5128.3428571428576</v>
      </c>
      <c r="U55" s="161">
        <f t="shared" si="7"/>
        <v>29915.333333332946</v>
      </c>
      <c r="V55" s="161">
        <f t="shared" si="8"/>
        <v>29915.333333332946</v>
      </c>
      <c r="W55" s="161">
        <v>1</v>
      </c>
      <c r="X55" s="161">
        <f t="shared" si="9"/>
        <v>29915.333333332946</v>
      </c>
      <c r="Y55" s="161">
        <f t="shared" si="10"/>
        <v>35043.676190475802</v>
      </c>
      <c r="Z55" s="161">
        <f t="shared" si="11"/>
        <v>12393.495238095626</v>
      </c>
      <c r="AA55" s="156">
        <f t="shared" si="12"/>
        <v>2009.9166666666667</v>
      </c>
      <c r="AB55" s="156">
        <f t="shared" si="13"/>
        <v>2016.75</v>
      </c>
      <c r="AC55" s="156">
        <f t="shared" si="14"/>
        <v>2016.9166666666667</v>
      </c>
      <c r="AD55" s="181">
        <f t="shared" si="15"/>
        <v>2015.75</v>
      </c>
      <c r="AE55" s="181">
        <f t="shared" si="16"/>
        <v>-8.3333333333333329E-2</v>
      </c>
      <c r="AF55" s="181">
        <f t="shared" si="17"/>
        <v>2016.9166666666667</v>
      </c>
      <c r="AG55" s="181">
        <f t="shared" si="18"/>
        <v>2015.75</v>
      </c>
      <c r="AH55" s="181">
        <f t="shared" si="19"/>
        <v>-8.3333333333333329E-2</v>
      </c>
      <c r="AI55" s="156" t="s">
        <v>471</v>
      </c>
      <c r="AJ55" s="156"/>
      <c r="AK55" s="156"/>
      <c r="AL55" s="156"/>
    </row>
    <row r="56" spans="1:38" x14ac:dyDescent="0.25">
      <c r="A56" s="163"/>
      <c r="B56" s="156" t="s">
        <v>458</v>
      </c>
      <c r="C56" s="198" t="s">
        <v>511</v>
      </c>
      <c r="D56" s="165">
        <v>2009</v>
      </c>
      <c r="E56" s="161">
        <v>9</v>
      </c>
      <c r="F56" s="178">
        <v>0.2</v>
      </c>
      <c r="G56" s="179" t="s">
        <v>452</v>
      </c>
      <c r="H56" s="161">
        <v>7</v>
      </c>
      <c r="I56" s="165">
        <f t="shared" si="0"/>
        <v>2016</v>
      </c>
      <c r="J56" s="161"/>
      <c r="K56" s="161"/>
      <c r="L56" s="180">
        <v>30974.68</v>
      </c>
      <c r="M56" s="161"/>
      <c r="N56" s="161">
        <f t="shared" si="1"/>
        <v>24779.743999999999</v>
      </c>
      <c r="O56" s="161">
        <f t="shared" si="2"/>
        <v>294.99695238095234</v>
      </c>
      <c r="P56" s="161">
        <f t="shared" si="3"/>
        <v>3244.9664761907438</v>
      </c>
      <c r="Q56" s="161">
        <f t="shared" si="4"/>
        <v>0</v>
      </c>
      <c r="R56" s="161">
        <f t="shared" si="5"/>
        <v>3244.9664761907438</v>
      </c>
      <c r="S56" s="161">
        <v>1</v>
      </c>
      <c r="T56" s="161">
        <f t="shared" si="6"/>
        <v>3244.9664761907438</v>
      </c>
      <c r="U56" s="161">
        <f t="shared" si="7"/>
        <v>21534.777523809254</v>
      </c>
      <c r="V56" s="161">
        <f t="shared" si="8"/>
        <v>21534.777523809254</v>
      </c>
      <c r="W56" s="161">
        <v>1</v>
      </c>
      <c r="X56" s="161">
        <f t="shared" si="9"/>
        <v>21534.777523809254</v>
      </c>
      <c r="Y56" s="161">
        <f t="shared" si="10"/>
        <v>24779.743999999999</v>
      </c>
      <c r="Z56" s="161">
        <f t="shared" si="11"/>
        <v>7817.4192380953737</v>
      </c>
      <c r="AA56" s="156">
        <f t="shared" si="12"/>
        <v>2009.6666666666667</v>
      </c>
      <c r="AB56" s="156">
        <f t="shared" si="13"/>
        <v>2016.75</v>
      </c>
      <c r="AC56" s="156">
        <f t="shared" si="14"/>
        <v>2016.6666666666667</v>
      </c>
      <c r="AD56" s="181">
        <f t="shared" si="15"/>
        <v>2015.75</v>
      </c>
      <c r="AE56" s="181">
        <f t="shared" si="16"/>
        <v>-8.3333333333333329E-2</v>
      </c>
      <c r="AF56" s="181">
        <f t="shared" si="17"/>
        <v>2016.6666666666667</v>
      </c>
      <c r="AG56" s="181">
        <f t="shared" si="18"/>
        <v>2015.75</v>
      </c>
      <c r="AH56" s="181">
        <f t="shared" si="19"/>
        <v>-8.3333333333333329E-2</v>
      </c>
      <c r="AI56" s="156" t="s">
        <v>471</v>
      </c>
      <c r="AJ56" s="156"/>
      <c r="AK56" s="156"/>
      <c r="AL56" s="156"/>
    </row>
    <row r="57" spans="1:38" x14ac:dyDescent="0.25">
      <c r="A57" s="163"/>
      <c r="B57" s="156" t="s">
        <v>458</v>
      </c>
      <c r="C57" s="198" t="s">
        <v>512</v>
      </c>
      <c r="D57" s="165">
        <v>2009</v>
      </c>
      <c r="E57" s="161">
        <v>11</v>
      </c>
      <c r="F57" s="178">
        <v>0.2</v>
      </c>
      <c r="G57" s="179" t="s">
        <v>452</v>
      </c>
      <c r="H57" s="161">
        <v>7</v>
      </c>
      <c r="I57" s="165">
        <f t="shared" si="0"/>
        <v>2016</v>
      </c>
      <c r="J57" s="161"/>
      <c r="K57" s="161"/>
      <c r="L57" s="180">
        <v>3724.46</v>
      </c>
      <c r="M57" s="161"/>
      <c r="N57" s="161">
        <f t="shared" si="1"/>
        <v>2979.5680000000002</v>
      </c>
      <c r="O57" s="161">
        <f t="shared" si="2"/>
        <v>35.471047619047617</v>
      </c>
      <c r="P57" s="161">
        <f t="shared" si="3"/>
        <v>425.65257142857138</v>
      </c>
      <c r="Q57" s="161">
        <f t="shared" si="4"/>
        <v>0</v>
      </c>
      <c r="R57" s="161">
        <f t="shared" si="5"/>
        <v>425.65257142857138</v>
      </c>
      <c r="S57" s="161">
        <v>1</v>
      </c>
      <c r="T57" s="161">
        <f t="shared" si="6"/>
        <v>425.65257142857138</v>
      </c>
      <c r="U57" s="161">
        <f t="shared" si="7"/>
        <v>2518.4443809524132</v>
      </c>
      <c r="V57" s="161">
        <f t="shared" si="8"/>
        <v>2518.4443809524132</v>
      </c>
      <c r="W57" s="161">
        <v>1</v>
      </c>
      <c r="X57" s="161">
        <f t="shared" si="9"/>
        <v>2518.4443809524132</v>
      </c>
      <c r="Y57" s="161">
        <f t="shared" si="10"/>
        <v>2944.0969523809845</v>
      </c>
      <c r="Z57" s="161">
        <f t="shared" si="11"/>
        <v>993.18933333330119</v>
      </c>
      <c r="AA57" s="156">
        <f t="shared" si="12"/>
        <v>2009.8333333333333</v>
      </c>
      <c r="AB57" s="156">
        <f t="shared" si="13"/>
        <v>2016.75</v>
      </c>
      <c r="AC57" s="156">
        <f t="shared" si="14"/>
        <v>2016.8333333333333</v>
      </c>
      <c r="AD57" s="181">
        <f t="shared" si="15"/>
        <v>2015.75</v>
      </c>
      <c r="AE57" s="181">
        <f t="shared" si="16"/>
        <v>-8.3333333333333329E-2</v>
      </c>
      <c r="AF57" s="181">
        <f t="shared" si="17"/>
        <v>2016.8333333333333</v>
      </c>
      <c r="AG57" s="181">
        <f t="shared" si="18"/>
        <v>2015.75</v>
      </c>
      <c r="AH57" s="181">
        <f t="shared" si="19"/>
        <v>-8.3333333333333329E-2</v>
      </c>
      <c r="AI57" s="156" t="s">
        <v>471</v>
      </c>
      <c r="AJ57" s="156"/>
      <c r="AK57" s="156"/>
      <c r="AL57" s="156"/>
    </row>
    <row r="58" spans="1:38" x14ac:dyDescent="0.25">
      <c r="A58" s="195" t="s">
        <v>513</v>
      </c>
      <c r="B58" s="156" t="s">
        <v>458</v>
      </c>
      <c r="C58" s="194" t="s">
        <v>514</v>
      </c>
      <c r="D58" s="165">
        <v>2010</v>
      </c>
      <c r="E58" s="161">
        <v>1</v>
      </c>
      <c r="F58" s="178">
        <v>0.2</v>
      </c>
      <c r="G58" s="179" t="s">
        <v>452</v>
      </c>
      <c r="H58" s="161">
        <v>7</v>
      </c>
      <c r="I58" s="165">
        <f t="shared" si="0"/>
        <v>2017</v>
      </c>
      <c r="J58" s="161"/>
      <c r="K58" s="161"/>
      <c r="L58" s="201">
        <v>113874</v>
      </c>
      <c r="M58" s="161"/>
      <c r="N58" s="161">
        <f t="shared" si="1"/>
        <v>91099.199999999997</v>
      </c>
      <c r="O58" s="161">
        <f t="shared" si="2"/>
        <v>1084.5142857142857</v>
      </c>
      <c r="P58" s="161">
        <f t="shared" si="3"/>
        <v>13014.17142857143</v>
      </c>
      <c r="Q58" s="161">
        <f t="shared" si="4"/>
        <v>0</v>
      </c>
      <c r="R58" s="161">
        <f t="shared" si="5"/>
        <v>13014.17142857143</v>
      </c>
      <c r="S58" s="161">
        <v>1</v>
      </c>
      <c r="T58" s="161">
        <f t="shared" si="6"/>
        <v>13014.17142857143</v>
      </c>
      <c r="U58" s="161">
        <f t="shared" si="7"/>
        <v>74831.485714285722</v>
      </c>
      <c r="V58" s="161">
        <f t="shared" si="8"/>
        <v>74831.485714285722</v>
      </c>
      <c r="W58" s="161">
        <v>1</v>
      </c>
      <c r="X58" s="161">
        <f t="shared" si="9"/>
        <v>74831.485714285722</v>
      </c>
      <c r="Y58" s="161">
        <f t="shared" si="10"/>
        <v>87845.657142857148</v>
      </c>
      <c r="Z58" s="161">
        <f t="shared" si="11"/>
        <v>32535.428571428565</v>
      </c>
      <c r="AA58" s="156">
        <f t="shared" si="12"/>
        <v>2010</v>
      </c>
      <c r="AB58" s="156">
        <f t="shared" si="13"/>
        <v>2016.75</v>
      </c>
      <c r="AC58" s="156">
        <f t="shared" si="14"/>
        <v>2017</v>
      </c>
      <c r="AD58" s="181">
        <f t="shared" si="15"/>
        <v>2015.75</v>
      </c>
      <c r="AE58" s="181">
        <f t="shared" si="16"/>
        <v>-8.3333333333333329E-2</v>
      </c>
      <c r="AF58" s="181">
        <f t="shared" si="17"/>
        <v>2017</v>
      </c>
      <c r="AG58" s="181">
        <f t="shared" si="18"/>
        <v>2015.75</v>
      </c>
      <c r="AH58" s="181">
        <f t="shared" si="19"/>
        <v>-8.3333333333333329E-2</v>
      </c>
      <c r="AI58" s="156" t="s">
        <v>471</v>
      </c>
      <c r="AJ58" s="156"/>
      <c r="AK58" s="156"/>
      <c r="AL58" s="156"/>
    </row>
    <row r="59" spans="1:38" x14ac:dyDescent="0.25">
      <c r="A59" s="195" t="s">
        <v>515</v>
      </c>
      <c r="B59" s="156" t="s">
        <v>458</v>
      </c>
      <c r="C59" s="194" t="s">
        <v>516</v>
      </c>
      <c r="D59" s="165">
        <v>2010</v>
      </c>
      <c r="E59" s="161">
        <v>3</v>
      </c>
      <c r="F59" s="178">
        <v>0.2</v>
      </c>
      <c r="G59" s="179" t="s">
        <v>452</v>
      </c>
      <c r="H59" s="161">
        <v>7</v>
      </c>
      <c r="I59" s="165">
        <f t="shared" si="0"/>
        <v>2017</v>
      </c>
      <c r="J59" s="161"/>
      <c r="K59" s="161"/>
      <c r="L59" s="201">
        <v>105485</v>
      </c>
      <c r="M59" s="161"/>
      <c r="N59" s="161">
        <f t="shared" si="1"/>
        <v>84388</v>
      </c>
      <c r="O59" s="161">
        <f t="shared" si="2"/>
        <v>1004.6190476190476</v>
      </c>
      <c r="P59" s="161">
        <f t="shared" si="3"/>
        <v>12055.428571428571</v>
      </c>
      <c r="Q59" s="161">
        <f t="shared" si="4"/>
        <v>0</v>
      </c>
      <c r="R59" s="161">
        <f t="shared" si="5"/>
        <v>12055.428571428571</v>
      </c>
      <c r="S59" s="161">
        <v>1</v>
      </c>
      <c r="T59" s="161">
        <f t="shared" si="6"/>
        <v>12055.428571428571</v>
      </c>
      <c r="U59" s="161">
        <f t="shared" si="7"/>
        <v>67309.476190475281</v>
      </c>
      <c r="V59" s="161">
        <f t="shared" si="8"/>
        <v>67309.476190475281</v>
      </c>
      <c r="W59" s="161">
        <v>1</v>
      </c>
      <c r="X59" s="161">
        <f t="shared" si="9"/>
        <v>67309.476190475281</v>
      </c>
      <c r="Y59" s="161">
        <f t="shared" si="10"/>
        <v>79364.904761903847</v>
      </c>
      <c r="Z59" s="161">
        <f t="shared" si="11"/>
        <v>32147.809523810436</v>
      </c>
      <c r="AA59" s="156">
        <f t="shared" si="12"/>
        <v>2010.1666666666667</v>
      </c>
      <c r="AB59" s="156">
        <f t="shared" si="13"/>
        <v>2016.75</v>
      </c>
      <c r="AC59" s="156">
        <f t="shared" si="14"/>
        <v>2017.1666666666667</v>
      </c>
      <c r="AD59" s="181">
        <f t="shared" si="15"/>
        <v>2015.75</v>
      </c>
      <c r="AE59" s="181">
        <f t="shared" si="16"/>
        <v>-8.3333333333333329E-2</v>
      </c>
      <c r="AF59" s="181">
        <f t="shared" si="17"/>
        <v>2017.1666666666667</v>
      </c>
      <c r="AG59" s="181">
        <f t="shared" si="18"/>
        <v>2015.75</v>
      </c>
      <c r="AH59" s="181">
        <f t="shared" si="19"/>
        <v>-8.3333333333333329E-2</v>
      </c>
      <c r="AI59" s="156" t="s">
        <v>471</v>
      </c>
      <c r="AJ59" s="156"/>
      <c r="AK59" s="156"/>
      <c r="AL59" s="156"/>
    </row>
    <row r="60" spans="1:38" x14ac:dyDescent="0.25">
      <c r="A60" s="163"/>
      <c r="B60" s="156" t="s">
        <v>458</v>
      </c>
      <c r="C60" s="198" t="s">
        <v>514</v>
      </c>
      <c r="D60" s="165">
        <v>2009</v>
      </c>
      <c r="E60" s="161">
        <v>12</v>
      </c>
      <c r="F60" s="178">
        <v>0.2</v>
      </c>
      <c r="G60" s="179" t="s">
        <v>452</v>
      </c>
      <c r="H60" s="161">
        <v>7</v>
      </c>
      <c r="I60" s="165">
        <f t="shared" si="0"/>
        <v>2016</v>
      </c>
      <c r="J60" s="161"/>
      <c r="K60" s="161"/>
      <c r="L60" s="180">
        <v>35176.67</v>
      </c>
      <c r="M60" s="161"/>
      <c r="N60" s="161">
        <f t="shared" si="1"/>
        <v>28141.335999999999</v>
      </c>
      <c r="O60" s="161">
        <f t="shared" si="2"/>
        <v>335.01590476190478</v>
      </c>
      <c r="P60" s="161">
        <f t="shared" si="3"/>
        <v>4020.1908571428576</v>
      </c>
      <c r="Q60" s="161">
        <f t="shared" si="4"/>
        <v>0</v>
      </c>
      <c r="R60" s="161">
        <f t="shared" si="5"/>
        <v>4020.1908571428576</v>
      </c>
      <c r="S60" s="161">
        <v>1</v>
      </c>
      <c r="T60" s="161">
        <f t="shared" si="6"/>
        <v>4020.1908571428576</v>
      </c>
      <c r="U60" s="161">
        <f t="shared" si="7"/>
        <v>23451.113333333029</v>
      </c>
      <c r="V60" s="161">
        <f t="shared" si="8"/>
        <v>23451.113333333029</v>
      </c>
      <c r="W60" s="161">
        <v>1</v>
      </c>
      <c r="X60" s="161">
        <f t="shared" si="9"/>
        <v>23451.113333333029</v>
      </c>
      <c r="Y60" s="161">
        <f t="shared" si="10"/>
        <v>27471.304190475887</v>
      </c>
      <c r="Z60" s="161">
        <f t="shared" si="11"/>
        <v>9715.4612380955405</v>
      </c>
      <c r="AA60" s="156">
        <f t="shared" si="12"/>
        <v>2009.9166666666667</v>
      </c>
      <c r="AB60" s="156">
        <f t="shared" si="13"/>
        <v>2016.75</v>
      </c>
      <c r="AC60" s="156">
        <f t="shared" si="14"/>
        <v>2016.9166666666667</v>
      </c>
      <c r="AD60" s="181">
        <f t="shared" si="15"/>
        <v>2015.75</v>
      </c>
      <c r="AE60" s="181">
        <f t="shared" si="16"/>
        <v>-8.3333333333333329E-2</v>
      </c>
      <c r="AF60" s="181">
        <f t="shared" si="17"/>
        <v>2016.9166666666667</v>
      </c>
      <c r="AG60" s="181">
        <f t="shared" si="18"/>
        <v>2015.75</v>
      </c>
      <c r="AH60" s="181">
        <f t="shared" si="19"/>
        <v>-8.3333333333333329E-2</v>
      </c>
      <c r="AI60" s="156" t="s">
        <v>471</v>
      </c>
      <c r="AJ60" s="156"/>
      <c r="AK60" s="156"/>
      <c r="AL60" s="156"/>
    </row>
    <row r="61" spans="1:38" x14ac:dyDescent="0.25">
      <c r="A61" s="163"/>
      <c r="B61" s="156" t="s">
        <v>458</v>
      </c>
      <c r="C61" s="198" t="s">
        <v>516</v>
      </c>
      <c r="D61" s="165">
        <v>2009</v>
      </c>
      <c r="E61" s="161">
        <v>12</v>
      </c>
      <c r="F61" s="178">
        <v>0.2</v>
      </c>
      <c r="G61" s="179" t="s">
        <v>452</v>
      </c>
      <c r="H61" s="161">
        <v>7</v>
      </c>
      <c r="I61" s="165">
        <f t="shared" si="0"/>
        <v>2016</v>
      </c>
      <c r="J61" s="161"/>
      <c r="K61" s="161"/>
      <c r="L61" s="180">
        <v>12658.2</v>
      </c>
      <c r="M61" s="161"/>
      <c r="N61" s="161">
        <f t="shared" si="1"/>
        <v>10126.560000000001</v>
      </c>
      <c r="O61" s="161">
        <f t="shared" si="2"/>
        <v>120.55428571428574</v>
      </c>
      <c r="P61" s="161">
        <f t="shared" si="3"/>
        <v>1446.6514285714288</v>
      </c>
      <c r="Q61" s="161">
        <f t="shared" si="4"/>
        <v>0</v>
      </c>
      <c r="R61" s="161">
        <f t="shared" si="5"/>
        <v>1446.6514285714288</v>
      </c>
      <c r="S61" s="161">
        <v>1</v>
      </c>
      <c r="T61" s="161">
        <f t="shared" si="6"/>
        <v>1446.6514285714288</v>
      </c>
      <c r="U61" s="161">
        <f t="shared" si="7"/>
        <v>8438.799999999892</v>
      </c>
      <c r="V61" s="161">
        <f t="shared" si="8"/>
        <v>8438.799999999892</v>
      </c>
      <c r="W61" s="161">
        <v>1</v>
      </c>
      <c r="X61" s="161">
        <f t="shared" si="9"/>
        <v>8438.799999999892</v>
      </c>
      <c r="Y61" s="161">
        <f t="shared" si="10"/>
        <v>9885.4514285713212</v>
      </c>
      <c r="Z61" s="161">
        <f t="shared" si="11"/>
        <v>3496.0742857143941</v>
      </c>
      <c r="AA61" s="156">
        <f t="shared" si="12"/>
        <v>2009.9166666666667</v>
      </c>
      <c r="AB61" s="156">
        <f t="shared" si="13"/>
        <v>2016.75</v>
      </c>
      <c r="AC61" s="156">
        <f t="shared" si="14"/>
        <v>2016.9166666666667</v>
      </c>
      <c r="AD61" s="181">
        <f t="shared" si="15"/>
        <v>2015.75</v>
      </c>
      <c r="AE61" s="181">
        <f t="shared" si="16"/>
        <v>-8.3333333333333329E-2</v>
      </c>
      <c r="AF61" s="181">
        <f t="shared" si="17"/>
        <v>2016.9166666666667</v>
      </c>
      <c r="AG61" s="181">
        <f t="shared" si="18"/>
        <v>2015.75</v>
      </c>
      <c r="AH61" s="181">
        <f t="shared" si="19"/>
        <v>-8.3333333333333329E-2</v>
      </c>
      <c r="AI61" s="156" t="s">
        <v>471</v>
      </c>
      <c r="AJ61" s="156"/>
      <c r="AK61" s="156"/>
      <c r="AL61" s="156"/>
    </row>
    <row r="62" spans="1:38" x14ac:dyDescent="0.25">
      <c r="A62" s="163"/>
      <c r="B62" s="156" t="s">
        <v>458</v>
      </c>
      <c r="C62" s="198" t="s">
        <v>517</v>
      </c>
      <c r="D62" s="165">
        <v>2010</v>
      </c>
      <c r="E62" s="161">
        <v>1</v>
      </c>
      <c r="F62" s="178">
        <v>0.2</v>
      </c>
      <c r="G62" s="179" t="s">
        <v>452</v>
      </c>
      <c r="H62" s="161">
        <v>7</v>
      </c>
      <c r="I62" s="165">
        <f t="shared" si="0"/>
        <v>2017</v>
      </c>
      <c r="J62" s="161"/>
      <c r="K62" s="161"/>
      <c r="L62" s="180">
        <v>30069.7</v>
      </c>
      <c r="M62" s="161"/>
      <c r="N62" s="161">
        <f t="shared" si="1"/>
        <v>24055.760000000002</v>
      </c>
      <c r="O62" s="161">
        <f t="shared" si="2"/>
        <v>286.37809523809523</v>
      </c>
      <c r="P62" s="161">
        <f t="shared" si="3"/>
        <v>3436.5371428571425</v>
      </c>
      <c r="Q62" s="161">
        <f t="shared" si="4"/>
        <v>0</v>
      </c>
      <c r="R62" s="161">
        <f t="shared" si="5"/>
        <v>3436.5371428571425</v>
      </c>
      <c r="S62" s="161">
        <v>1</v>
      </c>
      <c r="T62" s="161">
        <f t="shared" si="6"/>
        <v>3436.5371428571425</v>
      </c>
      <c r="U62" s="161">
        <f t="shared" si="7"/>
        <v>19760.088571428572</v>
      </c>
      <c r="V62" s="161">
        <f t="shared" si="8"/>
        <v>19760.088571428572</v>
      </c>
      <c r="W62" s="161">
        <v>1</v>
      </c>
      <c r="X62" s="161">
        <f t="shared" si="9"/>
        <v>19760.088571428572</v>
      </c>
      <c r="Y62" s="161">
        <f t="shared" si="10"/>
        <v>23196.625714285714</v>
      </c>
      <c r="Z62" s="161">
        <f t="shared" si="11"/>
        <v>8591.3428571428576</v>
      </c>
      <c r="AA62" s="156">
        <f t="shared" si="12"/>
        <v>2010</v>
      </c>
      <c r="AB62" s="156">
        <f t="shared" si="13"/>
        <v>2016.75</v>
      </c>
      <c r="AC62" s="156">
        <f t="shared" si="14"/>
        <v>2017</v>
      </c>
      <c r="AD62" s="181">
        <f t="shared" si="15"/>
        <v>2015.75</v>
      </c>
      <c r="AE62" s="181">
        <f t="shared" si="16"/>
        <v>-8.3333333333333329E-2</v>
      </c>
      <c r="AF62" s="181">
        <f t="shared" si="17"/>
        <v>2017</v>
      </c>
      <c r="AG62" s="181">
        <f t="shared" si="18"/>
        <v>2015.75</v>
      </c>
      <c r="AH62" s="181">
        <f t="shared" si="19"/>
        <v>-8.3333333333333329E-2</v>
      </c>
      <c r="AI62" s="156" t="s">
        <v>471</v>
      </c>
      <c r="AJ62" s="156"/>
      <c r="AK62" s="156"/>
      <c r="AL62" s="156"/>
    </row>
    <row r="63" spans="1:38" x14ac:dyDescent="0.25">
      <c r="A63" s="163"/>
      <c r="B63" s="156" t="s">
        <v>458</v>
      </c>
      <c r="C63" s="198" t="s">
        <v>518</v>
      </c>
      <c r="D63" s="165">
        <v>2010</v>
      </c>
      <c r="E63" s="161">
        <v>3</v>
      </c>
      <c r="F63" s="178">
        <v>0.2</v>
      </c>
      <c r="G63" s="179" t="s">
        <v>452</v>
      </c>
      <c r="H63" s="161">
        <v>7</v>
      </c>
      <c r="I63" s="165">
        <f t="shared" si="0"/>
        <v>2017</v>
      </c>
      <c r="J63" s="161"/>
      <c r="K63" s="161"/>
      <c r="L63" s="180">
        <v>3724.46</v>
      </c>
      <c r="M63" s="161"/>
      <c r="N63" s="161">
        <f t="shared" si="1"/>
        <v>2979.5680000000002</v>
      </c>
      <c r="O63" s="161">
        <f t="shared" si="2"/>
        <v>35.471047619047617</v>
      </c>
      <c r="P63" s="161">
        <f t="shared" si="3"/>
        <v>425.65257142857138</v>
      </c>
      <c r="Q63" s="161">
        <f t="shared" si="4"/>
        <v>0</v>
      </c>
      <c r="R63" s="161">
        <f t="shared" si="5"/>
        <v>425.65257142857138</v>
      </c>
      <c r="S63" s="161">
        <v>1</v>
      </c>
      <c r="T63" s="161">
        <f t="shared" si="6"/>
        <v>425.65257142857138</v>
      </c>
      <c r="U63" s="161">
        <f t="shared" si="7"/>
        <v>2376.5601904761579</v>
      </c>
      <c r="V63" s="161">
        <f t="shared" si="8"/>
        <v>2376.5601904761579</v>
      </c>
      <c r="W63" s="161">
        <v>1</v>
      </c>
      <c r="X63" s="161">
        <f t="shared" si="9"/>
        <v>2376.5601904761579</v>
      </c>
      <c r="Y63" s="161">
        <f t="shared" si="10"/>
        <v>2802.2127619047292</v>
      </c>
      <c r="Z63" s="161">
        <f t="shared" si="11"/>
        <v>1135.0735238095565</v>
      </c>
      <c r="AA63" s="156">
        <f t="shared" si="12"/>
        <v>2010.1666666666667</v>
      </c>
      <c r="AB63" s="156">
        <f t="shared" si="13"/>
        <v>2016.75</v>
      </c>
      <c r="AC63" s="156">
        <f t="shared" si="14"/>
        <v>2017.1666666666667</v>
      </c>
      <c r="AD63" s="181">
        <f t="shared" si="15"/>
        <v>2015.75</v>
      </c>
      <c r="AE63" s="181">
        <f t="shared" si="16"/>
        <v>-8.3333333333333329E-2</v>
      </c>
      <c r="AF63" s="181">
        <f t="shared" si="17"/>
        <v>2017.1666666666667</v>
      </c>
      <c r="AG63" s="181">
        <f t="shared" si="18"/>
        <v>2015.75</v>
      </c>
      <c r="AH63" s="181">
        <f t="shared" si="19"/>
        <v>-8.3333333333333329E-2</v>
      </c>
      <c r="AI63" s="156" t="s">
        <v>471</v>
      </c>
      <c r="AJ63" s="156"/>
      <c r="AK63" s="156"/>
      <c r="AL63" s="156"/>
    </row>
    <row r="64" spans="1:38" x14ac:dyDescent="0.25">
      <c r="A64" s="195" t="s">
        <v>519</v>
      </c>
      <c r="B64" s="156" t="s">
        <v>458</v>
      </c>
      <c r="C64" s="194" t="s">
        <v>517</v>
      </c>
      <c r="D64" s="165">
        <v>2010</v>
      </c>
      <c r="E64" s="161">
        <v>3</v>
      </c>
      <c r="F64" s="178">
        <v>0.2</v>
      </c>
      <c r="G64" s="179" t="s">
        <v>452</v>
      </c>
      <c r="H64" s="161">
        <v>7</v>
      </c>
      <c r="I64" s="165">
        <f t="shared" si="0"/>
        <v>2017</v>
      </c>
      <c r="J64" s="161"/>
      <c r="K64" s="161"/>
      <c r="L64" s="201">
        <v>92189</v>
      </c>
      <c r="M64" s="161"/>
      <c r="N64" s="161">
        <f t="shared" si="1"/>
        <v>73751.199999999997</v>
      </c>
      <c r="O64" s="161">
        <f t="shared" si="2"/>
        <v>877.99047619047622</v>
      </c>
      <c r="P64" s="161">
        <f t="shared" si="3"/>
        <v>10535.885714285714</v>
      </c>
      <c r="Q64" s="161">
        <f t="shared" si="4"/>
        <v>0</v>
      </c>
      <c r="R64" s="161">
        <f t="shared" si="5"/>
        <v>10535.885714285714</v>
      </c>
      <c r="S64" s="161">
        <v>1</v>
      </c>
      <c r="T64" s="161">
        <f t="shared" si="6"/>
        <v>10535.885714285714</v>
      </c>
      <c r="U64" s="161">
        <f t="shared" si="7"/>
        <v>58825.361904761106</v>
      </c>
      <c r="V64" s="161">
        <f t="shared" si="8"/>
        <v>58825.361904761106</v>
      </c>
      <c r="W64" s="161">
        <v>1</v>
      </c>
      <c r="X64" s="161">
        <f t="shared" si="9"/>
        <v>58825.361904761106</v>
      </c>
      <c r="Y64" s="161">
        <f t="shared" si="10"/>
        <v>69361.247619046815</v>
      </c>
      <c r="Z64" s="161">
        <f t="shared" si="11"/>
        <v>28095.695238096039</v>
      </c>
      <c r="AA64" s="181">
        <f t="shared" si="12"/>
        <v>2010.1666666666667</v>
      </c>
      <c r="AB64" s="156">
        <f t="shared" si="13"/>
        <v>2016.75</v>
      </c>
      <c r="AC64" s="156">
        <f t="shared" si="14"/>
        <v>2017.1666666666667</v>
      </c>
      <c r="AD64" s="181">
        <f t="shared" si="15"/>
        <v>2015.75</v>
      </c>
      <c r="AE64" s="181">
        <f t="shared" si="16"/>
        <v>-8.3333333333333329E-2</v>
      </c>
      <c r="AF64" s="181">
        <f t="shared" si="17"/>
        <v>2017.1666666666667</v>
      </c>
      <c r="AG64" s="181">
        <f t="shared" si="18"/>
        <v>2015.75</v>
      </c>
      <c r="AH64" s="181">
        <f t="shared" si="19"/>
        <v>-8.3333333333333329E-2</v>
      </c>
      <c r="AI64" s="156" t="s">
        <v>471</v>
      </c>
      <c r="AJ64" s="156"/>
      <c r="AK64" s="156"/>
      <c r="AL64" s="156"/>
    </row>
    <row r="65" spans="1:38" x14ac:dyDescent="0.25">
      <c r="A65" s="163"/>
      <c r="B65" s="156" t="s">
        <v>458</v>
      </c>
      <c r="C65" s="194" t="s">
        <v>518</v>
      </c>
      <c r="D65" s="165">
        <v>2010</v>
      </c>
      <c r="E65" s="161">
        <v>5</v>
      </c>
      <c r="F65" s="178">
        <v>0.2</v>
      </c>
      <c r="G65" s="179" t="s">
        <v>452</v>
      </c>
      <c r="H65" s="161">
        <v>7</v>
      </c>
      <c r="I65" s="165">
        <f t="shared" si="0"/>
        <v>2017</v>
      </c>
      <c r="J65" s="161"/>
      <c r="K65" s="161"/>
      <c r="L65" s="201">
        <v>44873</v>
      </c>
      <c r="M65" s="161"/>
      <c r="N65" s="161">
        <f t="shared" si="1"/>
        <v>35898.400000000001</v>
      </c>
      <c r="O65" s="161">
        <f t="shared" si="2"/>
        <v>427.36190476190478</v>
      </c>
      <c r="P65" s="161">
        <f t="shared" si="3"/>
        <v>5128.3428571428576</v>
      </c>
      <c r="Q65" s="161">
        <f t="shared" si="4"/>
        <v>0</v>
      </c>
      <c r="R65" s="161">
        <f t="shared" si="5"/>
        <v>5128.3428571428576</v>
      </c>
      <c r="S65" s="161">
        <v>1</v>
      </c>
      <c r="T65" s="161">
        <f t="shared" si="6"/>
        <v>5128.3428571428576</v>
      </c>
      <c r="U65" s="161">
        <f t="shared" si="7"/>
        <v>27778.523809524198</v>
      </c>
      <c r="V65" s="161">
        <f t="shared" si="8"/>
        <v>27778.523809524198</v>
      </c>
      <c r="W65" s="161">
        <v>1</v>
      </c>
      <c r="X65" s="161">
        <f t="shared" si="9"/>
        <v>27778.523809524198</v>
      </c>
      <c r="Y65" s="161">
        <f t="shared" si="10"/>
        <v>32906.866666667054</v>
      </c>
      <c r="Z65" s="161">
        <f t="shared" si="11"/>
        <v>14530.304761904374</v>
      </c>
      <c r="AA65" s="181">
        <f t="shared" si="12"/>
        <v>2010.3333333333333</v>
      </c>
      <c r="AB65" s="156">
        <f t="shared" si="13"/>
        <v>2016.75</v>
      </c>
      <c r="AC65" s="156">
        <f t="shared" si="14"/>
        <v>2017.3333333333333</v>
      </c>
      <c r="AD65" s="181">
        <f t="shared" si="15"/>
        <v>2015.75</v>
      </c>
      <c r="AE65" s="181">
        <f t="shared" si="16"/>
        <v>-8.3333333333333329E-2</v>
      </c>
      <c r="AF65" s="181">
        <f t="shared" si="17"/>
        <v>2017.3333333333333</v>
      </c>
      <c r="AG65" s="181">
        <f t="shared" si="18"/>
        <v>2015.75</v>
      </c>
      <c r="AH65" s="181">
        <f t="shared" si="19"/>
        <v>-8.3333333333333329E-2</v>
      </c>
      <c r="AI65" s="156" t="s">
        <v>471</v>
      </c>
      <c r="AJ65" s="156"/>
      <c r="AK65" s="156"/>
      <c r="AL65" s="156"/>
    </row>
    <row r="66" spans="1:38" x14ac:dyDescent="0.25">
      <c r="A66" s="163"/>
      <c r="B66" s="156" t="s">
        <v>458</v>
      </c>
      <c r="C66" s="198" t="s">
        <v>520</v>
      </c>
      <c r="D66" s="165">
        <v>2010</v>
      </c>
      <c r="E66" s="161">
        <v>3</v>
      </c>
      <c r="F66" s="178">
        <v>0.2</v>
      </c>
      <c r="G66" s="179" t="s">
        <v>452</v>
      </c>
      <c r="H66" s="161">
        <v>7</v>
      </c>
      <c r="I66" s="165">
        <f t="shared" si="0"/>
        <v>2017</v>
      </c>
      <c r="J66" s="161"/>
      <c r="K66" s="161"/>
      <c r="L66" s="180">
        <v>34427.42</v>
      </c>
      <c r="M66" s="161"/>
      <c r="N66" s="161">
        <f t="shared" si="1"/>
        <v>27541.935999999998</v>
      </c>
      <c r="O66" s="161">
        <f t="shared" si="2"/>
        <v>327.88019047619042</v>
      </c>
      <c r="P66" s="161">
        <f t="shared" si="3"/>
        <v>3934.5622857142853</v>
      </c>
      <c r="Q66" s="161">
        <f t="shared" si="4"/>
        <v>0</v>
      </c>
      <c r="R66" s="161">
        <f t="shared" si="5"/>
        <v>3934.5622857142853</v>
      </c>
      <c r="S66" s="161">
        <v>1</v>
      </c>
      <c r="T66" s="161">
        <f t="shared" si="6"/>
        <v>3934.5622857142853</v>
      </c>
      <c r="U66" s="161">
        <f t="shared" si="7"/>
        <v>21967.972761904461</v>
      </c>
      <c r="V66" s="161">
        <f t="shared" si="8"/>
        <v>21967.972761904461</v>
      </c>
      <c r="W66" s="161">
        <v>1</v>
      </c>
      <c r="X66" s="161">
        <f t="shared" si="9"/>
        <v>21967.972761904461</v>
      </c>
      <c r="Y66" s="161">
        <f t="shared" si="10"/>
        <v>25902.535047618745</v>
      </c>
      <c r="Z66" s="161">
        <f t="shared" si="11"/>
        <v>10492.166095238395</v>
      </c>
      <c r="AA66" s="156">
        <f t="shared" si="12"/>
        <v>2010.1666666666667</v>
      </c>
      <c r="AB66" s="156">
        <f t="shared" si="13"/>
        <v>2016.75</v>
      </c>
      <c r="AC66" s="156">
        <f t="shared" si="14"/>
        <v>2017.1666666666667</v>
      </c>
      <c r="AD66" s="181">
        <f t="shared" si="15"/>
        <v>2015.75</v>
      </c>
      <c r="AE66" s="181">
        <f t="shared" si="16"/>
        <v>-8.3333333333333329E-2</v>
      </c>
      <c r="AF66" s="181">
        <f t="shared" si="17"/>
        <v>2017.1666666666667</v>
      </c>
      <c r="AG66" s="181">
        <f t="shared" si="18"/>
        <v>2015.75</v>
      </c>
      <c r="AH66" s="181">
        <f t="shared" si="19"/>
        <v>-8.3333333333333329E-2</v>
      </c>
      <c r="AI66" s="156" t="s">
        <v>471</v>
      </c>
      <c r="AJ66" s="156"/>
      <c r="AK66" s="156"/>
      <c r="AL66" s="156"/>
    </row>
    <row r="67" spans="1:38" x14ac:dyDescent="0.25">
      <c r="A67" s="163"/>
      <c r="B67" s="156" t="s">
        <v>458</v>
      </c>
      <c r="C67" s="198" t="s">
        <v>521</v>
      </c>
      <c r="D67" s="165">
        <v>2010</v>
      </c>
      <c r="E67" s="161">
        <v>5</v>
      </c>
      <c r="F67" s="178">
        <v>0.2</v>
      </c>
      <c r="G67" s="179" t="s">
        <v>452</v>
      </c>
      <c r="H67" s="161">
        <v>7</v>
      </c>
      <c r="I67" s="165">
        <f t="shared" si="0"/>
        <v>2017</v>
      </c>
      <c r="J67" s="161"/>
      <c r="K67" s="161"/>
      <c r="L67" s="180">
        <v>22386.639999999999</v>
      </c>
      <c r="M67" s="161"/>
      <c r="N67" s="161">
        <f t="shared" si="1"/>
        <v>17909.311999999998</v>
      </c>
      <c r="O67" s="161">
        <f t="shared" si="2"/>
        <v>213.20609523809523</v>
      </c>
      <c r="P67" s="161">
        <f t="shared" si="3"/>
        <v>2558.4731428571426</v>
      </c>
      <c r="Q67" s="161">
        <f t="shared" si="4"/>
        <v>0</v>
      </c>
      <c r="R67" s="161">
        <f t="shared" si="5"/>
        <v>2558.4731428571426</v>
      </c>
      <c r="S67" s="161">
        <v>1</v>
      </c>
      <c r="T67" s="161">
        <f t="shared" si="6"/>
        <v>2558.4731428571426</v>
      </c>
      <c r="U67" s="161">
        <f t="shared" si="7"/>
        <v>13858.396190476384</v>
      </c>
      <c r="V67" s="161">
        <f t="shared" si="8"/>
        <v>13858.396190476384</v>
      </c>
      <c r="W67" s="161">
        <v>1</v>
      </c>
      <c r="X67" s="161">
        <f t="shared" si="9"/>
        <v>13858.396190476384</v>
      </c>
      <c r="Y67" s="161">
        <f t="shared" si="10"/>
        <v>16416.869333333525</v>
      </c>
      <c r="Z67" s="161">
        <f t="shared" si="11"/>
        <v>7249.0072380950451</v>
      </c>
      <c r="AA67" s="156">
        <f t="shared" si="12"/>
        <v>2010.3333333333333</v>
      </c>
      <c r="AB67" s="156">
        <f t="shared" si="13"/>
        <v>2016.75</v>
      </c>
      <c r="AC67" s="156">
        <f t="shared" si="14"/>
        <v>2017.3333333333333</v>
      </c>
      <c r="AD67" s="181">
        <f t="shared" si="15"/>
        <v>2015.75</v>
      </c>
      <c r="AE67" s="181">
        <f t="shared" si="16"/>
        <v>-8.3333333333333329E-2</v>
      </c>
      <c r="AF67" s="181">
        <f t="shared" si="17"/>
        <v>2017.3333333333333</v>
      </c>
      <c r="AG67" s="181">
        <f t="shared" si="18"/>
        <v>2015.75</v>
      </c>
      <c r="AH67" s="181">
        <f t="shared" si="19"/>
        <v>-8.3333333333333329E-2</v>
      </c>
      <c r="AI67" s="156" t="s">
        <v>471</v>
      </c>
      <c r="AJ67" s="156"/>
      <c r="AK67" s="156"/>
      <c r="AL67" s="156"/>
    </row>
    <row r="68" spans="1:38" x14ac:dyDescent="0.25">
      <c r="A68" s="195" t="s">
        <v>522</v>
      </c>
      <c r="B68" s="156" t="s">
        <v>458</v>
      </c>
      <c r="C68" s="202" t="s">
        <v>520</v>
      </c>
      <c r="D68" s="165">
        <v>2010</v>
      </c>
      <c r="E68" s="161">
        <v>11</v>
      </c>
      <c r="F68" s="178">
        <v>0.2</v>
      </c>
      <c r="G68" s="179" t="s">
        <v>452</v>
      </c>
      <c r="H68" s="161">
        <v>7</v>
      </c>
      <c r="I68" s="165">
        <f t="shared" si="0"/>
        <v>2017</v>
      </c>
      <c r="J68" s="161"/>
      <c r="K68" s="161"/>
      <c r="L68" s="201">
        <v>110301.82</v>
      </c>
      <c r="M68" s="161"/>
      <c r="N68" s="161">
        <f t="shared" si="1"/>
        <v>88241.456000000006</v>
      </c>
      <c r="O68" s="161">
        <f t="shared" si="2"/>
        <v>1050.4935238095238</v>
      </c>
      <c r="P68" s="161">
        <f t="shared" si="3"/>
        <v>12605.922285714285</v>
      </c>
      <c r="Q68" s="161">
        <f t="shared" si="4"/>
        <v>0</v>
      </c>
      <c r="R68" s="161">
        <f t="shared" si="5"/>
        <v>12605.922285714285</v>
      </c>
      <c r="S68" s="161">
        <v>1</v>
      </c>
      <c r="T68" s="161">
        <f t="shared" si="6"/>
        <v>12605.922285714285</v>
      </c>
      <c r="U68" s="161">
        <f t="shared" si="7"/>
        <v>61979.117904762861</v>
      </c>
      <c r="V68" s="161">
        <f t="shared" si="8"/>
        <v>61979.117904762861</v>
      </c>
      <c r="W68" s="161">
        <v>1</v>
      </c>
      <c r="X68" s="161">
        <f t="shared" si="9"/>
        <v>61979.117904762861</v>
      </c>
      <c r="Y68" s="161">
        <f t="shared" si="10"/>
        <v>74585.040190477142</v>
      </c>
      <c r="Z68" s="161">
        <f t="shared" si="11"/>
        <v>42019.740952380002</v>
      </c>
      <c r="AA68" s="181">
        <f t="shared" si="12"/>
        <v>2010.8333333333333</v>
      </c>
      <c r="AB68" s="156">
        <f t="shared" si="13"/>
        <v>2016.75</v>
      </c>
      <c r="AC68" s="156">
        <f t="shared" si="14"/>
        <v>2017.8333333333333</v>
      </c>
      <c r="AD68" s="181">
        <f t="shared" si="15"/>
        <v>2015.75</v>
      </c>
      <c r="AE68" s="181">
        <f t="shared" si="16"/>
        <v>-8.3333333333333329E-2</v>
      </c>
      <c r="AF68" s="181">
        <f t="shared" si="17"/>
        <v>2017.8333333333333</v>
      </c>
      <c r="AG68" s="181">
        <f t="shared" si="18"/>
        <v>2015.75</v>
      </c>
      <c r="AH68" s="181">
        <f t="shared" si="19"/>
        <v>-8.3333333333333329E-2</v>
      </c>
      <c r="AI68" s="156" t="s">
        <v>471</v>
      </c>
      <c r="AJ68" s="156"/>
      <c r="AK68" s="156"/>
      <c r="AL68" s="156"/>
    </row>
    <row r="69" spans="1:38" x14ac:dyDescent="0.25">
      <c r="A69" s="195" t="s">
        <v>523</v>
      </c>
      <c r="B69" s="156" t="s">
        <v>458</v>
      </c>
      <c r="C69" s="202" t="s">
        <v>524</v>
      </c>
      <c r="D69" s="165">
        <v>2010</v>
      </c>
      <c r="E69" s="161">
        <v>11</v>
      </c>
      <c r="F69" s="178">
        <v>0.2</v>
      </c>
      <c r="G69" s="179" t="s">
        <v>452</v>
      </c>
      <c r="H69" s="161">
        <v>7</v>
      </c>
      <c r="I69" s="165">
        <f t="shared" si="0"/>
        <v>2017</v>
      </c>
      <c r="J69" s="161"/>
      <c r="K69" s="161"/>
      <c r="L69" s="201">
        <v>110609.84</v>
      </c>
      <c r="M69" s="161"/>
      <c r="N69" s="161">
        <f t="shared" si="1"/>
        <v>88487.872000000003</v>
      </c>
      <c r="O69" s="161">
        <f t="shared" si="2"/>
        <v>1053.4270476190477</v>
      </c>
      <c r="P69" s="161">
        <f t="shared" si="3"/>
        <v>12641.124571428572</v>
      </c>
      <c r="Q69" s="161">
        <f t="shared" si="4"/>
        <v>0</v>
      </c>
      <c r="R69" s="161">
        <f t="shared" si="5"/>
        <v>12641.124571428572</v>
      </c>
      <c r="S69" s="161">
        <v>1</v>
      </c>
      <c r="T69" s="161">
        <f t="shared" si="6"/>
        <v>12641.124571428572</v>
      </c>
      <c r="U69" s="161">
        <f t="shared" si="7"/>
        <v>62152.195809524776</v>
      </c>
      <c r="V69" s="161">
        <f t="shared" si="8"/>
        <v>62152.195809524776</v>
      </c>
      <c r="W69" s="161">
        <v>1</v>
      </c>
      <c r="X69" s="161">
        <f t="shared" si="9"/>
        <v>62152.195809524776</v>
      </c>
      <c r="Y69" s="161">
        <f t="shared" si="10"/>
        <v>74793.320380953344</v>
      </c>
      <c r="Z69" s="161">
        <f t="shared" si="11"/>
        <v>42137.08190476094</v>
      </c>
      <c r="AA69" s="181">
        <f t="shared" si="12"/>
        <v>2010.8333333333333</v>
      </c>
      <c r="AB69" s="156">
        <f t="shared" si="13"/>
        <v>2016.75</v>
      </c>
      <c r="AC69" s="156">
        <f t="shared" si="14"/>
        <v>2017.8333333333333</v>
      </c>
      <c r="AD69" s="181">
        <f t="shared" si="15"/>
        <v>2015.75</v>
      </c>
      <c r="AE69" s="181">
        <f t="shared" si="16"/>
        <v>-8.3333333333333329E-2</v>
      </c>
      <c r="AF69" s="181">
        <f t="shared" si="17"/>
        <v>2017.8333333333333</v>
      </c>
      <c r="AG69" s="181">
        <f t="shared" si="18"/>
        <v>2015.75</v>
      </c>
      <c r="AH69" s="181">
        <f t="shared" si="19"/>
        <v>-8.3333333333333329E-2</v>
      </c>
      <c r="AI69" s="156" t="s">
        <v>471</v>
      </c>
      <c r="AJ69" s="156"/>
      <c r="AK69" s="156"/>
      <c r="AL69" s="156"/>
    </row>
    <row r="70" spans="1:38" x14ac:dyDescent="0.25">
      <c r="A70" s="195" t="s">
        <v>525</v>
      </c>
      <c r="B70" s="156" t="s">
        <v>458</v>
      </c>
      <c r="C70" s="202" t="s">
        <v>526</v>
      </c>
      <c r="D70" s="165">
        <v>2010</v>
      </c>
      <c r="E70" s="161">
        <v>11</v>
      </c>
      <c r="F70" s="178">
        <v>0.2</v>
      </c>
      <c r="G70" s="179" t="s">
        <v>452</v>
      </c>
      <c r="H70" s="161">
        <v>7</v>
      </c>
      <c r="I70" s="165">
        <f t="shared" si="0"/>
        <v>2017</v>
      </c>
      <c r="J70" s="161"/>
      <c r="K70" s="161"/>
      <c r="L70" s="201">
        <v>111487.5</v>
      </c>
      <c r="M70" s="161"/>
      <c r="N70" s="161">
        <f t="shared" si="1"/>
        <v>89190</v>
      </c>
      <c r="O70" s="161">
        <f t="shared" si="2"/>
        <v>1061.7857142857142</v>
      </c>
      <c r="P70" s="161">
        <f t="shared" si="3"/>
        <v>12741.428571428571</v>
      </c>
      <c r="Q70" s="161">
        <f t="shared" si="4"/>
        <v>0</v>
      </c>
      <c r="R70" s="161">
        <f t="shared" si="5"/>
        <v>12741.428571428571</v>
      </c>
      <c r="S70" s="161">
        <v>1</v>
      </c>
      <c r="T70" s="161">
        <f t="shared" si="6"/>
        <v>12741.428571428571</v>
      </c>
      <c r="U70" s="161">
        <f t="shared" si="7"/>
        <v>62645.357142858105</v>
      </c>
      <c r="V70" s="161">
        <f t="shared" si="8"/>
        <v>62645.357142858105</v>
      </c>
      <c r="W70" s="161">
        <v>1</v>
      </c>
      <c r="X70" s="161">
        <f t="shared" si="9"/>
        <v>62645.357142858105</v>
      </c>
      <c r="Y70" s="161">
        <f t="shared" si="10"/>
        <v>75386.785714286671</v>
      </c>
      <c r="Z70" s="161">
        <f t="shared" si="11"/>
        <v>42471.428571427612</v>
      </c>
      <c r="AA70" s="181">
        <f t="shared" si="12"/>
        <v>2010.8333333333333</v>
      </c>
      <c r="AB70" s="156">
        <f t="shared" si="13"/>
        <v>2016.75</v>
      </c>
      <c r="AC70" s="156">
        <f t="shared" si="14"/>
        <v>2017.8333333333333</v>
      </c>
      <c r="AD70" s="181">
        <f t="shared" si="15"/>
        <v>2015.75</v>
      </c>
      <c r="AE70" s="181">
        <f t="shared" si="16"/>
        <v>-8.3333333333333329E-2</v>
      </c>
      <c r="AF70" s="181">
        <f t="shared" si="17"/>
        <v>2017.8333333333333</v>
      </c>
      <c r="AG70" s="181">
        <f t="shared" si="18"/>
        <v>2015.75</v>
      </c>
      <c r="AH70" s="181">
        <f t="shared" si="19"/>
        <v>-8.3333333333333329E-2</v>
      </c>
      <c r="AI70" s="156" t="s">
        <v>471</v>
      </c>
      <c r="AJ70" s="156"/>
      <c r="AK70" s="156"/>
      <c r="AL70" s="156"/>
    </row>
    <row r="71" spans="1:38" x14ac:dyDescent="0.25">
      <c r="A71" s="163"/>
      <c r="B71" s="156" t="s">
        <v>458</v>
      </c>
      <c r="C71" s="198" t="s">
        <v>526</v>
      </c>
      <c r="D71" s="165">
        <v>2010</v>
      </c>
      <c r="E71" s="161">
        <v>11</v>
      </c>
      <c r="F71" s="178">
        <v>0.2</v>
      </c>
      <c r="G71" s="179" t="s">
        <v>452</v>
      </c>
      <c r="H71" s="161">
        <v>7</v>
      </c>
      <c r="I71" s="165">
        <f t="shared" ref="I71:I87" si="20">H71+D71</f>
        <v>2017</v>
      </c>
      <c r="J71" s="161"/>
      <c r="K71" s="161"/>
      <c r="L71" s="180">
        <v>34674.39</v>
      </c>
      <c r="M71" s="161"/>
      <c r="N71" s="161">
        <f t="shared" si="1"/>
        <v>27739.511999999999</v>
      </c>
      <c r="O71" s="161">
        <f t="shared" si="2"/>
        <v>330.23228571428569</v>
      </c>
      <c r="P71" s="161">
        <f t="shared" si="3"/>
        <v>3962.7874285714283</v>
      </c>
      <c r="Q71" s="161">
        <f t="shared" si="4"/>
        <v>0</v>
      </c>
      <c r="R71" s="161">
        <f t="shared" si="5"/>
        <v>3962.7874285714283</v>
      </c>
      <c r="S71" s="161">
        <v>1</v>
      </c>
      <c r="T71" s="161">
        <f t="shared" si="6"/>
        <v>3962.7874285714283</v>
      </c>
      <c r="U71" s="161">
        <f t="shared" si="7"/>
        <v>19483.704857143155</v>
      </c>
      <c r="V71" s="161">
        <f t="shared" si="8"/>
        <v>19483.704857143155</v>
      </c>
      <c r="W71" s="161">
        <v>1</v>
      </c>
      <c r="X71" s="161">
        <f t="shared" si="9"/>
        <v>19483.704857143155</v>
      </c>
      <c r="Y71" s="161">
        <f t="shared" si="10"/>
        <v>23446.492285714583</v>
      </c>
      <c r="Z71" s="161">
        <f t="shared" si="11"/>
        <v>13209.29142857113</v>
      </c>
      <c r="AA71" s="156">
        <f t="shared" si="12"/>
        <v>2010.8333333333333</v>
      </c>
      <c r="AB71" s="156">
        <f t="shared" si="13"/>
        <v>2016.75</v>
      </c>
      <c r="AC71" s="156">
        <f t="shared" si="14"/>
        <v>2017.8333333333333</v>
      </c>
      <c r="AD71" s="181">
        <f t="shared" si="15"/>
        <v>2015.75</v>
      </c>
      <c r="AE71" s="181">
        <f t="shared" si="16"/>
        <v>-8.3333333333333329E-2</v>
      </c>
      <c r="AF71" s="181">
        <f t="shared" si="17"/>
        <v>2017.8333333333333</v>
      </c>
      <c r="AG71" s="181">
        <f t="shared" si="18"/>
        <v>2015.75</v>
      </c>
      <c r="AH71" s="181">
        <f t="shared" si="19"/>
        <v>-8.3333333333333329E-2</v>
      </c>
      <c r="AI71" s="156" t="s">
        <v>471</v>
      </c>
      <c r="AJ71" s="156"/>
      <c r="AK71" s="156"/>
      <c r="AL71" s="156"/>
    </row>
    <row r="72" spans="1:38" x14ac:dyDescent="0.25">
      <c r="A72" s="163"/>
      <c r="B72" s="156" t="s">
        <v>458</v>
      </c>
      <c r="C72" s="198" t="s">
        <v>527</v>
      </c>
      <c r="D72" s="165">
        <v>2010</v>
      </c>
      <c r="E72" s="161">
        <v>11</v>
      </c>
      <c r="F72" s="178">
        <v>0.2</v>
      </c>
      <c r="G72" s="179" t="s">
        <v>452</v>
      </c>
      <c r="H72" s="161">
        <v>7</v>
      </c>
      <c r="I72" s="165">
        <f t="shared" si="20"/>
        <v>2017</v>
      </c>
      <c r="J72" s="161"/>
      <c r="K72" s="161"/>
      <c r="L72" s="180">
        <v>12658.2</v>
      </c>
      <c r="M72" s="161"/>
      <c r="N72" s="161">
        <f t="shared" si="1"/>
        <v>10126.560000000001</v>
      </c>
      <c r="O72" s="161">
        <f t="shared" si="2"/>
        <v>120.55428571428574</v>
      </c>
      <c r="P72" s="161">
        <f t="shared" si="3"/>
        <v>1446.6514285714288</v>
      </c>
      <c r="Q72" s="161">
        <f t="shared" si="4"/>
        <v>0</v>
      </c>
      <c r="R72" s="161">
        <f t="shared" si="5"/>
        <v>1446.6514285714288</v>
      </c>
      <c r="S72" s="161">
        <v>1</v>
      </c>
      <c r="T72" s="161">
        <f t="shared" si="6"/>
        <v>1446.6514285714288</v>
      </c>
      <c r="U72" s="161">
        <f t="shared" si="7"/>
        <v>7112.7028571429682</v>
      </c>
      <c r="V72" s="161">
        <f t="shared" si="8"/>
        <v>7112.7028571429682</v>
      </c>
      <c r="W72" s="161">
        <v>1</v>
      </c>
      <c r="X72" s="161">
        <f t="shared" si="9"/>
        <v>7112.7028571429682</v>
      </c>
      <c r="Y72" s="161">
        <f t="shared" si="10"/>
        <v>8559.3542857143966</v>
      </c>
      <c r="Z72" s="161">
        <f t="shared" si="11"/>
        <v>4822.1714285713188</v>
      </c>
      <c r="AA72" s="156">
        <f t="shared" si="12"/>
        <v>2010.8333333333333</v>
      </c>
      <c r="AB72" s="156">
        <f t="shared" si="13"/>
        <v>2016.75</v>
      </c>
      <c r="AC72" s="156">
        <f t="shared" si="14"/>
        <v>2017.8333333333333</v>
      </c>
      <c r="AD72" s="181">
        <f t="shared" si="15"/>
        <v>2015.75</v>
      </c>
      <c r="AE72" s="181">
        <f t="shared" si="16"/>
        <v>-8.3333333333333329E-2</v>
      </c>
      <c r="AF72" s="181">
        <f t="shared" si="17"/>
        <v>2017.8333333333333</v>
      </c>
      <c r="AG72" s="181">
        <f t="shared" si="18"/>
        <v>2015.75</v>
      </c>
      <c r="AH72" s="181">
        <f t="shared" si="19"/>
        <v>-8.3333333333333329E-2</v>
      </c>
      <c r="AI72" s="156" t="s">
        <v>471</v>
      </c>
      <c r="AJ72" s="156"/>
      <c r="AK72" s="156"/>
      <c r="AL72" s="156"/>
    </row>
    <row r="73" spans="1:38" x14ac:dyDescent="0.25">
      <c r="A73" s="195" t="s">
        <v>528</v>
      </c>
      <c r="B73" s="156" t="s">
        <v>458</v>
      </c>
      <c r="C73" s="202" t="s">
        <v>529</v>
      </c>
      <c r="D73" s="165">
        <v>2010</v>
      </c>
      <c r="E73" s="161">
        <v>11</v>
      </c>
      <c r="F73" s="178">
        <v>0.2</v>
      </c>
      <c r="G73" s="179" t="s">
        <v>452</v>
      </c>
      <c r="H73" s="161">
        <v>7</v>
      </c>
      <c r="I73" s="165">
        <f t="shared" si="20"/>
        <v>2017</v>
      </c>
      <c r="J73" s="161"/>
      <c r="K73" s="161"/>
      <c r="L73" s="201">
        <v>105485</v>
      </c>
      <c r="M73" s="161"/>
      <c r="N73" s="161">
        <f t="shared" si="1"/>
        <v>84388</v>
      </c>
      <c r="O73" s="161">
        <f t="shared" si="2"/>
        <v>1004.6190476190476</v>
      </c>
      <c r="P73" s="161">
        <f t="shared" si="3"/>
        <v>12055.428571428571</v>
      </c>
      <c r="Q73" s="161">
        <f t="shared" si="4"/>
        <v>0</v>
      </c>
      <c r="R73" s="161">
        <f t="shared" si="5"/>
        <v>12055.428571428571</v>
      </c>
      <c r="S73" s="161">
        <v>1</v>
      </c>
      <c r="T73" s="161">
        <f t="shared" si="6"/>
        <v>12055.428571428571</v>
      </c>
      <c r="U73" s="161">
        <f t="shared" si="7"/>
        <v>59272.523809524719</v>
      </c>
      <c r="V73" s="161">
        <f t="shared" si="8"/>
        <v>59272.523809524719</v>
      </c>
      <c r="W73" s="161">
        <v>1</v>
      </c>
      <c r="X73" s="161">
        <f t="shared" si="9"/>
        <v>59272.523809524719</v>
      </c>
      <c r="Y73" s="161">
        <f t="shared" si="10"/>
        <v>71327.952380953284</v>
      </c>
      <c r="Z73" s="161">
        <f t="shared" si="11"/>
        <v>40184.761904760999</v>
      </c>
      <c r="AA73" s="181">
        <f t="shared" si="12"/>
        <v>2010.8333333333333</v>
      </c>
      <c r="AB73" s="156">
        <f t="shared" si="13"/>
        <v>2016.75</v>
      </c>
      <c r="AC73" s="156">
        <f t="shared" si="14"/>
        <v>2017.8333333333333</v>
      </c>
      <c r="AD73" s="181">
        <f t="shared" si="15"/>
        <v>2015.75</v>
      </c>
      <c r="AE73" s="181">
        <f t="shared" si="16"/>
        <v>-8.3333333333333329E-2</v>
      </c>
      <c r="AF73" s="181">
        <f t="shared" si="17"/>
        <v>2017.8333333333333</v>
      </c>
      <c r="AG73" s="181">
        <f t="shared" si="18"/>
        <v>2015.75</v>
      </c>
      <c r="AH73" s="181">
        <f t="shared" si="19"/>
        <v>-8.3333333333333329E-2</v>
      </c>
      <c r="AI73" s="156" t="s">
        <v>471</v>
      </c>
      <c r="AJ73" s="156"/>
      <c r="AK73" s="156"/>
      <c r="AL73" s="156"/>
    </row>
    <row r="74" spans="1:38" x14ac:dyDescent="0.25">
      <c r="A74" s="199"/>
      <c r="B74" s="161" t="s">
        <v>458</v>
      </c>
      <c r="C74" s="202" t="s">
        <v>530</v>
      </c>
      <c r="D74" s="165">
        <v>2011</v>
      </c>
      <c r="E74" s="161">
        <v>9</v>
      </c>
      <c r="F74" s="178">
        <v>0.2</v>
      </c>
      <c r="G74" s="179" t="s">
        <v>452</v>
      </c>
      <c r="H74" s="161">
        <v>7</v>
      </c>
      <c r="I74" s="165">
        <f t="shared" si="20"/>
        <v>2018</v>
      </c>
      <c r="J74" s="161"/>
      <c r="K74" s="161"/>
      <c r="L74" s="201">
        <v>36354</v>
      </c>
      <c r="M74" s="161"/>
      <c r="N74" s="161">
        <f t="shared" ref="N74:N87" si="21">L74-L74*F74</f>
        <v>29083.200000000001</v>
      </c>
      <c r="O74" s="161">
        <f t="shared" ref="O74:O87" si="22">N74/H74/12</f>
        <v>346.22857142857146</v>
      </c>
      <c r="P74" s="161">
        <f t="shared" ref="P74:P87" si="23">IF(M74&gt;0,0,IF((OR((AA74&gt;AB74),(AC74&lt;AD74))),0,IF((AND((AC74&gt;=AD74),(AC74&lt;=AB74))),O74*((AC74-AD74)*12),IF((AND((AD74&lt;=AA74),(AB74&gt;=AA74))),((AB74-AA74)*12)*O74,IF(AC74&gt;AB74,12*O74,0)))))</f>
        <v>4154.7428571428572</v>
      </c>
      <c r="Q74" s="161">
        <f t="shared" ref="Q74:Q87" si="24">IF(M74=0,0,IF((AND((AE74&gt;=AD74),(AE74&lt;=AC74))),((AE74-AD74)*12)*O74,0))</f>
        <v>0</v>
      </c>
      <c r="R74" s="161">
        <f t="shared" ref="R74:R87" si="25">IF(Q74&gt;0,Q74,P74)</f>
        <v>4154.7428571428572</v>
      </c>
      <c r="S74" s="161">
        <v>1</v>
      </c>
      <c r="T74" s="161">
        <f t="shared" ref="T74:T87" si="26">S74*SUM(P74:Q74)</f>
        <v>4154.7428571428572</v>
      </c>
      <c r="U74" s="161">
        <f t="shared" ref="U74:U87" si="27">IF(AA74&gt;AB74,0,IF(AC74&lt;AD74,N74,IF((AND((AC74&gt;=AD74),(AC74&lt;=AB74))),(N74-R74),IF((AND((AD74&lt;=AA74),(AB74&gt;=AA74))),0,IF(AC74&gt;AB74,((AD74-AA74)*12)*O74,0)))))</f>
        <v>16965.199999999688</v>
      </c>
      <c r="V74" s="161">
        <f t="shared" ref="V74:V87" si="28">U74*S74</f>
        <v>16965.199999999688</v>
      </c>
      <c r="W74" s="161">
        <v>1</v>
      </c>
      <c r="X74" s="161">
        <f t="shared" ref="X74:X87" si="29">V74*W74</f>
        <v>16965.199999999688</v>
      </c>
      <c r="Y74" s="161">
        <f t="shared" ref="Y74:Y87" si="30">IF(M74&gt;0,0,X74+T74*W74)*W74</f>
        <v>21119.942857142545</v>
      </c>
      <c r="Z74" s="161">
        <f t="shared" ref="Z74:Z87" si="31">IF(M74&gt;0,(L74-X74)/2,IF(AA74&gt;=AD74,(((L74*S74)*W74)-Y74)/2,((((L74*S74)*W74)-X74)+(((L74*S74)*W74)-Y74))/2))</f>
        <v>17311.428571428885</v>
      </c>
      <c r="AA74" s="197">
        <f t="shared" ref="AA74:AA83" si="32">$D74+(($E74-1)/12)</f>
        <v>2011.6666666666667</v>
      </c>
      <c r="AB74" s="161">
        <f t="shared" ref="AB74:AB104" si="33">($N$5+1)-($N$2/12)</f>
        <v>2016.75</v>
      </c>
      <c r="AC74" s="161">
        <f t="shared" ref="AC74:AC104" si="34">$I74+(($E74-1)/12)</f>
        <v>2018.6666666666667</v>
      </c>
      <c r="AD74" s="197">
        <f t="shared" ref="AD74:AD104" si="35">$N$4+($N$3/12)</f>
        <v>2015.75</v>
      </c>
      <c r="AE74" s="197">
        <f t="shared" ref="AE74:AE104" si="36">$J74+(($K74-1)/12)</f>
        <v>-8.3333333333333329E-2</v>
      </c>
      <c r="AF74" s="197">
        <f t="shared" ref="AF74:AF83" si="37">$I74+(($E74-1)/12)</f>
        <v>2018.6666666666667</v>
      </c>
      <c r="AG74" s="197">
        <f t="shared" ref="AG74:AG104" si="38">$N$4+($N$3/12)</f>
        <v>2015.75</v>
      </c>
      <c r="AH74" s="197">
        <f t="shared" ref="AH74:AH104" si="39">$J74+(($K74-1)/12)</f>
        <v>-8.3333333333333329E-2</v>
      </c>
      <c r="AI74" s="161" t="s">
        <v>471</v>
      </c>
      <c r="AJ74" s="161"/>
      <c r="AK74" s="161"/>
      <c r="AL74" s="161"/>
    </row>
    <row r="75" spans="1:38" x14ac:dyDescent="0.25">
      <c r="A75" s="163" t="s">
        <v>531</v>
      </c>
      <c r="B75" s="156" t="s">
        <v>458</v>
      </c>
      <c r="C75" s="202" t="s">
        <v>532</v>
      </c>
      <c r="D75" s="165">
        <v>2012</v>
      </c>
      <c r="E75" s="161">
        <v>11</v>
      </c>
      <c r="F75" s="178">
        <v>0.2</v>
      </c>
      <c r="G75" s="179" t="s">
        <v>452</v>
      </c>
      <c r="H75" s="161">
        <v>7</v>
      </c>
      <c r="I75" s="165">
        <f t="shared" si="20"/>
        <v>2019</v>
      </c>
      <c r="J75" s="161"/>
      <c r="K75" s="161"/>
      <c r="L75" s="201">
        <f>176477+122588</f>
        <v>299065</v>
      </c>
      <c r="M75" s="161"/>
      <c r="N75" s="161">
        <f t="shared" si="21"/>
        <v>239252</v>
      </c>
      <c r="O75" s="161">
        <f t="shared" si="22"/>
        <v>2848.2380952380954</v>
      </c>
      <c r="P75" s="161">
        <f t="shared" si="23"/>
        <v>34178.857142857145</v>
      </c>
      <c r="Q75" s="161">
        <f t="shared" si="24"/>
        <v>0</v>
      </c>
      <c r="R75" s="161">
        <f t="shared" si="25"/>
        <v>34178.857142857145</v>
      </c>
      <c r="S75" s="161">
        <v>1</v>
      </c>
      <c r="T75" s="161">
        <f t="shared" si="26"/>
        <v>34178.857142857145</v>
      </c>
      <c r="U75" s="161">
        <f t="shared" si="27"/>
        <v>99688.333333335933</v>
      </c>
      <c r="V75" s="161">
        <f t="shared" si="28"/>
        <v>99688.333333335933</v>
      </c>
      <c r="W75" s="161">
        <v>1</v>
      </c>
      <c r="X75" s="161">
        <f t="shared" si="29"/>
        <v>99688.333333335933</v>
      </c>
      <c r="Y75" s="161">
        <f t="shared" si="30"/>
        <v>133867.19047619309</v>
      </c>
      <c r="Z75" s="161">
        <f t="shared" si="31"/>
        <v>182287.23809523549</v>
      </c>
      <c r="AA75" s="181">
        <f t="shared" si="32"/>
        <v>2012.8333333333333</v>
      </c>
      <c r="AB75" s="156">
        <f t="shared" si="33"/>
        <v>2016.75</v>
      </c>
      <c r="AC75" s="156">
        <f t="shared" si="34"/>
        <v>2019.8333333333333</v>
      </c>
      <c r="AD75" s="181">
        <f t="shared" si="35"/>
        <v>2015.75</v>
      </c>
      <c r="AE75" s="181">
        <f t="shared" si="36"/>
        <v>-8.3333333333333329E-2</v>
      </c>
      <c r="AF75" s="181">
        <f t="shared" si="37"/>
        <v>2019.8333333333333</v>
      </c>
      <c r="AG75" s="181">
        <f t="shared" si="38"/>
        <v>2015.75</v>
      </c>
      <c r="AH75" s="181">
        <f t="shared" si="39"/>
        <v>-8.3333333333333329E-2</v>
      </c>
      <c r="AI75" s="156" t="s">
        <v>471</v>
      </c>
      <c r="AJ75" s="156"/>
      <c r="AK75" s="156"/>
      <c r="AL75" s="156"/>
    </row>
    <row r="76" spans="1:38" x14ac:dyDescent="0.25">
      <c r="A76" s="163" t="s">
        <v>533</v>
      </c>
      <c r="B76" s="156" t="s">
        <v>458</v>
      </c>
      <c r="C76" s="202" t="s">
        <v>534</v>
      </c>
      <c r="D76" s="165">
        <v>2012</v>
      </c>
      <c r="E76" s="161">
        <v>3</v>
      </c>
      <c r="F76" s="178">
        <v>0.2</v>
      </c>
      <c r="G76" s="179" t="s">
        <v>452</v>
      </c>
      <c r="H76" s="161">
        <v>7</v>
      </c>
      <c r="I76" s="165">
        <f t="shared" si="20"/>
        <v>2019</v>
      </c>
      <c r="J76" s="161"/>
      <c r="K76" s="161"/>
      <c r="L76" s="201">
        <v>34690</v>
      </c>
      <c r="M76" s="161"/>
      <c r="N76" s="161">
        <f t="shared" si="21"/>
        <v>27752</v>
      </c>
      <c r="O76" s="161">
        <f t="shared" si="22"/>
        <v>330.38095238095235</v>
      </c>
      <c r="P76" s="161">
        <f t="shared" si="23"/>
        <v>3964.5714285714284</v>
      </c>
      <c r="Q76" s="161">
        <f t="shared" si="24"/>
        <v>0</v>
      </c>
      <c r="R76" s="161">
        <f t="shared" si="25"/>
        <v>3964.5714285714284</v>
      </c>
      <c r="S76" s="161">
        <v>1</v>
      </c>
      <c r="T76" s="161">
        <f t="shared" si="26"/>
        <v>3964.5714285714284</v>
      </c>
      <c r="U76" s="161">
        <f t="shared" si="27"/>
        <v>14206.38095238065</v>
      </c>
      <c r="V76" s="161">
        <f t="shared" si="28"/>
        <v>14206.38095238065</v>
      </c>
      <c r="W76" s="161">
        <v>1</v>
      </c>
      <c r="X76" s="161">
        <f t="shared" si="29"/>
        <v>14206.38095238065</v>
      </c>
      <c r="Y76" s="161">
        <f t="shared" si="30"/>
        <v>18170.95238095208</v>
      </c>
      <c r="Z76" s="161">
        <f t="shared" si="31"/>
        <v>18501.333333333634</v>
      </c>
      <c r="AA76" s="181">
        <f t="shared" si="32"/>
        <v>2012.1666666666667</v>
      </c>
      <c r="AB76" s="156">
        <f t="shared" si="33"/>
        <v>2016.75</v>
      </c>
      <c r="AC76" s="156">
        <f t="shared" si="34"/>
        <v>2019.1666666666667</v>
      </c>
      <c r="AD76" s="181">
        <f t="shared" si="35"/>
        <v>2015.75</v>
      </c>
      <c r="AE76" s="181">
        <f t="shared" si="36"/>
        <v>-8.3333333333333329E-2</v>
      </c>
      <c r="AF76" s="181">
        <f t="shared" si="37"/>
        <v>2019.1666666666667</v>
      </c>
      <c r="AG76" s="181">
        <f t="shared" si="38"/>
        <v>2015.75</v>
      </c>
      <c r="AH76" s="181">
        <f t="shared" si="39"/>
        <v>-8.3333333333333329E-2</v>
      </c>
      <c r="AI76" s="156" t="s">
        <v>471</v>
      </c>
      <c r="AJ76" s="156"/>
      <c r="AK76" s="156"/>
      <c r="AL76" s="156"/>
    </row>
    <row r="77" spans="1:38" x14ac:dyDescent="0.25">
      <c r="A77" s="163" t="s">
        <v>535</v>
      </c>
      <c r="B77" s="156" t="s">
        <v>458</v>
      </c>
      <c r="C77" s="202" t="s">
        <v>536</v>
      </c>
      <c r="D77" s="165">
        <v>2012</v>
      </c>
      <c r="E77" s="161">
        <v>12</v>
      </c>
      <c r="F77" s="178">
        <v>0.2</v>
      </c>
      <c r="G77" s="179" t="s">
        <v>452</v>
      </c>
      <c r="H77" s="161">
        <v>7</v>
      </c>
      <c r="I77" s="165">
        <f t="shared" si="20"/>
        <v>2019</v>
      </c>
      <c r="J77" s="161"/>
      <c r="K77" s="161"/>
      <c r="L77" s="201">
        <f>164760+137673</f>
        <v>302433</v>
      </c>
      <c r="M77" s="161"/>
      <c r="N77" s="161">
        <f t="shared" si="21"/>
        <v>241946.4</v>
      </c>
      <c r="O77" s="161">
        <f t="shared" si="22"/>
        <v>2880.3142857142852</v>
      </c>
      <c r="P77" s="161">
        <f t="shared" si="23"/>
        <v>34563.771428571425</v>
      </c>
      <c r="Q77" s="161">
        <f t="shared" si="24"/>
        <v>0</v>
      </c>
      <c r="R77" s="161">
        <f t="shared" si="25"/>
        <v>34563.771428571425</v>
      </c>
      <c r="S77" s="161">
        <v>1</v>
      </c>
      <c r="T77" s="161">
        <f t="shared" si="26"/>
        <v>34563.771428571425</v>
      </c>
      <c r="U77" s="161">
        <f t="shared" si="27"/>
        <v>97930.685714283085</v>
      </c>
      <c r="V77" s="161">
        <f t="shared" si="28"/>
        <v>97930.685714283085</v>
      </c>
      <c r="W77" s="161">
        <v>1</v>
      </c>
      <c r="X77" s="161">
        <f t="shared" si="29"/>
        <v>97930.685714283085</v>
      </c>
      <c r="Y77" s="161">
        <f t="shared" si="30"/>
        <v>132494.45714285452</v>
      </c>
      <c r="Z77" s="161">
        <f t="shared" si="31"/>
        <v>187220.4285714312</v>
      </c>
      <c r="AA77" s="181">
        <f t="shared" si="32"/>
        <v>2012.9166666666667</v>
      </c>
      <c r="AB77" s="156">
        <f t="shared" si="33"/>
        <v>2016.75</v>
      </c>
      <c r="AC77" s="156">
        <f t="shared" si="34"/>
        <v>2019.9166666666667</v>
      </c>
      <c r="AD77" s="181">
        <f t="shared" si="35"/>
        <v>2015.75</v>
      </c>
      <c r="AE77" s="181">
        <f t="shared" si="36"/>
        <v>-8.3333333333333329E-2</v>
      </c>
      <c r="AF77" s="181">
        <f t="shared" si="37"/>
        <v>2019.9166666666667</v>
      </c>
      <c r="AG77" s="181">
        <f t="shared" si="38"/>
        <v>2015.75</v>
      </c>
      <c r="AH77" s="181">
        <f t="shared" si="39"/>
        <v>-8.3333333333333329E-2</v>
      </c>
      <c r="AI77" s="156" t="s">
        <v>471</v>
      </c>
      <c r="AJ77" s="156"/>
      <c r="AK77" s="156"/>
      <c r="AL77" s="156"/>
    </row>
    <row r="78" spans="1:38" x14ac:dyDescent="0.25">
      <c r="A78" s="203" t="s">
        <v>537</v>
      </c>
      <c r="B78" s="156" t="s">
        <v>458</v>
      </c>
      <c r="C78" s="202" t="s">
        <v>538</v>
      </c>
      <c r="D78" s="165">
        <v>2012</v>
      </c>
      <c r="E78" s="161">
        <v>12</v>
      </c>
      <c r="F78" s="178">
        <v>0.2</v>
      </c>
      <c r="G78" s="179" t="s">
        <v>452</v>
      </c>
      <c r="H78" s="161">
        <v>7</v>
      </c>
      <c r="I78" s="165">
        <f t="shared" si="20"/>
        <v>2019</v>
      </c>
      <c r="J78" s="161"/>
      <c r="K78" s="161"/>
      <c r="L78" s="201">
        <f>167176+69042</f>
        <v>236218</v>
      </c>
      <c r="M78" s="161"/>
      <c r="N78" s="161">
        <f t="shared" si="21"/>
        <v>188974.4</v>
      </c>
      <c r="O78" s="161">
        <f t="shared" si="22"/>
        <v>2249.695238095238</v>
      </c>
      <c r="P78" s="161">
        <f t="shared" si="23"/>
        <v>26996.342857142856</v>
      </c>
      <c r="Q78" s="161">
        <f t="shared" si="24"/>
        <v>0</v>
      </c>
      <c r="R78" s="161">
        <f t="shared" si="25"/>
        <v>26996.342857142856</v>
      </c>
      <c r="S78" s="161">
        <v>1</v>
      </c>
      <c r="T78" s="161">
        <f t="shared" si="26"/>
        <v>26996.342857142856</v>
      </c>
      <c r="U78" s="161">
        <f t="shared" si="27"/>
        <v>76489.638095236049</v>
      </c>
      <c r="V78" s="161">
        <f t="shared" si="28"/>
        <v>76489.638095236049</v>
      </c>
      <c r="W78" s="161">
        <v>1</v>
      </c>
      <c r="X78" s="161">
        <f t="shared" si="29"/>
        <v>76489.638095236049</v>
      </c>
      <c r="Y78" s="161">
        <f t="shared" si="30"/>
        <v>103485.9809523789</v>
      </c>
      <c r="Z78" s="161">
        <f t="shared" si="31"/>
        <v>146230.19047619254</v>
      </c>
      <c r="AA78" s="181">
        <f t="shared" si="32"/>
        <v>2012.9166666666667</v>
      </c>
      <c r="AB78" s="156">
        <f t="shared" si="33"/>
        <v>2016.75</v>
      </c>
      <c r="AC78" s="156">
        <f t="shared" si="34"/>
        <v>2019.9166666666667</v>
      </c>
      <c r="AD78" s="181">
        <f t="shared" si="35"/>
        <v>2015.75</v>
      </c>
      <c r="AE78" s="181">
        <f t="shared" si="36"/>
        <v>-8.3333333333333329E-2</v>
      </c>
      <c r="AF78" s="181">
        <f t="shared" si="37"/>
        <v>2019.9166666666667</v>
      </c>
      <c r="AG78" s="181">
        <f t="shared" si="38"/>
        <v>2015.75</v>
      </c>
      <c r="AH78" s="181">
        <f t="shared" si="39"/>
        <v>-8.3333333333333329E-2</v>
      </c>
      <c r="AI78" s="156" t="s">
        <v>471</v>
      </c>
      <c r="AJ78" s="156"/>
      <c r="AK78" s="156"/>
      <c r="AL78" s="156"/>
    </row>
    <row r="79" spans="1:38" x14ac:dyDescent="0.25">
      <c r="A79" s="192" t="s">
        <v>539</v>
      </c>
      <c r="B79" s="156" t="s">
        <v>458</v>
      </c>
      <c r="C79" s="202" t="s">
        <v>540</v>
      </c>
      <c r="D79" s="165">
        <v>2014</v>
      </c>
      <c r="E79" s="161">
        <v>7</v>
      </c>
      <c r="F79" s="178">
        <v>0.2</v>
      </c>
      <c r="G79" s="179" t="s">
        <v>452</v>
      </c>
      <c r="H79" s="161">
        <v>7</v>
      </c>
      <c r="I79" s="165">
        <f t="shared" si="20"/>
        <v>2021</v>
      </c>
      <c r="J79" s="204"/>
      <c r="K79" s="204"/>
      <c r="L79" s="201">
        <v>330018.24</v>
      </c>
      <c r="M79" s="204"/>
      <c r="N79" s="161">
        <f t="shared" si="21"/>
        <v>264014.592</v>
      </c>
      <c r="O79" s="161">
        <f t="shared" si="22"/>
        <v>3143.0308571428573</v>
      </c>
      <c r="P79" s="161">
        <f t="shared" si="23"/>
        <v>37716.370285714285</v>
      </c>
      <c r="Q79" s="161">
        <f t="shared" si="24"/>
        <v>0</v>
      </c>
      <c r="R79" s="161">
        <f t="shared" si="25"/>
        <v>37716.370285714285</v>
      </c>
      <c r="S79" s="161">
        <v>1</v>
      </c>
      <c r="T79" s="161">
        <f t="shared" si="26"/>
        <v>37716.370285714285</v>
      </c>
      <c r="U79" s="161">
        <f t="shared" si="27"/>
        <v>47145.462857142862</v>
      </c>
      <c r="V79" s="161">
        <f t="shared" si="28"/>
        <v>47145.462857142862</v>
      </c>
      <c r="W79" s="161">
        <v>1</v>
      </c>
      <c r="X79" s="161">
        <f t="shared" si="29"/>
        <v>47145.462857142862</v>
      </c>
      <c r="Y79" s="161">
        <f t="shared" si="30"/>
        <v>84861.833142857155</v>
      </c>
      <c r="Z79" s="161">
        <f t="shared" si="31"/>
        <v>264014.592</v>
      </c>
      <c r="AA79" s="181">
        <f t="shared" si="32"/>
        <v>2014.5</v>
      </c>
      <c r="AB79" s="156">
        <f t="shared" si="33"/>
        <v>2016.75</v>
      </c>
      <c r="AC79" s="156">
        <f t="shared" si="34"/>
        <v>2021.5</v>
      </c>
      <c r="AD79" s="181">
        <f t="shared" si="35"/>
        <v>2015.75</v>
      </c>
      <c r="AE79" s="181">
        <f t="shared" si="36"/>
        <v>-8.3333333333333329E-2</v>
      </c>
      <c r="AF79" s="181">
        <f t="shared" si="37"/>
        <v>2021.5</v>
      </c>
      <c r="AG79" s="181">
        <f t="shared" si="38"/>
        <v>2015.75</v>
      </c>
      <c r="AH79" s="181">
        <f t="shared" si="39"/>
        <v>-8.3333333333333329E-2</v>
      </c>
      <c r="AI79" s="156" t="s">
        <v>471</v>
      </c>
      <c r="AJ79" s="205"/>
      <c r="AK79" s="205"/>
      <c r="AL79" s="205"/>
    </row>
    <row r="80" spans="1:38" x14ac:dyDescent="0.25">
      <c r="A80" s="192" t="s">
        <v>541</v>
      </c>
      <c r="B80" s="156" t="s">
        <v>458</v>
      </c>
      <c r="C80" s="202" t="s">
        <v>542</v>
      </c>
      <c r="D80" s="165">
        <v>2014</v>
      </c>
      <c r="E80" s="161">
        <v>7</v>
      </c>
      <c r="F80" s="178">
        <v>0.2</v>
      </c>
      <c r="G80" s="179" t="s">
        <v>452</v>
      </c>
      <c r="H80" s="161">
        <v>7</v>
      </c>
      <c r="I80" s="165">
        <f t="shared" si="20"/>
        <v>2021</v>
      </c>
      <c r="J80" s="204"/>
      <c r="K80" s="204"/>
      <c r="L80" s="201">
        <v>330018.24</v>
      </c>
      <c r="M80" s="204"/>
      <c r="N80" s="161">
        <f t="shared" si="21"/>
        <v>264014.592</v>
      </c>
      <c r="O80" s="161">
        <f t="shared" si="22"/>
        <v>3143.0308571428573</v>
      </c>
      <c r="P80" s="161">
        <f t="shared" si="23"/>
        <v>37716.370285714285</v>
      </c>
      <c r="Q80" s="161">
        <f t="shared" si="24"/>
        <v>0</v>
      </c>
      <c r="R80" s="161">
        <f t="shared" si="25"/>
        <v>37716.370285714285</v>
      </c>
      <c r="S80" s="161">
        <v>1</v>
      </c>
      <c r="T80" s="161">
        <f t="shared" si="26"/>
        <v>37716.370285714285</v>
      </c>
      <c r="U80" s="161">
        <f t="shared" si="27"/>
        <v>47145.462857142862</v>
      </c>
      <c r="V80" s="161">
        <f t="shared" si="28"/>
        <v>47145.462857142862</v>
      </c>
      <c r="W80" s="161">
        <v>1</v>
      </c>
      <c r="X80" s="161">
        <f t="shared" si="29"/>
        <v>47145.462857142862</v>
      </c>
      <c r="Y80" s="161">
        <f t="shared" si="30"/>
        <v>84861.833142857155</v>
      </c>
      <c r="Z80" s="161">
        <f t="shared" si="31"/>
        <v>264014.592</v>
      </c>
      <c r="AA80" s="181">
        <f t="shared" si="32"/>
        <v>2014.5</v>
      </c>
      <c r="AB80" s="156">
        <f t="shared" si="33"/>
        <v>2016.75</v>
      </c>
      <c r="AC80" s="156">
        <f t="shared" si="34"/>
        <v>2021.5</v>
      </c>
      <c r="AD80" s="181">
        <f t="shared" si="35"/>
        <v>2015.75</v>
      </c>
      <c r="AE80" s="181">
        <f t="shared" si="36"/>
        <v>-8.3333333333333329E-2</v>
      </c>
      <c r="AF80" s="181">
        <f t="shared" si="37"/>
        <v>2021.5</v>
      </c>
      <c r="AG80" s="181">
        <f t="shared" si="38"/>
        <v>2015.75</v>
      </c>
      <c r="AH80" s="181">
        <f t="shared" si="39"/>
        <v>-8.3333333333333329E-2</v>
      </c>
      <c r="AI80" s="156" t="s">
        <v>471</v>
      </c>
      <c r="AJ80" s="205" t="s">
        <v>543</v>
      </c>
      <c r="AK80" s="205"/>
      <c r="AL80" s="205"/>
    </row>
    <row r="81" spans="1:38" x14ac:dyDescent="0.25">
      <c r="A81" s="203" t="s">
        <v>544</v>
      </c>
      <c r="B81" s="156" t="s">
        <v>458</v>
      </c>
      <c r="C81" s="202" t="s">
        <v>545</v>
      </c>
      <c r="D81" s="165">
        <v>2014</v>
      </c>
      <c r="E81" s="161">
        <v>7</v>
      </c>
      <c r="F81" s="178">
        <v>0.2</v>
      </c>
      <c r="G81" s="179" t="s">
        <v>452</v>
      </c>
      <c r="H81" s="161">
        <v>7</v>
      </c>
      <c r="I81" s="165">
        <f t="shared" si="20"/>
        <v>2021</v>
      </c>
      <c r="J81" s="204"/>
      <c r="K81" s="204"/>
      <c r="L81" s="201">
        <v>330018.24</v>
      </c>
      <c r="M81" s="204"/>
      <c r="N81" s="161">
        <f t="shared" si="21"/>
        <v>264014.592</v>
      </c>
      <c r="O81" s="161">
        <f t="shared" si="22"/>
        <v>3143.0308571428573</v>
      </c>
      <c r="P81" s="161">
        <f t="shared" si="23"/>
        <v>37716.370285714285</v>
      </c>
      <c r="Q81" s="161">
        <f t="shared" si="24"/>
        <v>0</v>
      </c>
      <c r="R81" s="161">
        <f t="shared" si="25"/>
        <v>37716.370285714285</v>
      </c>
      <c r="S81" s="161">
        <v>1</v>
      </c>
      <c r="T81" s="161">
        <f t="shared" si="26"/>
        <v>37716.370285714285</v>
      </c>
      <c r="U81" s="161">
        <f t="shared" si="27"/>
        <v>47145.462857142862</v>
      </c>
      <c r="V81" s="161">
        <f t="shared" si="28"/>
        <v>47145.462857142862</v>
      </c>
      <c r="W81" s="161">
        <v>1</v>
      </c>
      <c r="X81" s="161">
        <f t="shared" si="29"/>
        <v>47145.462857142862</v>
      </c>
      <c r="Y81" s="161">
        <f t="shared" si="30"/>
        <v>84861.833142857155</v>
      </c>
      <c r="Z81" s="161">
        <f t="shared" si="31"/>
        <v>264014.592</v>
      </c>
      <c r="AA81" s="181">
        <f t="shared" si="32"/>
        <v>2014.5</v>
      </c>
      <c r="AB81" s="156">
        <f t="shared" si="33"/>
        <v>2016.75</v>
      </c>
      <c r="AC81" s="156">
        <f t="shared" si="34"/>
        <v>2021.5</v>
      </c>
      <c r="AD81" s="181">
        <f t="shared" si="35"/>
        <v>2015.75</v>
      </c>
      <c r="AE81" s="181">
        <f t="shared" si="36"/>
        <v>-8.3333333333333329E-2</v>
      </c>
      <c r="AF81" s="181">
        <f t="shared" si="37"/>
        <v>2021.5</v>
      </c>
      <c r="AG81" s="181">
        <f t="shared" si="38"/>
        <v>2015.75</v>
      </c>
      <c r="AH81" s="181">
        <f t="shared" si="39"/>
        <v>-8.3333333333333329E-2</v>
      </c>
      <c r="AI81" s="156" t="s">
        <v>471</v>
      </c>
      <c r="AJ81" s="205"/>
      <c r="AK81" s="205"/>
      <c r="AL81" s="205"/>
    </row>
    <row r="82" spans="1:38" x14ac:dyDescent="0.25">
      <c r="A82" s="163" t="s">
        <v>546</v>
      </c>
      <c r="B82" s="156" t="s">
        <v>458</v>
      </c>
      <c r="C82" s="202" t="s">
        <v>547</v>
      </c>
      <c r="D82" s="165">
        <v>2014</v>
      </c>
      <c r="E82" s="161">
        <v>7</v>
      </c>
      <c r="F82" s="178">
        <v>0.2</v>
      </c>
      <c r="G82" s="179" t="s">
        <v>452</v>
      </c>
      <c r="H82" s="161">
        <v>7</v>
      </c>
      <c r="I82" s="165">
        <f t="shared" si="20"/>
        <v>2021</v>
      </c>
      <c r="J82" s="204"/>
      <c r="K82" s="206"/>
      <c r="L82" s="201">
        <v>330018.24</v>
      </c>
      <c r="M82" s="204"/>
      <c r="N82" s="161">
        <f t="shared" si="21"/>
        <v>264014.592</v>
      </c>
      <c r="O82" s="161">
        <f t="shared" si="22"/>
        <v>3143.0308571428573</v>
      </c>
      <c r="P82" s="161">
        <f t="shared" si="23"/>
        <v>37716.370285714285</v>
      </c>
      <c r="Q82" s="161">
        <f t="shared" si="24"/>
        <v>0</v>
      </c>
      <c r="R82" s="161">
        <f t="shared" si="25"/>
        <v>37716.370285714285</v>
      </c>
      <c r="S82" s="161">
        <v>1</v>
      </c>
      <c r="T82" s="161">
        <f t="shared" si="26"/>
        <v>37716.370285714285</v>
      </c>
      <c r="U82" s="161">
        <f t="shared" si="27"/>
        <v>47145.462857142862</v>
      </c>
      <c r="V82" s="161">
        <f t="shared" si="28"/>
        <v>47145.462857142862</v>
      </c>
      <c r="W82" s="161">
        <v>1</v>
      </c>
      <c r="X82" s="161">
        <f t="shared" si="29"/>
        <v>47145.462857142862</v>
      </c>
      <c r="Y82" s="161">
        <f t="shared" si="30"/>
        <v>84861.833142857155</v>
      </c>
      <c r="Z82" s="161">
        <f t="shared" si="31"/>
        <v>264014.592</v>
      </c>
      <c r="AA82" s="181">
        <f t="shared" si="32"/>
        <v>2014.5</v>
      </c>
      <c r="AB82" s="156">
        <f t="shared" si="33"/>
        <v>2016.75</v>
      </c>
      <c r="AC82" s="156">
        <f t="shared" si="34"/>
        <v>2021.5</v>
      </c>
      <c r="AD82" s="181">
        <f t="shared" si="35"/>
        <v>2015.75</v>
      </c>
      <c r="AE82" s="181">
        <f t="shared" si="36"/>
        <v>-8.3333333333333329E-2</v>
      </c>
      <c r="AF82" s="181">
        <f t="shared" si="37"/>
        <v>2021.5</v>
      </c>
      <c r="AG82" s="181">
        <f t="shared" si="38"/>
        <v>2015.75</v>
      </c>
      <c r="AH82" s="181">
        <f t="shared" si="39"/>
        <v>-8.3333333333333329E-2</v>
      </c>
      <c r="AI82" s="156" t="s">
        <v>471</v>
      </c>
      <c r="AJ82" s="205"/>
      <c r="AK82" s="205"/>
      <c r="AL82" s="205"/>
    </row>
    <row r="83" spans="1:38" x14ac:dyDescent="0.25">
      <c r="A83" s="203" t="s">
        <v>548</v>
      </c>
      <c r="B83" s="156" t="s">
        <v>458</v>
      </c>
      <c r="C83" s="202" t="s">
        <v>549</v>
      </c>
      <c r="D83" s="165">
        <v>2014</v>
      </c>
      <c r="E83" s="161">
        <v>6</v>
      </c>
      <c r="F83" s="178">
        <v>0.2</v>
      </c>
      <c r="G83" s="179" t="s">
        <v>452</v>
      </c>
      <c r="H83" s="161">
        <v>7</v>
      </c>
      <c r="I83" s="165">
        <f t="shared" si="20"/>
        <v>2021</v>
      </c>
      <c r="J83" s="204"/>
      <c r="K83" s="204"/>
      <c r="L83" s="201">
        <v>54126.92</v>
      </c>
      <c r="M83" s="204"/>
      <c r="N83" s="161">
        <f t="shared" si="21"/>
        <v>43301.536</v>
      </c>
      <c r="O83" s="161">
        <f t="shared" si="22"/>
        <v>515.49447619047612</v>
      </c>
      <c r="P83" s="161">
        <f t="shared" si="23"/>
        <v>6185.933714285713</v>
      </c>
      <c r="Q83" s="161">
        <f t="shared" si="24"/>
        <v>0</v>
      </c>
      <c r="R83" s="161">
        <f t="shared" si="25"/>
        <v>6185.933714285713</v>
      </c>
      <c r="S83" s="161">
        <v>1</v>
      </c>
      <c r="T83" s="161">
        <f t="shared" si="26"/>
        <v>6185.933714285713</v>
      </c>
      <c r="U83" s="161">
        <f t="shared" si="27"/>
        <v>8247.9116190471486</v>
      </c>
      <c r="V83" s="161">
        <f t="shared" si="28"/>
        <v>8247.9116190471486</v>
      </c>
      <c r="W83" s="161">
        <v>1</v>
      </c>
      <c r="X83" s="161">
        <f t="shared" si="29"/>
        <v>8247.9116190471486</v>
      </c>
      <c r="Y83" s="161">
        <f t="shared" si="30"/>
        <v>14433.845333332862</v>
      </c>
      <c r="Z83" s="161">
        <f t="shared" si="31"/>
        <v>42786.041523809996</v>
      </c>
      <c r="AA83" s="181">
        <f t="shared" si="32"/>
        <v>2014.4166666666667</v>
      </c>
      <c r="AB83" s="156">
        <f t="shared" si="33"/>
        <v>2016.75</v>
      </c>
      <c r="AC83" s="156">
        <f t="shared" si="34"/>
        <v>2021.4166666666667</v>
      </c>
      <c r="AD83" s="181">
        <f t="shared" si="35"/>
        <v>2015.75</v>
      </c>
      <c r="AE83" s="181">
        <f t="shared" si="36"/>
        <v>-8.3333333333333329E-2</v>
      </c>
      <c r="AF83" s="181">
        <f t="shared" si="37"/>
        <v>2021.4166666666667</v>
      </c>
      <c r="AG83" s="181">
        <f t="shared" si="38"/>
        <v>2015.75</v>
      </c>
      <c r="AH83" s="181">
        <f t="shared" si="39"/>
        <v>-8.3333333333333329E-2</v>
      </c>
      <c r="AI83" s="156" t="s">
        <v>471</v>
      </c>
      <c r="AJ83" s="205"/>
      <c r="AK83" s="205"/>
      <c r="AL83" s="205"/>
    </row>
    <row r="84" spans="1:38" x14ac:dyDescent="0.25">
      <c r="A84" s="163" t="s">
        <v>550</v>
      </c>
      <c r="B84" s="156" t="s">
        <v>458</v>
      </c>
      <c r="C84" s="207" t="s">
        <v>551</v>
      </c>
      <c r="D84" s="165">
        <v>2015</v>
      </c>
      <c r="E84" s="161">
        <v>6</v>
      </c>
      <c r="F84" s="178">
        <v>0.2</v>
      </c>
      <c r="G84" s="179" t="s">
        <v>452</v>
      </c>
      <c r="H84" s="161">
        <v>7</v>
      </c>
      <c r="I84" s="165">
        <f t="shared" si="20"/>
        <v>2022</v>
      </c>
      <c r="J84" s="204"/>
      <c r="K84" s="204"/>
      <c r="L84" s="208">
        <v>93759.97</v>
      </c>
      <c r="M84" s="204"/>
      <c r="N84" s="161">
        <f t="shared" si="21"/>
        <v>75007.975999999995</v>
      </c>
      <c r="O84" s="161">
        <f t="shared" si="22"/>
        <v>892.95209523809524</v>
      </c>
      <c r="P84" s="161">
        <f t="shared" si="23"/>
        <v>10715.425142857142</v>
      </c>
      <c r="Q84" s="161">
        <f t="shared" si="24"/>
        <v>0</v>
      </c>
      <c r="R84" s="161">
        <f t="shared" si="25"/>
        <v>10715.425142857142</v>
      </c>
      <c r="S84" s="161">
        <v>1</v>
      </c>
      <c r="T84" s="161">
        <f t="shared" si="26"/>
        <v>10715.425142857142</v>
      </c>
      <c r="U84" s="161">
        <f t="shared" si="27"/>
        <v>14287.233523808713</v>
      </c>
      <c r="V84" s="161">
        <f t="shared" si="28"/>
        <v>14287.233523808713</v>
      </c>
      <c r="W84" s="161">
        <v>1</v>
      </c>
      <c r="X84" s="161">
        <f t="shared" si="29"/>
        <v>14287.233523808713</v>
      </c>
      <c r="Y84" s="161">
        <f t="shared" si="30"/>
        <v>25002.658666665855</v>
      </c>
      <c r="Z84" s="161">
        <f t="shared" si="31"/>
        <v>74115.023904762726</v>
      </c>
      <c r="AA84" s="197">
        <f t="shared" ref="AA84:AA104" si="40">2014+(($E84-1)/12)</f>
        <v>2014.4166666666667</v>
      </c>
      <c r="AB84" s="161">
        <f t="shared" si="33"/>
        <v>2016.75</v>
      </c>
      <c r="AC84" s="161">
        <f t="shared" si="34"/>
        <v>2022.4166666666667</v>
      </c>
      <c r="AD84" s="197">
        <f t="shared" si="35"/>
        <v>2015.75</v>
      </c>
      <c r="AE84" s="197">
        <f t="shared" si="36"/>
        <v>-8.3333333333333329E-2</v>
      </c>
      <c r="AF84" s="197">
        <f t="shared" ref="AF84:AF104" si="41">2021+(($E84-1)/12)</f>
        <v>2021.4166666666667</v>
      </c>
      <c r="AG84" s="181">
        <f t="shared" si="38"/>
        <v>2015.75</v>
      </c>
      <c r="AH84" s="181">
        <f t="shared" si="39"/>
        <v>-8.3333333333333329E-2</v>
      </c>
      <c r="AI84" s="156" t="s">
        <v>471</v>
      </c>
      <c r="AJ84" s="205"/>
      <c r="AK84" s="205"/>
      <c r="AL84" s="205"/>
    </row>
    <row r="85" spans="1:38" x14ac:dyDescent="0.25">
      <c r="A85" s="163" t="s">
        <v>552</v>
      </c>
      <c r="B85" s="156" t="s">
        <v>458</v>
      </c>
      <c r="C85" s="207" t="s">
        <v>553</v>
      </c>
      <c r="D85" s="165">
        <v>2015</v>
      </c>
      <c r="E85" s="161">
        <v>6</v>
      </c>
      <c r="F85" s="178">
        <v>0.2</v>
      </c>
      <c r="G85" s="179" t="s">
        <v>452</v>
      </c>
      <c r="H85" s="161">
        <v>7</v>
      </c>
      <c r="I85" s="165">
        <f t="shared" si="20"/>
        <v>2022</v>
      </c>
      <c r="J85" s="204"/>
      <c r="K85" s="204"/>
      <c r="L85" s="208">
        <v>159048.81</v>
      </c>
      <c r="M85" s="204"/>
      <c r="N85" s="161">
        <f t="shared" si="21"/>
        <v>127239.048</v>
      </c>
      <c r="O85" s="161">
        <f t="shared" si="22"/>
        <v>1514.7505714285714</v>
      </c>
      <c r="P85" s="161">
        <f t="shared" si="23"/>
        <v>18177.006857142856</v>
      </c>
      <c r="Q85" s="161">
        <f t="shared" si="24"/>
        <v>0</v>
      </c>
      <c r="R85" s="161">
        <f t="shared" si="25"/>
        <v>18177.006857142856</v>
      </c>
      <c r="S85" s="161">
        <v>1</v>
      </c>
      <c r="T85" s="161">
        <f t="shared" si="26"/>
        <v>18177.006857142856</v>
      </c>
      <c r="U85" s="161">
        <f t="shared" si="27"/>
        <v>24236.009142855764</v>
      </c>
      <c r="V85" s="161">
        <f t="shared" si="28"/>
        <v>24236.009142855764</v>
      </c>
      <c r="W85" s="161">
        <v>1</v>
      </c>
      <c r="X85" s="161">
        <f t="shared" si="29"/>
        <v>24236.009142855764</v>
      </c>
      <c r="Y85" s="161">
        <f t="shared" si="30"/>
        <v>42413.015999998621</v>
      </c>
      <c r="Z85" s="161">
        <f t="shared" si="31"/>
        <v>125724.29742857281</v>
      </c>
      <c r="AA85" s="197">
        <f t="shared" si="40"/>
        <v>2014.4166666666667</v>
      </c>
      <c r="AB85" s="161">
        <f t="shared" si="33"/>
        <v>2016.75</v>
      </c>
      <c r="AC85" s="161">
        <f t="shared" si="34"/>
        <v>2022.4166666666667</v>
      </c>
      <c r="AD85" s="197">
        <f t="shared" si="35"/>
        <v>2015.75</v>
      </c>
      <c r="AE85" s="197">
        <f t="shared" si="36"/>
        <v>-8.3333333333333329E-2</v>
      </c>
      <c r="AF85" s="197">
        <f t="shared" si="41"/>
        <v>2021.4166666666667</v>
      </c>
      <c r="AG85" s="181">
        <f t="shared" si="38"/>
        <v>2015.75</v>
      </c>
      <c r="AH85" s="181">
        <f t="shared" si="39"/>
        <v>-8.3333333333333329E-2</v>
      </c>
      <c r="AI85" s="156" t="s">
        <v>471</v>
      </c>
      <c r="AJ85" s="205"/>
      <c r="AK85" s="205"/>
      <c r="AL85" s="205"/>
    </row>
    <row r="86" spans="1:38" x14ac:dyDescent="0.25">
      <c r="A86" s="163" t="s">
        <v>554</v>
      </c>
      <c r="B86" s="156" t="s">
        <v>458</v>
      </c>
      <c r="C86" s="207" t="s">
        <v>555</v>
      </c>
      <c r="D86" s="165">
        <v>2015</v>
      </c>
      <c r="E86" s="161">
        <v>6</v>
      </c>
      <c r="F86" s="178">
        <v>0.2</v>
      </c>
      <c r="G86" s="179" t="s">
        <v>452</v>
      </c>
      <c r="H86" s="161">
        <v>7</v>
      </c>
      <c r="I86" s="165">
        <f t="shared" si="20"/>
        <v>2022</v>
      </c>
      <c r="J86" s="204"/>
      <c r="K86" s="204"/>
      <c r="L86" s="208">
        <v>168894</v>
      </c>
      <c r="M86" s="204"/>
      <c r="N86" s="161">
        <f t="shared" si="21"/>
        <v>135115.20000000001</v>
      </c>
      <c r="O86" s="161">
        <f t="shared" si="22"/>
        <v>1608.5142857142857</v>
      </c>
      <c r="P86" s="161">
        <f t="shared" si="23"/>
        <v>19302.17142857143</v>
      </c>
      <c r="Q86" s="161">
        <f t="shared" si="24"/>
        <v>0</v>
      </c>
      <c r="R86" s="161">
        <f t="shared" si="25"/>
        <v>19302.17142857143</v>
      </c>
      <c r="S86" s="161">
        <v>1</v>
      </c>
      <c r="T86" s="161">
        <f t="shared" si="26"/>
        <v>19302.17142857143</v>
      </c>
      <c r="U86" s="161">
        <f t="shared" si="27"/>
        <v>25736.228571427109</v>
      </c>
      <c r="V86" s="161">
        <f t="shared" si="28"/>
        <v>25736.228571427109</v>
      </c>
      <c r="W86" s="161">
        <v>1</v>
      </c>
      <c r="X86" s="161">
        <f t="shared" si="29"/>
        <v>25736.228571427109</v>
      </c>
      <c r="Y86" s="161">
        <f t="shared" si="30"/>
        <v>45038.399999998539</v>
      </c>
      <c r="Z86" s="161">
        <f t="shared" si="31"/>
        <v>133506.68571428716</v>
      </c>
      <c r="AA86" s="197">
        <f t="shared" si="40"/>
        <v>2014.4166666666667</v>
      </c>
      <c r="AB86" s="161">
        <f t="shared" si="33"/>
        <v>2016.75</v>
      </c>
      <c r="AC86" s="161">
        <f t="shared" si="34"/>
        <v>2022.4166666666667</v>
      </c>
      <c r="AD86" s="197">
        <f t="shared" si="35"/>
        <v>2015.75</v>
      </c>
      <c r="AE86" s="197">
        <f t="shared" si="36"/>
        <v>-8.3333333333333329E-2</v>
      </c>
      <c r="AF86" s="197">
        <f t="shared" si="41"/>
        <v>2021.4166666666667</v>
      </c>
      <c r="AG86" s="181">
        <f t="shared" si="38"/>
        <v>2015.75</v>
      </c>
      <c r="AH86" s="181">
        <f t="shared" si="39"/>
        <v>-8.3333333333333329E-2</v>
      </c>
      <c r="AI86" s="156" t="s">
        <v>471</v>
      </c>
      <c r="AJ86" s="205"/>
      <c r="AK86" s="205"/>
      <c r="AL86" s="205"/>
    </row>
    <row r="87" spans="1:38" x14ac:dyDescent="0.25">
      <c r="A87" s="163" t="s">
        <v>556</v>
      </c>
      <c r="B87" s="156" t="s">
        <v>458</v>
      </c>
      <c r="C87" s="207" t="s">
        <v>555</v>
      </c>
      <c r="D87" s="165">
        <v>2015</v>
      </c>
      <c r="E87" s="161">
        <v>6</v>
      </c>
      <c r="F87" s="178">
        <v>0.2</v>
      </c>
      <c r="G87" s="179" t="s">
        <v>452</v>
      </c>
      <c r="H87" s="161">
        <v>7</v>
      </c>
      <c r="I87" s="165">
        <f t="shared" si="20"/>
        <v>2022</v>
      </c>
      <c r="J87" s="204"/>
      <c r="K87" s="204"/>
      <c r="L87" s="208">
        <v>159047.72</v>
      </c>
      <c r="M87" s="204"/>
      <c r="N87" s="161">
        <f t="shared" si="21"/>
        <v>127238.17600000001</v>
      </c>
      <c r="O87" s="161">
        <f t="shared" si="22"/>
        <v>1514.7401904761907</v>
      </c>
      <c r="P87" s="161">
        <f t="shared" si="23"/>
        <v>18176.882285714288</v>
      </c>
      <c r="Q87" s="161">
        <f t="shared" si="24"/>
        <v>0</v>
      </c>
      <c r="R87" s="161">
        <f t="shared" si="25"/>
        <v>18176.882285714288</v>
      </c>
      <c r="S87" s="161">
        <v>1</v>
      </c>
      <c r="T87" s="161">
        <f t="shared" si="26"/>
        <v>18176.882285714288</v>
      </c>
      <c r="U87" s="161">
        <f t="shared" si="27"/>
        <v>24235.843047617673</v>
      </c>
      <c r="V87" s="161">
        <f t="shared" si="28"/>
        <v>24235.843047617673</v>
      </c>
      <c r="W87" s="161">
        <v>1</v>
      </c>
      <c r="X87" s="161">
        <f t="shared" si="29"/>
        <v>24235.843047617673</v>
      </c>
      <c r="Y87" s="161">
        <f t="shared" si="30"/>
        <v>42412.72533333196</v>
      </c>
      <c r="Z87" s="161">
        <f t="shared" si="31"/>
        <v>125723.43580952518</v>
      </c>
      <c r="AA87" s="197">
        <f t="shared" si="40"/>
        <v>2014.4166666666667</v>
      </c>
      <c r="AB87" s="161">
        <f t="shared" si="33"/>
        <v>2016.75</v>
      </c>
      <c r="AC87" s="161">
        <f t="shared" si="34"/>
        <v>2022.4166666666667</v>
      </c>
      <c r="AD87" s="197">
        <f t="shared" si="35"/>
        <v>2015.75</v>
      </c>
      <c r="AE87" s="197">
        <f t="shared" si="36"/>
        <v>-8.3333333333333329E-2</v>
      </c>
      <c r="AF87" s="197">
        <f t="shared" si="41"/>
        <v>2021.4166666666667</v>
      </c>
      <c r="AG87" s="181">
        <f t="shared" si="38"/>
        <v>2015.75</v>
      </c>
      <c r="AH87" s="181">
        <f t="shared" si="39"/>
        <v>-8.3333333333333329E-2</v>
      </c>
      <c r="AI87" s="156" t="s">
        <v>471</v>
      </c>
      <c r="AJ87" s="205"/>
      <c r="AK87" s="205"/>
      <c r="AL87" s="205"/>
    </row>
    <row r="88" spans="1:38" x14ac:dyDescent="0.25">
      <c r="A88" s="195" t="s">
        <v>557</v>
      </c>
      <c r="B88" s="163" t="s">
        <v>458</v>
      </c>
      <c r="C88" s="209" t="s">
        <v>558</v>
      </c>
      <c r="D88" s="210">
        <v>2016</v>
      </c>
      <c r="E88" s="199">
        <v>8</v>
      </c>
      <c r="F88" s="211">
        <v>0.2</v>
      </c>
      <c r="G88" s="212" t="s">
        <v>452</v>
      </c>
      <c r="H88" s="199">
        <v>7</v>
      </c>
      <c r="I88" s="210">
        <f>H88+D88</f>
        <v>2023</v>
      </c>
      <c r="J88" s="213"/>
      <c r="K88" s="213"/>
      <c r="L88" s="214">
        <v>21720</v>
      </c>
      <c r="M88" s="213"/>
      <c r="N88" s="199">
        <f>L88-L88*F88</f>
        <v>17376</v>
      </c>
      <c r="O88" s="199">
        <f>N88/H88/12</f>
        <v>206.85714285714286</v>
      </c>
      <c r="P88" s="199">
        <f>IF(M88&gt;0,0,IF((OR((AA88&gt;AB88),(AC88&lt;AD88))),0,IF((AND((AC88&gt;=AD88),(AC88&lt;=AB88))),O88*((AC88-AD88)*12),IF((AND((AD88&lt;=AA88),(AB88&gt;=AA88))),((AB88-AA88)*12)*O88,IF(AC88&gt;AB88,12*O88,0)))))</f>
        <v>2482.2857142857142</v>
      </c>
      <c r="Q88" s="199">
        <f>IF(M88=0,0,IF((AND((AE88&gt;=AD88),(AE88&lt;=AC88))),((AE88-AD88)*12)*O88,0))</f>
        <v>0</v>
      </c>
      <c r="R88" s="199">
        <f>IF(Q88&gt;0,Q88,P88)</f>
        <v>2482.2857142857142</v>
      </c>
      <c r="S88" s="161">
        <v>1</v>
      </c>
      <c r="T88" s="199">
        <f>S88*SUM(P88:Q88)</f>
        <v>2482.2857142857142</v>
      </c>
      <c r="U88" s="199">
        <f>IF(AA88&gt;AB88,0,IF(AC88&lt;AD88,N88,IF((AND((AC88&gt;=AD88),(AC88&lt;=AB88))),(N88-R88),IF((AND((AD88&lt;=AA88),(AB88&gt;=AA88))),0,IF(AC88&gt;AB88,((AD88-AA88)*12)*O88,0)))))</f>
        <v>2896.0000000001883</v>
      </c>
      <c r="V88" s="199">
        <f>U88*S88</f>
        <v>2896.0000000001883</v>
      </c>
      <c r="W88" s="199">
        <v>1</v>
      </c>
      <c r="X88" s="199">
        <f>V88*W88</f>
        <v>2896.0000000001883</v>
      </c>
      <c r="Y88" s="199">
        <f>IF(M88&gt;0,0,X88+T88*W88)*W88</f>
        <v>5378.2857142859029</v>
      </c>
      <c r="Z88" s="199">
        <f>IF(M88&gt;0,(L88-X88)/2,IF(AA88&gt;=AD88,(((L88*S88)*W88)-Y88)/2,((((L88*S88)*W88)-X88)+(((L88*S88)*W88)-Y88))/2))</f>
        <v>17582.857142856956</v>
      </c>
      <c r="AA88" s="215">
        <f t="shared" si="40"/>
        <v>2014.5833333333333</v>
      </c>
      <c r="AB88" s="199">
        <f t="shared" si="33"/>
        <v>2016.75</v>
      </c>
      <c r="AC88" s="199">
        <f t="shared" si="34"/>
        <v>2023.5833333333333</v>
      </c>
      <c r="AD88" s="215">
        <f t="shared" si="35"/>
        <v>2015.75</v>
      </c>
      <c r="AE88" s="215">
        <f t="shared" si="36"/>
        <v>-8.3333333333333329E-2</v>
      </c>
      <c r="AF88" s="215">
        <f t="shared" si="41"/>
        <v>2021.5833333333333</v>
      </c>
      <c r="AG88" s="216">
        <f t="shared" si="38"/>
        <v>2015.75</v>
      </c>
      <c r="AH88" s="216">
        <f t="shared" si="39"/>
        <v>-8.3333333333333329E-2</v>
      </c>
      <c r="AI88" s="163" t="s">
        <v>471</v>
      </c>
      <c r="AJ88" s="217"/>
      <c r="AK88" s="217"/>
      <c r="AL88" s="217"/>
    </row>
    <row r="89" spans="1:38" x14ac:dyDescent="0.25">
      <c r="A89" s="195" t="s">
        <v>559</v>
      </c>
      <c r="B89" s="163" t="s">
        <v>458</v>
      </c>
      <c r="C89" s="209" t="s">
        <v>560</v>
      </c>
      <c r="D89" s="210">
        <v>2014</v>
      </c>
      <c r="E89" s="199">
        <v>11</v>
      </c>
      <c r="F89" s="211">
        <v>0.2</v>
      </c>
      <c r="G89" s="212" t="s">
        <v>452</v>
      </c>
      <c r="H89" s="199">
        <v>7</v>
      </c>
      <c r="I89" s="210">
        <f t="shared" ref="I89:I99" si="42">H89+D89</f>
        <v>2021</v>
      </c>
      <c r="J89" s="213"/>
      <c r="K89" s="213"/>
      <c r="L89" s="214">
        <v>9502.5</v>
      </c>
      <c r="M89" s="213"/>
      <c r="N89" s="199">
        <f t="shared" ref="N89:N104" si="43">L89-L89*F89</f>
        <v>7602</v>
      </c>
      <c r="O89" s="199">
        <f t="shared" ref="O89:O104" si="44">N89/H89/12</f>
        <v>90.5</v>
      </c>
      <c r="P89" s="199">
        <f t="shared" ref="P89:P104" si="45">IF(M89&gt;0,0,IF((OR((AA89&gt;AB89),(AC89&lt;AD89))),0,IF((AND((AC89&gt;=AD89),(AC89&lt;=AB89))),O89*((AC89-AD89)*12),IF((AND((AD89&lt;=AA89),(AB89&gt;=AA89))),((AB89-AA89)*12)*O89,IF(AC89&gt;AB89,12*O89,0)))))</f>
        <v>1086</v>
      </c>
      <c r="Q89" s="199">
        <f t="shared" ref="Q89:Q104" si="46">IF(M89=0,0,IF((AND((AE89&gt;=AD89),(AE89&lt;=AC89))),((AE89-AD89)*12)*O89,0))</f>
        <v>0</v>
      </c>
      <c r="R89" s="199">
        <f t="shared" ref="R89:R104" si="47">IF(Q89&gt;0,Q89,P89)</f>
        <v>1086</v>
      </c>
      <c r="S89" s="161">
        <v>1</v>
      </c>
      <c r="T89" s="199">
        <f t="shared" ref="T89:T104" si="48">S89*SUM(P89:Q89)</f>
        <v>1086</v>
      </c>
      <c r="U89" s="199">
        <f t="shared" ref="U89:U104" si="49">IF(AA89&gt;AB89,0,IF(AC89&lt;AD89,N89,IF((AND((AC89&gt;=AD89),(AC89&lt;=AB89))),(N89-R89),IF((AND((AD89&lt;=AA89),(AB89&gt;=AA89))),0,IF(AC89&gt;AB89,((AD89-AA89)*12)*O89,0)))))</f>
        <v>995.50000000008231</v>
      </c>
      <c r="V89" s="199">
        <f t="shared" ref="V89:V104" si="50">U89*S89</f>
        <v>995.50000000008231</v>
      </c>
      <c r="W89" s="199">
        <v>1</v>
      </c>
      <c r="X89" s="199">
        <f t="shared" ref="X89:X104" si="51">V89*W89</f>
        <v>995.50000000008231</v>
      </c>
      <c r="Y89" s="199">
        <f t="shared" ref="Y89:Y104" si="52">IF(M89&gt;0,0,X89+T89*W89)*W89</f>
        <v>2081.5000000000823</v>
      </c>
      <c r="Z89" s="199">
        <f t="shared" ref="Z89:Z104" si="53">IF(M89&gt;0,(L89-X89)/2,IF(AA89&gt;=AD89,(((L89*S89)*W89)-Y89)/2,((((L89*S89)*W89)-X89)+(((L89*S89)*W89)-Y89))/2))</f>
        <v>7963.9999999999181</v>
      </c>
      <c r="AA89" s="215">
        <f t="shared" si="40"/>
        <v>2014.8333333333333</v>
      </c>
      <c r="AB89" s="199">
        <f t="shared" si="33"/>
        <v>2016.75</v>
      </c>
      <c r="AC89" s="199">
        <f t="shared" si="34"/>
        <v>2021.8333333333333</v>
      </c>
      <c r="AD89" s="215">
        <f t="shared" si="35"/>
        <v>2015.75</v>
      </c>
      <c r="AE89" s="215">
        <f t="shared" si="36"/>
        <v>-8.3333333333333329E-2</v>
      </c>
      <c r="AF89" s="215">
        <f t="shared" si="41"/>
        <v>2021.8333333333333</v>
      </c>
      <c r="AG89" s="216">
        <f t="shared" si="38"/>
        <v>2015.75</v>
      </c>
      <c r="AH89" s="216">
        <f t="shared" si="39"/>
        <v>-8.3333333333333329E-2</v>
      </c>
      <c r="AI89" s="163" t="s">
        <v>471</v>
      </c>
      <c r="AJ89" s="217"/>
      <c r="AK89" s="217"/>
      <c r="AL89" s="217"/>
    </row>
    <row r="90" spans="1:38" x14ac:dyDescent="0.25">
      <c r="A90" s="195" t="s">
        <v>561</v>
      </c>
      <c r="B90" s="163" t="s">
        <v>458</v>
      </c>
      <c r="C90" s="209" t="s">
        <v>562</v>
      </c>
      <c r="D90" s="210">
        <v>2016</v>
      </c>
      <c r="E90" s="199">
        <v>8</v>
      </c>
      <c r="F90" s="211">
        <v>0.2</v>
      </c>
      <c r="G90" s="212" t="s">
        <v>452</v>
      </c>
      <c r="H90" s="199">
        <v>7</v>
      </c>
      <c r="I90" s="210">
        <f t="shared" si="42"/>
        <v>2023</v>
      </c>
      <c r="J90" s="213"/>
      <c r="K90" s="213"/>
      <c r="L90" s="214">
        <v>171750.27</v>
      </c>
      <c r="M90" s="213"/>
      <c r="N90" s="199">
        <f t="shared" si="43"/>
        <v>137400.21599999999</v>
      </c>
      <c r="O90" s="199">
        <f t="shared" si="44"/>
        <v>1635.7168571428572</v>
      </c>
      <c r="P90" s="199">
        <f t="shared" si="45"/>
        <v>3271.4337142872018</v>
      </c>
      <c r="Q90" s="199">
        <f t="shared" si="46"/>
        <v>0</v>
      </c>
      <c r="R90" s="199">
        <f t="shared" si="47"/>
        <v>3271.4337142872018</v>
      </c>
      <c r="S90" s="199">
        <v>1</v>
      </c>
      <c r="T90" s="199">
        <f t="shared" si="48"/>
        <v>3271.4337142872018</v>
      </c>
      <c r="U90" s="199">
        <f t="shared" si="49"/>
        <v>0</v>
      </c>
      <c r="V90" s="199">
        <f t="shared" si="50"/>
        <v>0</v>
      </c>
      <c r="W90" s="199">
        <v>1</v>
      </c>
      <c r="X90" s="199">
        <f t="shared" si="51"/>
        <v>0</v>
      </c>
      <c r="Y90" s="199">
        <f t="shared" si="52"/>
        <v>3271.4337142872018</v>
      </c>
      <c r="Z90" s="199">
        <f t="shared" si="53"/>
        <v>84239.41814285639</v>
      </c>
      <c r="AA90" s="215">
        <f t="shared" ref="AA90:AA99" si="54">$D90+(($E90-1)/12)</f>
        <v>2016.5833333333333</v>
      </c>
      <c r="AB90" s="199">
        <f t="shared" si="33"/>
        <v>2016.75</v>
      </c>
      <c r="AC90" s="199">
        <f t="shared" si="34"/>
        <v>2023.5833333333333</v>
      </c>
      <c r="AD90" s="215">
        <f t="shared" si="35"/>
        <v>2015.75</v>
      </c>
      <c r="AE90" s="215">
        <f t="shared" si="36"/>
        <v>-8.3333333333333329E-2</v>
      </c>
      <c r="AF90" s="215">
        <f t="shared" ref="AF90:AF99" si="55">$I90+(($E90-1)/12)</f>
        <v>2023.5833333333333</v>
      </c>
      <c r="AG90" s="215">
        <f t="shared" si="38"/>
        <v>2015.75</v>
      </c>
      <c r="AH90" s="215">
        <f t="shared" si="39"/>
        <v>-8.3333333333333329E-2</v>
      </c>
      <c r="AI90" s="199" t="s">
        <v>471</v>
      </c>
      <c r="AJ90" s="213"/>
      <c r="AK90" s="213"/>
      <c r="AL90" s="213"/>
    </row>
    <row r="91" spans="1:38" x14ac:dyDescent="0.25">
      <c r="A91" s="195" t="s">
        <v>563</v>
      </c>
      <c r="B91" s="163" t="s">
        <v>458</v>
      </c>
      <c r="C91" s="209" t="s">
        <v>564</v>
      </c>
      <c r="D91" s="210">
        <v>2016</v>
      </c>
      <c r="E91" s="199">
        <v>9</v>
      </c>
      <c r="F91" s="211">
        <v>0.2</v>
      </c>
      <c r="G91" s="212" t="s">
        <v>452</v>
      </c>
      <c r="H91" s="199">
        <v>7</v>
      </c>
      <c r="I91" s="210">
        <f t="shared" si="42"/>
        <v>2023</v>
      </c>
      <c r="J91" s="213"/>
      <c r="K91" s="213"/>
      <c r="L91" s="214">
        <v>171750.27</v>
      </c>
      <c r="M91" s="213"/>
      <c r="N91" s="199">
        <f t="shared" si="43"/>
        <v>137400.21599999999</v>
      </c>
      <c r="O91" s="199">
        <f t="shared" si="44"/>
        <v>1635.7168571428572</v>
      </c>
      <c r="P91" s="199">
        <f t="shared" si="45"/>
        <v>1635.7168571413695</v>
      </c>
      <c r="Q91" s="199">
        <f t="shared" si="46"/>
        <v>0</v>
      </c>
      <c r="R91" s="199">
        <f t="shared" si="47"/>
        <v>1635.7168571413695</v>
      </c>
      <c r="S91" s="199">
        <v>1</v>
      </c>
      <c r="T91" s="199">
        <f t="shared" si="48"/>
        <v>1635.7168571413695</v>
      </c>
      <c r="U91" s="199">
        <f t="shared" si="49"/>
        <v>0</v>
      </c>
      <c r="V91" s="199">
        <f t="shared" si="50"/>
        <v>0</v>
      </c>
      <c r="W91" s="199">
        <v>1</v>
      </c>
      <c r="X91" s="199">
        <f t="shared" si="51"/>
        <v>0</v>
      </c>
      <c r="Y91" s="199">
        <f t="shared" si="52"/>
        <v>1635.7168571413695</v>
      </c>
      <c r="Z91" s="199">
        <f t="shared" si="53"/>
        <v>85057.276571429305</v>
      </c>
      <c r="AA91" s="215">
        <f t="shared" si="54"/>
        <v>2016.6666666666667</v>
      </c>
      <c r="AB91" s="199">
        <f t="shared" si="33"/>
        <v>2016.75</v>
      </c>
      <c r="AC91" s="199">
        <f t="shared" si="34"/>
        <v>2023.6666666666667</v>
      </c>
      <c r="AD91" s="215">
        <f t="shared" si="35"/>
        <v>2015.75</v>
      </c>
      <c r="AE91" s="215">
        <f t="shared" si="36"/>
        <v>-8.3333333333333329E-2</v>
      </c>
      <c r="AF91" s="215">
        <f t="shared" si="55"/>
        <v>2023.6666666666667</v>
      </c>
      <c r="AG91" s="215">
        <f t="shared" si="38"/>
        <v>2015.75</v>
      </c>
      <c r="AH91" s="215">
        <f t="shared" si="39"/>
        <v>-8.3333333333333329E-2</v>
      </c>
      <c r="AI91" s="199" t="s">
        <v>471</v>
      </c>
      <c r="AJ91" s="213"/>
      <c r="AK91" s="213"/>
      <c r="AL91" s="213"/>
    </row>
    <row r="92" spans="1:38" x14ac:dyDescent="0.25">
      <c r="A92" s="195" t="s">
        <v>565</v>
      </c>
      <c r="B92" s="163" t="s">
        <v>458</v>
      </c>
      <c r="C92" s="209" t="s">
        <v>566</v>
      </c>
      <c r="D92" s="210">
        <v>2016</v>
      </c>
      <c r="E92" s="199">
        <v>7</v>
      </c>
      <c r="F92" s="211">
        <v>0.2</v>
      </c>
      <c r="G92" s="212" t="s">
        <v>452</v>
      </c>
      <c r="H92" s="199">
        <v>7</v>
      </c>
      <c r="I92" s="210">
        <f t="shared" si="42"/>
        <v>2023</v>
      </c>
      <c r="J92" s="213"/>
      <c r="K92" s="213"/>
      <c r="L92" s="214">
        <v>171750.27</v>
      </c>
      <c r="M92" s="213"/>
      <c r="N92" s="199">
        <f t="shared" si="43"/>
        <v>137400.21599999999</v>
      </c>
      <c r="O92" s="199">
        <f t="shared" si="44"/>
        <v>1635.7168571428572</v>
      </c>
      <c r="P92" s="199">
        <f t="shared" si="45"/>
        <v>4907.1505714285713</v>
      </c>
      <c r="Q92" s="199">
        <f t="shared" si="46"/>
        <v>0</v>
      </c>
      <c r="R92" s="199">
        <f t="shared" si="47"/>
        <v>4907.1505714285713</v>
      </c>
      <c r="S92" s="199">
        <v>1</v>
      </c>
      <c r="T92" s="199">
        <f t="shared" si="48"/>
        <v>4907.1505714285713</v>
      </c>
      <c r="U92" s="199">
        <f t="shared" si="49"/>
        <v>0</v>
      </c>
      <c r="V92" s="199">
        <f t="shared" si="50"/>
        <v>0</v>
      </c>
      <c r="W92" s="199">
        <v>1</v>
      </c>
      <c r="X92" s="199">
        <f t="shared" si="51"/>
        <v>0</v>
      </c>
      <c r="Y92" s="199">
        <f t="shared" si="52"/>
        <v>4907.1505714285713</v>
      </c>
      <c r="Z92" s="199">
        <f t="shared" si="53"/>
        <v>83421.559714285715</v>
      </c>
      <c r="AA92" s="215">
        <f t="shared" si="54"/>
        <v>2016.5</v>
      </c>
      <c r="AB92" s="199">
        <f t="shared" si="33"/>
        <v>2016.75</v>
      </c>
      <c r="AC92" s="199">
        <f t="shared" si="34"/>
        <v>2023.5</v>
      </c>
      <c r="AD92" s="215">
        <f t="shared" si="35"/>
        <v>2015.75</v>
      </c>
      <c r="AE92" s="215">
        <f t="shared" si="36"/>
        <v>-8.3333333333333329E-2</v>
      </c>
      <c r="AF92" s="215">
        <f t="shared" si="55"/>
        <v>2023.5</v>
      </c>
      <c r="AG92" s="215">
        <f t="shared" si="38"/>
        <v>2015.75</v>
      </c>
      <c r="AH92" s="215">
        <f t="shared" si="39"/>
        <v>-8.3333333333333329E-2</v>
      </c>
      <c r="AI92" s="199" t="s">
        <v>471</v>
      </c>
      <c r="AJ92" s="213"/>
      <c r="AK92" s="213"/>
      <c r="AL92" s="213"/>
    </row>
    <row r="93" spans="1:38" x14ac:dyDescent="0.25">
      <c r="A93" s="195" t="s">
        <v>567</v>
      </c>
      <c r="B93" s="163" t="s">
        <v>458</v>
      </c>
      <c r="C93" s="209" t="s">
        <v>568</v>
      </c>
      <c r="D93" s="210">
        <v>2016</v>
      </c>
      <c r="E93" s="199">
        <v>8</v>
      </c>
      <c r="F93" s="211">
        <v>0.2</v>
      </c>
      <c r="G93" s="212" t="s">
        <v>452</v>
      </c>
      <c r="H93" s="199">
        <v>7</v>
      </c>
      <c r="I93" s="210">
        <f t="shared" si="42"/>
        <v>2023</v>
      </c>
      <c r="J93" s="213"/>
      <c r="K93" s="213"/>
      <c r="L93" s="214">
        <v>222645.2</v>
      </c>
      <c r="M93" s="213"/>
      <c r="N93" s="199">
        <f t="shared" si="43"/>
        <v>178116.16</v>
      </c>
      <c r="O93" s="199">
        <f t="shared" si="44"/>
        <v>2120.4304761904764</v>
      </c>
      <c r="P93" s="199">
        <f t="shared" si="45"/>
        <v>4240.8609523828809</v>
      </c>
      <c r="Q93" s="199">
        <f t="shared" si="46"/>
        <v>0</v>
      </c>
      <c r="R93" s="199">
        <f t="shared" si="47"/>
        <v>4240.8609523828809</v>
      </c>
      <c r="S93" s="199">
        <v>1</v>
      </c>
      <c r="T93" s="199">
        <f t="shared" si="48"/>
        <v>4240.8609523828809</v>
      </c>
      <c r="U93" s="199">
        <f t="shared" si="49"/>
        <v>0</v>
      </c>
      <c r="V93" s="199">
        <f t="shared" si="50"/>
        <v>0</v>
      </c>
      <c r="W93" s="199">
        <v>1</v>
      </c>
      <c r="X93" s="199">
        <f t="shared" si="51"/>
        <v>0</v>
      </c>
      <c r="Y93" s="199">
        <f t="shared" si="52"/>
        <v>4240.8609523828809</v>
      </c>
      <c r="Z93" s="199">
        <f t="shared" si="53"/>
        <v>109202.16952380857</v>
      </c>
      <c r="AA93" s="215">
        <f t="shared" si="54"/>
        <v>2016.5833333333333</v>
      </c>
      <c r="AB93" s="199">
        <f t="shared" si="33"/>
        <v>2016.75</v>
      </c>
      <c r="AC93" s="199">
        <f t="shared" si="34"/>
        <v>2023.5833333333333</v>
      </c>
      <c r="AD93" s="215">
        <f t="shared" si="35"/>
        <v>2015.75</v>
      </c>
      <c r="AE93" s="215">
        <f t="shared" si="36"/>
        <v>-8.3333333333333329E-2</v>
      </c>
      <c r="AF93" s="215">
        <f t="shared" si="55"/>
        <v>2023.5833333333333</v>
      </c>
      <c r="AG93" s="215">
        <f t="shared" si="38"/>
        <v>2015.75</v>
      </c>
      <c r="AH93" s="215">
        <f t="shared" si="39"/>
        <v>-8.3333333333333329E-2</v>
      </c>
      <c r="AI93" s="199" t="s">
        <v>471</v>
      </c>
      <c r="AJ93" s="213"/>
      <c r="AK93" s="213"/>
      <c r="AL93" s="213"/>
    </row>
    <row r="94" spans="1:38" x14ac:dyDescent="0.25">
      <c r="A94" s="195" t="s">
        <v>569</v>
      </c>
      <c r="B94" s="163" t="s">
        <v>458</v>
      </c>
      <c r="C94" s="209" t="s">
        <v>570</v>
      </c>
      <c r="D94" s="210">
        <v>2016</v>
      </c>
      <c r="E94" s="199">
        <v>9</v>
      </c>
      <c r="F94" s="211">
        <v>0.2</v>
      </c>
      <c r="G94" s="212" t="s">
        <v>452</v>
      </c>
      <c r="H94" s="199">
        <v>7</v>
      </c>
      <c r="I94" s="210">
        <f t="shared" si="42"/>
        <v>2023</v>
      </c>
      <c r="J94" s="213"/>
      <c r="K94" s="213"/>
      <c r="L94" s="214">
        <v>222645.2</v>
      </c>
      <c r="M94" s="213"/>
      <c r="N94" s="199">
        <f t="shared" si="43"/>
        <v>178116.16</v>
      </c>
      <c r="O94" s="199">
        <f t="shared" si="44"/>
        <v>2120.4304761904764</v>
      </c>
      <c r="P94" s="199">
        <f t="shared" si="45"/>
        <v>2120.4304761885478</v>
      </c>
      <c r="Q94" s="199">
        <f t="shared" si="46"/>
        <v>0</v>
      </c>
      <c r="R94" s="199">
        <f t="shared" si="47"/>
        <v>2120.4304761885478</v>
      </c>
      <c r="S94" s="199">
        <v>1</v>
      </c>
      <c r="T94" s="199">
        <f t="shared" si="48"/>
        <v>2120.4304761885478</v>
      </c>
      <c r="U94" s="199">
        <f t="shared" si="49"/>
        <v>0</v>
      </c>
      <c r="V94" s="199">
        <f t="shared" si="50"/>
        <v>0</v>
      </c>
      <c r="W94" s="199">
        <v>1</v>
      </c>
      <c r="X94" s="199">
        <f t="shared" si="51"/>
        <v>0</v>
      </c>
      <c r="Y94" s="199">
        <f t="shared" si="52"/>
        <v>2120.4304761885478</v>
      </c>
      <c r="Z94" s="199">
        <f t="shared" si="53"/>
        <v>110262.38476190573</v>
      </c>
      <c r="AA94" s="215">
        <f t="shared" si="54"/>
        <v>2016.6666666666667</v>
      </c>
      <c r="AB94" s="199">
        <f t="shared" si="33"/>
        <v>2016.75</v>
      </c>
      <c r="AC94" s="199">
        <f t="shared" si="34"/>
        <v>2023.6666666666667</v>
      </c>
      <c r="AD94" s="215">
        <f t="shared" si="35"/>
        <v>2015.75</v>
      </c>
      <c r="AE94" s="215">
        <f t="shared" si="36"/>
        <v>-8.3333333333333329E-2</v>
      </c>
      <c r="AF94" s="215">
        <f t="shared" si="55"/>
        <v>2023.6666666666667</v>
      </c>
      <c r="AG94" s="215">
        <f t="shared" si="38"/>
        <v>2015.75</v>
      </c>
      <c r="AH94" s="215">
        <f t="shared" si="39"/>
        <v>-8.3333333333333329E-2</v>
      </c>
      <c r="AI94" s="199" t="s">
        <v>471</v>
      </c>
      <c r="AJ94" s="213"/>
      <c r="AK94" s="213"/>
      <c r="AL94" s="213"/>
    </row>
    <row r="95" spans="1:38" x14ac:dyDescent="0.25">
      <c r="A95" s="195" t="s">
        <v>571</v>
      </c>
      <c r="B95" s="163" t="s">
        <v>458</v>
      </c>
      <c r="C95" s="209" t="s">
        <v>572</v>
      </c>
      <c r="D95" s="210">
        <v>2016</v>
      </c>
      <c r="E95" s="199">
        <v>10</v>
      </c>
      <c r="F95" s="211">
        <v>0.2</v>
      </c>
      <c r="G95" s="212" t="s">
        <v>452</v>
      </c>
      <c r="H95" s="199">
        <v>7</v>
      </c>
      <c r="I95" s="210">
        <f t="shared" si="42"/>
        <v>2023</v>
      </c>
      <c r="J95" s="213"/>
      <c r="K95" s="213"/>
      <c r="L95" s="214">
        <v>222645.2</v>
      </c>
      <c r="M95" s="213"/>
      <c r="N95" s="199">
        <f t="shared" si="43"/>
        <v>178116.16</v>
      </c>
      <c r="O95" s="199">
        <f t="shared" si="44"/>
        <v>2120.4304761904764</v>
      </c>
      <c r="P95" s="199">
        <f t="shared" si="45"/>
        <v>0</v>
      </c>
      <c r="Q95" s="199">
        <f t="shared" si="46"/>
        <v>0</v>
      </c>
      <c r="R95" s="199">
        <f t="shared" si="47"/>
        <v>0</v>
      </c>
      <c r="S95" s="199">
        <v>1</v>
      </c>
      <c r="T95" s="199">
        <f t="shared" si="48"/>
        <v>0</v>
      </c>
      <c r="U95" s="199">
        <f t="shared" si="49"/>
        <v>0</v>
      </c>
      <c r="V95" s="199">
        <f t="shared" si="50"/>
        <v>0</v>
      </c>
      <c r="W95" s="199">
        <v>1</v>
      </c>
      <c r="X95" s="199">
        <f t="shared" si="51"/>
        <v>0</v>
      </c>
      <c r="Y95" s="199">
        <f t="shared" si="52"/>
        <v>0</v>
      </c>
      <c r="Z95" s="199">
        <f t="shared" si="53"/>
        <v>111322.6</v>
      </c>
      <c r="AA95" s="215">
        <f t="shared" si="54"/>
        <v>2016.75</v>
      </c>
      <c r="AB95" s="199">
        <f t="shared" si="33"/>
        <v>2016.75</v>
      </c>
      <c r="AC95" s="199">
        <f t="shared" si="34"/>
        <v>2023.75</v>
      </c>
      <c r="AD95" s="215">
        <f t="shared" si="35"/>
        <v>2015.75</v>
      </c>
      <c r="AE95" s="215">
        <f t="shared" si="36"/>
        <v>-8.3333333333333329E-2</v>
      </c>
      <c r="AF95" s="215">
        <f t="shared" si="55"/>
        <v>2023.75</v>
      </c>
      <c r="AG95" s="215">
        <f t="shared" si="38"/>
        <v>2015.75</v>
      </c>
      <c r="AH95" s="215">
        <f t="shared" si="39"/>
        <v>-8.3333333333333329E-2</v>
      </c>
      <c r="AI95" s="199" t="s">
        <v>471</v>
      </c>
      <c r="AJ95" s="213"/>
      <c r="AK95" s="213"/>
      <c r="AL95" s="213"/>
    </row>
    <row r="96" spans="1:38" x14ac:dyDescent="0.25">
      <c r="A96" s="195" t="s">
        <v>573</v>
      </c>
      <c r="B96" s="163" t="s">
        <v>458</v>
      </c>
      <c r="C96" s="209" t="s">
        <v>574</v>
      </c>
      <c r="D96" s="210">
        <v>2016</v>
      </c>
      <c r="E96" s="199">
        <v>1</v>
      </c>
      <c r="F96" s="211">
        <v>0.2</v>
      </c>
      <c r="G96" s="212" t="s">
        <v>452</v>
      </c>
      <c r="H96" s="199">
        <v>7</v>
      </c>
      <c r="I96" s="210">
        <f t="shared" si="42"/>
        <v>2023</v>
      </c>
      <c r="J96" s="213"/>
      <c r="K96" s="213"/>
      <c r="L96" s="214">
        <v>164757.59</v>
      </c>
      <c r="M96" s="213"/>
      <c r="N96" s="199">
        <f t="shared" si="43"/>
        <v>131806.07199999999</v>
      </c>
      <c r="O96" s="199">
        <f t="shared" si="44"/>
        <v>1569.1199047619045</v>
      </c>
      <c r="P96" s="199">
        <f t="shared" si="45"/>
        <v>14122.079142857141</v>
      </c>
      <c r="Q96" s="199">
        <f t="shared" si="46"/>
        <v>0</v>
      </c>
      <c r="R96" s="199">
        <f t="shared" si="47"/>
        <v>14122.079142857141</v>
      </c>
      <c r="S96" s="199">
        <v>1</v>
      </c>
      <c r="T96" s="199">
        <f t="shared" si="48"/>
        <v>14122.079142857141</v>
      </c>
      <c r="U96" s="199">
        <f t="shared" si="49"/>
        <v>0</v>
      </c>
      <c r="V96" s="199">
        <f t="shared" si="50"/>
        <v>0</v>
      </c>
      <c r="W96" s="199">
        <v>1</v>
      </c>
      <c r="X96" s="199">
        <f t="shared" si="51"/>
        <v>0</v>
      </c>
      <c r="Y96" s="199">
        <f t="shared" si="52"/>
        <v>14122.079142857141</v>
      </c>
      <c r="Z96" s="199">
        <f t="shared" si="53"/>
        <v>75317.755428571429</v>
      </c>
      <c r="AA96" s="215">
        <f t="shared" si="54"/>
        <v>2016</v>
      </c>
      <c r="AB96" s="199">
        <f t="shared" si="33"/>
        <v>2016.75</v>
      </c>
      <c r="AC96" s="199">
        <f t="shared" si="34"/>
        <v>2023</v>
      </c>
      <c r="AD96" s="215">
        <f t="shared" si="35"/>
        <v>2015.75</v>
      </c>
      <c r="AE96" s="215">
        <f t="shared" si="36"/>
        <v>-8.3333333333333329E-2</v>
      </c>
      <c r="AF96" s="215">
        <f t="shared" si="55"/>
        <v>2023</v>
      </c>
      <c r="AG96" s="215">
        <f t="shared" si="38"/>
        <v>2015.75</v>
      </c>
      <c r="AH96" s="215">
        <f t="shared" si="39"/>
        <v>-8.3333333333333329E-2</v>
      </c>
      <c r="AI96" s="199" t="s">
        <v>471</v>
      </c>
      <c r="AJ96" s="213"/>
      <c r="AK96" s="213"/>
      <c r="AL96" s="213"/>
    </row>
    <row r="97" spans="1:38" x14ac:dyDescent="0.25">
      <c r="A97" s="195" t="s">
        <v>575</v>
      </c>
      <c r="B97" s="163" t="s">
        <v>458</v>
      </c>
      <c r="C97" s="209" t="s">
        <v>576</v>
      </c>
      <c r="D97" s="210">
        <v>2016</v>
      </c>
      <c r="E97" s="199">
        <v>1</v>
      </c>
      <c r="F97" s="211">
        <v>0.2</v>
      </c>
      <c r="G97" s="212" t="s">
        <v>452</v>
      </c>
      <c r="H97" s="199">
        <v>7</v>
      </c>
      <c r="I97" s="210">
        <f t="shared" si="42"/>
        <v>2023</v>
      </c>
      <c r="J97" s="213"/>
      <c r="K97" s="213"/>
      <c r="L97" s="214">
        <v>99773.32</v>
      </c>
      <c r="M97" s="213"/>
      <c r="N97" s="199">
        <f t="shared" si="43"/>
        <v>79818.656000000003</v>
      </c>
      <c r="O97" s="199">
        <f t="shared" si="44"/>
        <v>950.22209523809533</v>
      </c>
      <c r="P97" s="199">
        <f t="shared" si="45"/>
        <v>8551.9988571428585</v>
      </c>
      <c r="Q97" s="199">
        <f t="shared" si="46"/>
        <v>0</v>
      </c>
      <c r="R97" s="199">
        <f t="shared" si="47"/>
        <v>8551.9988571428585</v>
      </c>
      <c r="S97" s="199">
        <v>1</v>
      </c>
      <c r="T97" s="199">
        <f t="shared" si="48"/>
        <v>8551.9988571428585</v>
      </c>
      <c r="U97" s="199">
        <f t="shared" si="49"/>
        <v>0</v>
      </c>
      <c r="V97" s="199">
        <f t="shared" si="50"/>
        <v>0</v>
      </c>
      <c r="W97" s="199">
        <v>1</v>
      </c>
      <c r="X97" s="199">
        <f t="shared" si="51"/>
        <v>0</v>
      </c>
      <c r="Y97" s="199">
        <f t="shared" si="52"/>
        <v>8551.9988571428585</v>
      </c>
      <c r="Z97" s="199">
        <f t="shared" si="53"/>
        <v>45610.660571428576</v>
      </c>
      <c r="AA97" s="215">
        <f t="shared" si="54"/>
        <v>2016</v>
      </c>
      <c r="AB97" s="199">
        <f t="shared" si="33"/>
        <v>2016.75</v>
      </c>
      <c r="AC97" s="199">
        <f t="shared" si="34"/>
        <v>2023</v>
      </c>
      <c r="AD97" s="215">
        <f t="shared" si="35"/>
        <v>2015.75</v>
      </c>
      <c r="AE97" s="215">
        <f t="shared" si="36"/>
        <v>-8.3333333333333329E-2</v>
      </c>
      <c r="AF97" s="215">
        <f t="shared" si="55"/>
        <v>2023</v>
      </c>
      <c r="AG97" s="215">
        <f t="shared" si="38"/>
        <v>2015.75</v>
      </c>
      <c r="AH97" s="215">
        <f t="shared" si="39"/>
        <v>-8.3333333333333329E-2</v>
      </c>
      <c r="AI97" s="199" t="s">
        <v>471</v>
      </c>
      <c r="AJ97" s="213"/>
      <c r="AK97" s="213"/>
      <c r="AL97" s="213"/>
    </row>
    <row r="98" spans="1:38" x14ac:dyDescent="0.25">
      <c r="A98" s="195" t="s">
        <v>577</v>
      </c>
      <c r="B98" s="163" t="s">
        <v>458</v>
      </c>
      <c r="C98" s="209" t="s">
        <v>578</v>
      </c>
      <c r="D98" s="210">
        <v>2016</v>
      </c>
      <c r="E98" s="199">
        <v>2</v>
      </c>
      <c r="F98" s="211">
        <v>0.2</v>
      </c>
      <c r="G98" s="212" t="s">
        <v>452</v>
      </c>
      <c r="H98" s="199">
        <v>7</v>
      </c>
      <c r="I98" s="210">
        <f t="shared" si="42"/>
        <v>2023</v>
      </c>
      <c r="J98" s="213"/>
      <c r="K98" s="213"/>
      <c r="L98" s="214">
        <v>163568.63</v>
      </c>
      <c r="M98" s="213"/>
      <c r="N98" s="199">
        <f t="shared" si="43"/>
        <v>130854.90400000001</v>
      </c>
      <c r="O98" s="199">
        <f t="shared" si="44"/>
        <v>1557.7964761904761</v>
      </c>
      <c r="P98" s="199">
        <f t="shared" si="45"/>
        <v>12462.371809525226</v>
      </c>
      <c r="Q98" s="199">
        <f t="shared" si="46"/>
        <v>0</v>
      </c>
      <c r="R98" s="199">
        <f t="shared" si="47"/>
        <v>12462.371809525226</v>
      </c>
      <c r="S98" s="199">
        <v>1</v>
      </c>
      <c r="T98" s="199">
        <f t="shared" si="48"/>
        <v>12462.371809525226</v>
      </c>
      <c r="U98" s="199">
        <f t="shared" si="49"/>
        <v>0</v>
      </c>
      <c r="V98" s="199">
        <f t="shared" si="50"/>
        <v>0</v>
      </c>
      <c r="W98" s="199">
        <v>1</v>
      </c>
      <c r="X98" s="199">
        <f t="shared" si="51"/>
        <v>0</v>
      </c>
      <c r="Y98" s="199">
        <f t="shared" si="52"/>
        <v>12462.371809525226</v>
      </c>
      <c r="Z98" s="199">
        <f t="shared" si="53"/>
        <v>75553.129095237382</v>
      </c>
      <c r="AA98" s="215">
        <f t="shared" si="54"/>
        <v>2016.0833333333333</v>
      </c>
      <c r="AB98" s="199">
        <f t="shared" si="33"/>
        <v>2016.75</v>
      </c>
      <c r="AC98" s="199">
        <f t="shared" si="34"/>
        <v>2023.0833333333333</v>
      </c>
      <c r="AD98" s="215">
        <f t="shared" si="35"/>
        <v>2015.75</v>
      </c>
      <c r="AE98" s="215">
        <f t="shared" si="36"/>
        <v>-8.3333333333333329E-2</v>
      </c>
      <c r="AF98" s="215">
        <f t="shared" si="55"/>
        <v>2023.0833333333333</v>
      </c>
      <c r="AG98" s="215">
        <f t="shared" si="38"/>
        <v>2015.75</v>
      </c>
      <c r="AH98" s="215">
        <f t="shared" si="39"/>
        <v>-8.3333333333333329E-2</v>
      </c>
      <c r="AI98" s="199" t="s">
        <v>471</v>
      </c>
      <c r="AJ98" s="213"/>
      <c r="AK98" s="213"/>
      <c r="AL98" s="213"/>
    </row>
    <row r="99" spans="1:38" x14ac:dyDescent="0.25">
      <c r="A99" s="195" t="s">
        <v>579</v>
      </c>
      <c r="B99" s="163" t="s">
        <v>458</v>
      </c>
      <c r="C99" s="209" t="s">
        <v>580</v>
      </c>
      <c r="D99" s="210">
        <v>2016</v>
      </c>
      <c r="E99" s="199">
        <v>2</v>
      </c>
      <c r="F99" s="211">
        <v>0.2</v>
      </c>
      <c r="G99" s="212" t="s">
        <v>452</v>
      </c>
      <c r="H99" s="199">
        <v>7</v>
      </c>
      <c r="I99" s="210">
        <f t="shared" si="42"/>
        <v>2023</v>
      </c>
      <c r="J99" s="213"/>
      <c r="K99" s="213"/>
      <c r="L99" s="214">
        <v>99773.32</v>
      </c>
      <c r="M99" s="213"/>
      <c r="N99" s="199">
        <f t="shared" si="43"/>
        <v>79818.656000000003</v>
      </c>
      <c r="O99" s="199">
        <f t="shared" si="44"/>
        <v>950.22209523809533</v>
      </c>
      <c r="P99" s="199">
        <f t="shared" si="45"/>
        <v>7601.7767619056267</v>
      </c>
      <c r="Q99" s="199">
        <f t="shared" si="46"/>
        <v>0</v>
      </c>
      <c r="R99" s="199">
        <f t="shared" si="47"/>
        <v>7601.7767619056267</v>
      </c>
      <c r="S99" s="199">
        <v>1</v>
      </c>
      <c r="T99" s="199">
        <f t="shared" si="48"/>
        <v>7601.7767619056267</v>
      </c>
      <c r="U99" s="199">
        <f t="shared" si="49"/>
        <v>0</v>
      </c>
      <c r="V99" s="199">
        <f t="shared" si="50"/>
        <v>0</v>
      </c>
      <c r="W99" s="199">
        <v>1</v>
      </c>
      <c r="X99" s="199">
        <f t="shared" si="51"/>
        <v>0</v>
      </c>
      <c r="Y99" s="199">
        <f t="shared" si="52"/>
        <v>7601.7767619056267</v>
      </c>
      <c r="Z99" s="199">
        <f t="shared" si="53"/>
        <v>46085.771619047191</v>
      </c>
      <c r="AA99" s="215">
        <f t="shared" si="54"/>
        <v>2016.0833333333333</v>
      </c>
      <c r="AB99" s="199">
        <f t="shared" si="33"/>
        <v>2016.75</v>
      </c>
      <c r="AC99" s="199">
        <f t="shared" si="34"/>
        <v>2023.0833333333333</v>
      </c>
      <c r="AD99" s="215">
        <f t="shared" si="35"/>
        <v>2015.75</v>
      </c>
      <c r="AE99" s="215">
        <f t="shared" si="36"/>
        <v>-8.3333333333333329E-2</v>
      </c>
      <c r="AF99" s="215">
        <f t="shared" si="55"/>
        <v>2023.0833333333333</v>
      </c>
      <c r="AG99" s="215">
        <f t="shared" si="38"/>
        <v>2015.75</v>
      </c>
      <c r="AH99" s="215">
        <f t="shared" si="39"/>
        <v>-8.3333333333333329E-2</v>
      </c>
      <c r="AI99" s="199" t="s">
        <v>471</v>
      </c>
      <c r="AJ99" s="213"/>
      <c r="AK99" s="213"/>
      <c r="AL99" s="213"/>
    </row>
    <row r="100" spans="1:38" x14ac:dyDescent="0.25">
      <c r="A100" s="200" t="s">
        <v>581</v>
      </c>
      <c r="B100" s="199" t="s">
        <v>458</v>
      </c>
      <c r="C100" s="312" t="s">
        <v>582</v>
      </c>
      <c r="D100" s="210">
        <v>2001</v>
      </c>
      <c r="E100" s="199">
        <v>1</v>
      </c>
      <c r="F100" s="211">
        <v>0.2</v>
      </c>
      <c r="G100" s="212" t="s">
        <v>452</v>
      </c>
      <c r="H100" s="199">
        <v>7</v>
      </c>
      <c r="I100" s="210">
        <f>H100+D100</f>
        <v>2008</v>
      </c>
      <c r="J100" s="213"/>
      <c r="K100" s="213"/>
      <c r="L100" s="313">
        <v>215064.02</v>
      </c>
      <c r="M100" s="213"/>
      <c r="N100" s="199">
        <f t="shared" si="43"/>
        <v>172051.21599999999</v>
      </c>
      <c r="O100" s="199">
        <f t="shared" si="44"/>
        <v>2048.2287619047615</v>
      </c>
      <c r="P100" s="199">
        <f t="shared" si="45"/>
        <v>0</v>
      </c>
      <c r="Q100" s="199">
        <f t="shared" si="46"/>
        <v>0</v>
      </c>
      <c r="R100" s="199">
        <f t="shared" si="47"/>
        <v>0</v>
      </c>
      <c r="S100" s="161">
        <v>1</v>
      </c>
      <c r="T100" s="199">
        <f t="shared" si="48"/>
        <v>0</v>
      </c>
      <c r="U100" s="199">
        <f t="shared" si="49"/>
        <v>172051.21599999999</v>
      </c>
      <c r="V100" s="199">
        <f t="shared" si="50"/>
        <v>172051.21599999999</v>
      </c>
      <c r="W100" s="199">
        <v>1</v>
      </c>
      <c r="X100" s="199">
        <f t="shared" si="51"/>
        <v>172051.21599999999</v>
      </c>
      <c r="Y100" s="199">
        <f t="shared" si="52"/>
        <v>172051.21599999999</v>
      </c>
      <c r="Z100" s="199">
        <f t="shared" si="53"/>
        <v>43012.804000000004</v>
      </c>
      <c r="AA100" s="215">
        <f t="shared" si="40"/>
        <v>2014</v>
      </c>
      <c r="AB100" s="199">
        <f t="shared" si="33"/>
        <v>2016.75</v>
      </c>
      <c r="AC100" s="199">
        <f t="shared" si="34"/>
        <v>2008</v>
      </c>
      <c r="AD100" s="215">
        <f t="shared" si="35"/>
        <v>2015.75</v>
      </c>
      <c r="AE100" s="215">
        <f t="shared" si="36"/>
        <v>-8.3333333333333329E-2</v>
      </c>
      <c r="AF100" s="215">
        <f t="shared" si="41"/>
        <v>2021</v>
      </c>
      <c r="AG100" s="215">
        <f t="shared" si="38"/>
        <v>2015.75</v>
      </c>
      <c r="AH100" s="215">
        <f t="shared" si="39"/>
        <v>-8.3333333333333329E-2</v>
      </c>
      <c r="AI100" s="199" t="s">
        <v>471</v>
      </c>
      <c r="AJ100" s="213"/>
      <c r="AK100" s="213"/>
      <c r="AL100" s="213"/>
    </row>
    <row r="101" spans="1:38" x14ac:dyDescent="0.25">
      <c r="A101" s="236">
        <v>205</v>
      </c>
      <c r="B101" s="199" t="s">
        <v>458</v>
      </c>
      <c r="C101" s="312" t="s">
        <v>583</v>
      </c>
      <c r="D101" s="210">
        <v>2001</v>
      </c>
      <c r="E101" s="199">
        <v>1</v>
      </c>
      <c r="F101" s="211">
        <v>0.2</v>
      </c>
      <c r="G101" s="212" t="s">
        <v>452</v>
      </c>
      <c r="H101" s="199">
        <v>7</v>
      </c>
      <c r="I101" s="210">
        <f>H101+D101</f>
        <v>2008</v>
      </c>
      <c r="J101" s="213"/>
      <c r="K101" s="213"/>
      <c r="L101" s="314">
        <v>96732.36</v>
      </c>
      <c r="M101" s="213"/>
      <c r="N101" s="199">
        <f t="shared" si="43"/>
        <v>77385.888000000006</v>
      </c>
      <c r="O101" s="199">
        <f t="shared" si="44"/>
        <v>921.26057142857144</v>
      </c>
      <c r="P101" s="199">
        <f t="shared" si="45"/>
        <v>0</v>
      </c>
      <c r="Q101" s="199">
        <f t="shared" si="46"/>
        <v>0</v>
      </c>
      <c r="R101" s="199">
        <f t="shared" si="47"/>
        <v>0</v>
      </c>
      <c r="S101" s="161">
        <v>1</v>
      </c>
      <c r="T101" s="199">
        <f t="shared" si="48"/>
        <v>0</v>
      </c>
      <c r="U101" s="199">
        <f t="shared" si="49"/>
        <v>77385.888000000006</v>
      </c>
      <c r="V101" s="199">
        <f t="shared" si="50"/>
        <v>77385.888000000006</v>
      </c>
      <c r="W101" s="199">
        <v>1</v>
      </c>
      <c r="X101" s="199">
        <f t="shared" si="51"/>
        <v>77385.888000000006</v>
      </c>
      <c r="Y101" s="199">
        <f t="shared" si="52"/>
        <v>77385.888000000006</v>
      </c>
      <c r="Z101" s="199">
        <f t="shared" si="53"/>
        <v>19346.471999999994</v>
      </c>
      <c r="AA101" s="215">
        <f t="shared" si="40"/>
        <v>2014</v>
      </c>
      <c r="AB101" s="199">
        <f t="shared" si="33"/>
        <v>2016.75</v>
      </c>
      <c r="AC101" s="199">
        <f t="shared" si="34"/>
        <v>2008</v>
      </c>
      <c r="AD101" s="215">
        <f t="shared" si="35"/>
        <v>2015.75</v>
      </c>
      <c r="AE101" s="215">
        <f t="shared" si="36"/>
        <v>-8.3333333333333329E-2</v>
      </c>
      <c r="AF101" s="215">
        <f t="shared" si="41"/>
        <v>2021</v>
      </c>
      <c r="AG101" s="215">
        <f t="shared" si="38"/>
        <v>2015.75</v>
      </c>
      <c r="AH101" s="215">
        <f t="shared" si="39"/>
        <v>-8.3333333333333329E-2</v>
      </c>
      <c r="AI101" s="199" t="s">
        <v>471</v>
      </c>
      <c r="AJ101" s="213"/>
      <c r="AK101" s="213"/>
      <c r="AL101" s="213"/>
    </row>
    <row r="102" spans="1:38" x14ac:dyDescent="0.25">
      <c r="A102" s="236">
        <v>151</v>
      </c>
      <c r="B102" s="199" t="s">
        <v>458</v>
      </c>
      <c r="C102" s="312" t="s">
        <v>584</v>
      </c>
      <c r="D102" s="210">
        <v>2001</v>
      </c>
      <c r="E102" s="199">
        <v>1</v>
      </c>
      <c r="F102" s="211">
        <v>0.2</v>
      </c>
      <c r="G102" s="212" t="s">
        <v>452</v>
      </c>
      <c r="H102" s="199">
        <v>7</v>
      </c>
      <c r="I102" s="210">
        <f>H102+D102</f>
        <v>2008</v>
      </c>
      <c r="J102" s="213"/>
      <c r="K102" s="213"/>
      <c r="L102" s="314">
        <v>106898.56</v>
      </c>
      <c r="M102" s="213"/>
      <c r="N102" s="199">
        <f t="shared" si="43"/>
        <v>85518.847999999998</v>
      </c>
      <c r="O102" s="199">
        <f t="shared" si="44"/>
        <v>1018.0815238095238</v>
      </c>
      <c r="P102" s="199">
        <f t="shared" si="45"/>
        <v>0</v>
      </c>
      <c r="Q102" s="199">
        <f t="shared" si="46"/>
        <v>0</v>
      </c>
      <c r="R102" s="199">
        <f t="shared" si="47"/>
        <v>0</v>
      </c>
      <c r="S102" s="161">
        <v>1</v>
      </c>
      <c r="T102" s="199">
        <f t="shared" si="48"/>
        <v>0</v>
      </c>
      <c r="U102" s="199">
        <f t="shared" si="49"/>
        <v>85518.847999999998</v>
      </c>
      <c r="V102" s="199">
        <f t="shared" si="50"/>
        <v>85518.847999999998</v>
      </c>
      <c r="W102" s="199">
        <v>1</v>
      </c>
      <c r="X102" s="199">
        <f t="shared" si="51"/>
        <v>85518.847999999998</v>
      </c>
      <c r="Y102" s="199">
        <f t="shared" si="52"/>
        <v>85518.847999999998</v>
      </c>
      <c r="Z102" s="199">
        <f t="shared" si="53"/>
        <v>21379.712</v>
      </c>
      <c r="AA102" s="215">
        <f t="shared" si="40"/>
        <v>2014</v>
      </c>
      <c r="AB102" s="199">
        <f t="shared" si="33"/>
        <v>2016.75</v>
      </c>
      <c r="AC102" s="199">
        <f t="shared" si="34"/>
        <v>2008</v>
      </c>
      <c r="AD102" s="215">
        <f t="shared" si="35"/>
        <v>2015.75</v>
      </c>
      <c r="AE102" s="215">
        <f t="shared" si="36"/>
        <v>-8.3333333333333329E-2</v>
      </c>
      <c r="AF102" s="215">
        <f t="shared" si="41"/>
        <v>2021</v>
      </c>
      <c r="AG102" s="215">
        <f t="shared" si="38"/>
        <v>2015.75</v>
      </c>
      <c r="AH102" s="215">
        <f t="shared" si="39"/>
        <v>-8.3333333333333329E-2</v>
      </c>
      <c r="AI102" s="199" t="s">
        <v>471</v>
      </c>
      <c r="AJ102" s="213"/>
      <c r="AK102" s="213"/>
      <c r="AL102" s="213"/>
    </row>
    <row r="103" spans="1:38" x14ac:dyDescent="0.25">
      <c r="A103" s="236">
        <v>153</v>
      </c>
      <c r="B103" s="199" t="s">
        <v>458</v>
      </c>
      <c r="C103" s="312" t="s">
        <v>585</v>
      </c>
      <c r="D103" s="210">
        <v>2001</v>
      </c>
      <c r="E103" s="199">
        <v>1</v>
      </c>
      <c r="F103" s="211">
        <v>0.2</v>
      </c>
      <c r="G103" s="212" t="s">
        <v>452</v>
      </c>
      <c r="H103" s="199">
        <v>7</v>
      </c>
      <c r="I103" s="210">
        <f>H103+D103</f>
        <v>2008</v>
      </c>
      <c r="J103" s="213"/>
      <c r="K103" s="213"/>
      <c r="L103" s="314">
        <v>110378.61</v>
      </c>
      <c r="M103" s="213"/>
      <c r="N103" s="199">
        <f t="shared" si="43"/>
        <v>88302.888000000006</v>
      </c>
      <c r="O103" s="199">
        <f t="shared" si="44"/>
        <v>1051.2248571428572</v>
      </c>
      <c r="P103" s="199">
        <f t="shared" si="45"/>
        <v>0</v>
      </c>
      <c r="Q103" s="199">
        <f t="shared" si="46"/>
        <v>0</v>
      </c>
      <c r="R103" s="199">
        <f t="shared" si="47"/>
        <v>0</v>
      </c>
      <c r="S103" s="161">
        <v>1</v>
      </c>
      <c r="T103" s="199">
        <f t="shared" si="48"/>
        <v>0</v>
      </c>
      <c r="U103" s="199">
        <f t="shared" si="49"/>
        <v>88302.888000000006</v>
      </c>
      <c r="V103" s="199">
        <f t="shared" si="50"/>
        <v>88302.888000000006</v>
      </c>
      <c r="W103" s="199">
        <v>1</v>
      </c>
      <c r="X103" s="199">
        <f t="shared" si="51"/>
        <v>88302.888000000006</v>
      </c>
      <c r="Y103" s="199">
        <f t="shared" si="52"/>
        <v>88302.888000000006</v>
      </c>
      <c r="Z103" s="199">
        <f t="shared" si="53"/>
        <v>22075.721999999994</v>
      </c>
      <c r="AA103" s="215">
        <f t="shared" si="40"/>
        <v>2014</v>
      </c>
      <c r="AB103" s="199">
        <f t="shared" si="33"/>
        <v>2016.75</v>
      </c>
      <c r="AC103" s="199">
        <f t="shared" si="34"/>
        <v>2008</v>
      </c>
      <c r="AD103" s="215">
        <f t="shared" si="35"/>
        <v>2015.75</v>
      </c>
      <c r="AE103" s="215">
        <f t="shared" si="36"/>
        <v>-8.3333333333333329E-2</v>
      </c>
      <c r="AF103" s="215">
        <f t="shared" si="41"/>
        <v>2021</v>
      </c>
      <c r="AG103" s="215">
        <f t="shared" si="38"/>
        <v>2015.75</v>
      </c>
      <c r="AH103" s="215">
        <f t="shared" si="39"/>
        <v>-8.3333333333333329E-2</v>
      </c>
      <c r="AI103" s="199" t="s">
        <v>471</v>
      </c>
      <c r="AJ103" s="213"/>
      <c r="AK103" s="213"/>
      <c r="AL103" s="213"/>
    </row>
    <row r="104" spans="1:38" x14ac:dyDescent="0.25">
      <c r="A104" s="236">
        <v>187</v>
      </c>
      <c r="B104" s="199" t="s">
        <v>458</v>
      </c>
      <c r="C104" s="312" t="s">
        <v>586</v>
      </c>
      <c r="D104" s="210">
        <v>2001</v>
      </c>
      <c r="E104" s="199">
        <v>1</v>
      </c>
      <c r="F104" s="211">
        <v>0.2</v>
      </c>
      <c r="G104" s="212" t="s">
        <v>452</v>
      </c>
      <c r="H104" s="199">
        <v>7</v>
      </c>
      <c r="I104" s="210">
        <f>H104+D104</f>
        <v>2008</v>
      </c>
      <c r="J104" s="213"/>
      <c r="K104" s="213"/>
      <c r="L104" s="314">
        <v>115933.59</v>
      </c>
      <c r="M104" s="213"/>
      <c r="N104" s="199">
        <f t="shared" si="43"/>
        <v>92746.872000000003</v>
      </c>
      <c r="O104" s="199">
        <f t="shared" si="44"/>
        <v>1104.1294285714287</v>
      </c>
      <c r="P104" s="199">
        <f t="shared" si="45"/>
        <v>0</v>
      </c>
      <c r="Q104" s="199">
        <f t="shared" si="46"/>
        <v>0</v>
      </c>
      <c r="R104" s="199">
        <f t="shared" si="47"/>
        <v>0</v>
      </c>
      <c r="S104" s="161">
        <v>1</v>
      </c>
      <c r="T104" s="199">
        <f t="shared" si="48"/>
        <v>0</v>
      </c>
      <c r="U104" s="199">
        <f t="shared" si="49"/>
        <v>92746.872000000003</v>
      </c>
      <c r="V104" s="199">
        <f t="shared" si="50"/>
        <v>92746.872000000003</v>
      </c>
      <c r="W104" s="199">
        <v>1</v>
      </c>
      <c r="X104" s="199">
        <f t="shared" si="51"/>
        <v>92746.872000000003</v>
      </c>
      <c r="Y104" s="199">
        <f t="shared" si="52"/>
        <v>92746.872000000003</v>
      </c>
      <c r="Z104" s="199">
        <f t="shared" si="53"/>
        <v>23186.717999999993</v>
      </c>
      <c r="AA104" s="215">
        <f t="shared" si="40"/>
        <v>2014</v>
      </c>
      <c r="AB104" s="199">
        <f t="shared" si="33"/>
        <v>2016.75</v>
      </c>
      <c r="AC104" s="199">
        <f t="shared" si="34"/>
        <v>2008</v>
      </c>
      <c r="AD104" s="215">
        <f t="shared" si="35"/>
        <v>2015.75</v>
      </c>
      <c r="AE104" s="215">
        <f t="shared" si="36"/>
        <v>-8.3333333333333329E-2</v>
      </c>
      <c r="AF104" s="215">
        <f t="shared" si="41"/>
        <v>2021</v>
      </c>
      <c r="AG104" s="215">
        <f t="shared" si="38"/>
        <v>2015.75</v>
      </c>
      <c r="AH104" s="215">
        <f t="shared" si="39"/>
        <v>-8.3333333333333329E-2</v>
      </c>
      <c r="AI104" s="199" t="s">
        <v>471</v>
      </c>
      <c r="AJ104" s="213"/>
      <c r="AK104" s="213"/>
      <c r="AL104" s="213"/>
    </row>
    <row r="105" spans="1:38" x14ac:dyDescent="0.25">
      <c r="A105" s="163"/>
      <c r="B105" s="156"/>
      <c r="C105" s="162"/>
      <c r="D105" s="182"/>
      <c r="E105" s="161"/>
      <c r="F105" s="183"/>
      <c r="G105" s="166"/>
      <c r="H105" s="156"/>
      <c r="I105" s="182"/>
      <c r="J105" s="156"/>
      <c r="K105" s="156"/>
      <c r="L105" s="160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61"/>
      <c r="AB105" s="161"/>
      <c r="AC105" s="161"/>
      <c r="AD105" s="197"/>
      <c r="AE105" s="197"/>
      <c r="AF105" s="197"/>
      <c r="AG105" s="181"/>
      <c r="AH105" s="181"/>
      <c r="AI105" s="156"/>
      <c r="AJ105" s="156"/>
      <c r="AK105" s="156"/>
      <c r="AL105" s="156"/>
    </row>
    <row r="106" spans="1:38" ht="16.5" thickBot="1" x14ac:dyDescent="0.3">
      <c r="A106" s="163"/>
      <c r="B106" s="156"/>
      <c r="C106" s="156" t="s">
        <v>587</v>
      </c>
      <c r="D106" s="182"/>
      <c r="E106" s="161"/>
      <c r="F106" s="183"/>
      <c r="G106" s="156"/>
      <c r="H106" s="218"/>
      <c r="I106" s="219"/>
      <c r="J106" s="156"/>
      <c r="K106" s="156"/>
      <c r="L106" s="184">
        <f t="shared" ref="L106:Z106" si="56">SUM(L15:L105)</f>
        <v>9221810.959999999</v>
      </c>
      <c r="M106" s="185">
        <f t="shared" si="56"/>
        <v>0</v>
      </c>
      <c r="N106" s="185">
        <f t="shared" si="56"/>
        <v>7377448.7680000039</v>
      </c>
      <c r="O106" s="185">
        <f t="shared" si="56"/>
        <v>87826.77104761904</v>
      </c>
      <c r="P106" s="185">
        <f t="shared" si="56"/>
        <v>553377.65095238597</v>
      </c>
      <c r="Q106" s="185">
        <f t="shared" si="56"/>
        <v>0</v>
      </c>
      <c r="R106" s="185">
        <f t="shared" si="56"/>
        <v>553377.65095238597</v>
      </c>
      <c r="S106" s="185">
        <f t="shared" si="56"/>
        <v>90</v>
      </c>
      <c r="T106" s="185">
        <f t="shared" si="56"/>
        <v>553377.65095238597</v>
      </c>
      <c r="U106" s="185">
        <f t="shared" si="56"/>
        <v>4039046.3328571338</v>
      </c>
      <c r="V106" s="185">
        <f t="shared" si="56"/>
        <v>4039046.3328571338</v>
      </c>
      <c r="W106" s="185">
        <f t="shared" si="56"/>
        <v>90</v>
      </c>
      <c r="X106" s="185">
        <f t="shared" si="56"/>
        <v>4039046.3328571338</v>
      </c>
      <c r="Y106" s="185">
        <f t="shared" si="56"/>
        <v>4592423.9838095205</v>
      </c>
      <c r="Z106" s="185">
        <f t="shared" si="56"/>
        <v>4050546.1666666726</v>
      </c>
      <c r="AA106" s="156"/>
      <c r="AB106" s="156"/>
      <c r="AC106" s="156"/>
      <c r="AD106" s="181"/>
      <c r="AE106" s="181"/>
      <c r="AF106" s="181"/>
      <c r="AG106" s="181"/>
      <c r="AH106" s="181"/>
      <c r="AI106" s="156"/>
      <c r="AJ106" s="156"/>
      <c r="AK106" s="156"/>
      <c r="AL106" s="156"/>
    </row>
    <row r="107" spans="1:38" ht="16.5" thickTop="1" x14ac:dyDescent="0.25">
      <c r="A107" s="163"/>
      <c r="B107" s="156"/>
      <c r="C107" s="156"/>
      <c r="D107" s="182"/>
      <c r="E107" s="161"/>
      <c r="F107" s="183"/>
      <c r="G107" s="156"/>
      <c r="H107" s="218"/>
      <c r="I107" s="219"/>
      <c r="J107" s="156"/>
      <c r="K107" s="156"/>
      <c r="L107" s="188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56"/>
      <c r="AB107" s="156"/>
      <c r="AC107" s="156"/>
      <c r="AD107" s="181"/>
      <c r="AE107" s="181"/>
      <c r="AF107" s="181"/>
      <c r="AG107" s="181"/>
      <c r="AH107" s="181"/>
      <c r="AI107" s="156"/>
      <c r="AJ107" s="156"/>
      <c r="AK107" s="156"/>
      <c r="AL107" s="156"/>
    </row>
    <row r="108" spans="1:38" x14ac:dyDescent="0.25">
      <c r="A108" s="163"/>
      <c r="B108" s="156"/>
      <c r="C108" s="317" t="s">
        <v>588</v>
      </c>
      <c r="D108" s="182"/>
      <c r="E108" s="161"/>
      <c r="F108" s="183"/>
      <c r="G108" s="156"/>
      <c r="H108" s="156"/>
      <c r="I108" s="182"/>
      <c r="J108" s="156"/>
      <c r="K108" s="156"/>
      <c r="L108" s="160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81"/>
      <c r="AE108" s="181"/>
      <c r="AF108" s="181"/>
      <c r="AG108" s="181"/>
      <c r="AH108" s="181"/>
      <c r="AI108" s="156"/>
      <c r="AJ108" s="156"/>
      <c r="AK108" s="156"/>
      <c r="AL108" s="156"/>
    </row>
    <row r="109" spans="1:38" x14ac:dyDescent="0.25">
      <c r="A109" s="163"/>
      <c r="B109" s="156" t="s">
        <v>589</v>
      </c>
      <c r="C109" s="194" t="s">
        <v>590</v>
      </c>
      <c r="D109" s="182">
        <v>2003</v>
      </c>
      <c r="E109" s="161">
        <v>10</v>
      </c>
      <c r="F109" s="183"/>
      <c r="G109" s="166" t="s">
        <v>452</v>
      </c>
      <c r="H109" s="156">
        <v>10</v>
      </c>
      <c r="I109" s="182">
        <f t="shared" ref="I109:I172" si="57">D109+H109</f>
        <v>2013</v>
      </c>
      <c r="J109" s="156"/>
      <c r="K109" s="156"/>
      <c r="L109" s="220">
        <v>3974.47</v>
      </c>
      <c r="M109" s="221"/>
      <c r="N109" s="221">
        <f t="shared" ref="N109:N172" si="58">L109-L109*F109</f>
        <v>3974.47</v>
      </c>
      <c r="O109" s="221">
        <f t="shared" ref="O109:O172" si="59">N109/H109/12</f>
        <v>33.120583333333336</v>
      </c>
      <c r="P109" s="221">
        <f t="shared" ref="P109:P172" si="60">IF(M109&gt;0,0,IF((OR((AA109&gt;AB109),(AC109&lt;AD109))),0,IF((AND((AC109&gt;=AD109),(AC109&lt;=AB109))),O109*((AC109-AD109)*12),IF((AND((AD109&lt;=AA109),(AB109&gt;=AA109))),((AB109-AA109)*12)*O109,IF(AC109&gt;AB109,12*O109,0)))))</f>
        <v>0</v>
      </c>
      <c r="Q109" s="221">
        <f t="shared" ref="Q109:Q172" si="61">IF(M109=0,0,IF((AND((AE109&gt;=AD109),(AE109&lt;=AC109))),((AE109-AD109)*12)*O109,0))</f>
        <v>0</v>
      </c>
      <c r="R109" s="221">
        <f t="shared" ref="R109:R172" si="62">IF(Q109&gt;0,Q109,P109)</f>
        <v>0</v>
      </c>
      <c r="S109" s="221">
        <v>1</v>
      </c>
      <c r="T109" s="221">
        <f t="shared" ref="T109:T172" si="63">S109*SUM(P109:Q109)</f>
        <v>0</v>
      </c>
      <c r="U109" s="221">
        <f t="shared" ref="U109:U172" si="64">IF(AA109&gt;AB109,0,IF(AC109&lt;AD109,N109,IF((AND((AC109&gt;=AD109),(AC109&lt;=AB109))),(N109-R109),IF((AND((AD109&lt;=AA109),(AB109&gt;=AA109))),0,IF(AC109&gt;AB109,((AD109-AA109)*12)*O109,0)))))</f>
        <v>3974.47</v>
      </c>
      <c r="V109" s="221">
        <f t="shared" ref="V109:V172" si="65">U109*S109</f>
        <v>3974.47</v>
      </c>
      <c r="W109" s="221">
        <v>1</v>
      </c>
      <c r="X109" s="221">
        <f t="shared" ref="X109:X172" si="66">V109*W109</f>
        <v>3974.47</v>
      </c>
      <c r="Y109" s="221">
        <f t="shared" ref="Y109:Y172" si="67">IF(M109&gt;0,0,X109+T109*W109)*W109</f>
        <v>3974.47</v>
      </c>
      <c r="Z109" s="221">
        <f t="shared" ref="Z109:Z172" si="68">IF(M109&gt;0,(L109-X109)/2,IF(AA109&gt;=AD109,(((L109*S109)*W109)-Y109)/2,((((L109*S109)*W109)-X109)+(((L109*S109)*W109)-Y109))/2))</f>
        <v>0</v>
      </c>
      <c r="AA109" s="156">
        <f t="shared" ref="AA109:AA172" si="69">$D109+(($E109-1)/12)</f>
        <v>2003.75</v>
      </c>
      <c r="AB109" s="156">
        <f t="shared" ref="AB109:AB172" si="70">($N$5+1)-($N$2/12)</f>
        <v>2016.75</v>
      </c>
      <c r="AC109" s="156">
        <f t="shared" ref="AC109:AC172" si="71">$I109+(($E109-1)/12)</f>
        <v>2013.75</v>
      </c>
      <c r="AD109" s="181">
        <f t="shared" ref="AD109:AD172" si="72">$N$4+($N$3/12)</f>
        <v>2015.75</v>
      </c>
      <c r="AE109" s="181">
        <f t="shared" ref="AE109:AE172" si="73">$J109+(($K109-1)/12)</f>
        <v>-8.3333333333333329E-2</v>
      </c>
      <c r="AF109" s="181">
        <f t="shared" ref="AF109:AF172" si="74">$I109+(($E109-1)/12)</f>
        <v>2013.75</v>
      </c>
      <c r="AG109" s="181">
        <f t="shared" ref="AG109:AG172" si="75">$N$4+($N$3/12)</f>
        <v>2015.75</v>
      </c>
      <c r="AH109" s="181">
        <f t="shared" ref="AH109:AH172" si="76">$J109+(($K109-1)/12)</f>
        <v>-8.3333333333333329E-2</v>
      </c>
      <c r="AI109" s="156"/>
      <c r="AJ109" s="156"/>
      <c r="AK109" s="156"/>
      <c r="AL109" s="156"/>
    </row>
    <row r="110" spans="1:38" x14ac:dyDescent="0.25">
      <c r="A110" s="163"/>
      <c r="B110" s="156" t="s">
        <v>589</v>
      </c>
      <c r="C110" s="194" t="s">
        <v>591</v>
      </c>
      <c r="D110" s="182">
        <v>2004</v>
      </c>
      <c r="E110" s="161">
        <v>1</v>
      </c>
      <c r="F110" s="183"/>
      <c r="G110" s="166" t="s">
        <v>452</v>
      </c>
      <c r="H110" s="156">
        <v>10</v>
      </c>
      <c r="I110" s="182">
        <f t="shared" si="57"/>
        <v>2014</v>
      </c>
      <c r="J110" s="156"/>
      <c r="K110" s="156"/>
      <c r="L110" s="220">
        <v>14810.19</v>
      </c>
      <c r="M110" s="221"/>
      <c r="N110" s="221">
        <f t="shared" si="58"/>
        <v>14810.19</v>
      </c>
      <c r="O110" s="221">
        <f t="shared" si="59"/>
        <v>123.41825</v>
      </c>
      <c r="P110" s="221">
        <f t="shared" si="60"/>
        <v>0</v>
      </c>
      <c r="Q110" s="221">
        <f t="shared" si="61"/>
        <v>0</v>
      </c>
      <c r="R110" s="221">
        <f t="shared" si="62"/>
        <v>0</v>
      </c>
      <c r="S110" s="221">
        <v>1</v>
      </c>
      <c r="T110" s="221">
        <f t="shared" si="63"/>
        <v>0</v>
      </c>
      <c r="U110" s="221">
        <f t="shared" si="64"/>
        <v>14810.19</v>
      </c>
      <c r="V110" s="221">
        <f t="shared" si="65"/>
        <v>14810.19</v>
      </c>
      <c r="W110" s="221">
        <v>1</v>
      </c>
      <c r="X110" s="221">
        <f t="shared" si="66"/>
        <v>14810.19</v>
      </c>
      <c r="Y110" s="221">
        <f t="shared" si="67"/>
        <v>14810.19</v>
      </c>
      <c r="Z110" s="221">
        <f t="shared" si="68"/>
        <v>0</v>
      </c>
      <c r="AA110" s="156">
        <f t="shared" si="69"/>
        <v>2004</v>
      </c>
      <c r="AB110" s="156">
        <f t="shared" si="70"/>
        <v>2016.75</v>
      </c>
      <c r="AC110" s="156">
        <f t="shared" si="71"/>
        <v>2014</v>
      </c>
      <c r="AD110" s="181">
        <f t="shared" si="72"/>
        <v>2015.75</v>
      </c>
      <c r="AE110" s="181">
        <f t="shared" si="73"/>
        <v>-8.3333333333333329E-2</v>
      </c>
      <c r="AF110" s="181">
        <f t="shared" si="74"/>
        <v>2014</v>
      </c>
      <c r="AG110" s="181">
        <f t="shared" si="75"/>
        <v>2015.75</v>
      </c>
      <c r="AH110" s="181">
        <f t="shared" si="76"/>
        <v>-8.3333333333333329E-2</v>
      </c>
      <c r="AI110" s="156"/>
      <c r="AJ110" s="156"/>
      <c r="AK110" s="156"/>
      <c r="AL110" s="156"/>
    </row>
    <row r="111" spans="1:38" x14ac:dyDescent="0.25">
      <c r="A111" s="163"/>
      <c r="B111" s="156" t="s">
        <v>589</v>
      </c>
      <c r="C111" s="194" t="s">
        <v>592</v>
      </c>
      <c r="D111" s="182">
        <v>2004</v>
      </c>
      <c r="E111" s="161">
        <v>1</v>
      </c>
      <c r="F111" s="183"/>
      <c r="G111" s="166" t="s">
        <v>452</v>
      </c>
      <c r="H111" s="156">
        <v>10</v>
      </c>
      <c r="I111" s="182">
        <f t="shared" si="57"/>
        <v>2014</v>
      </c>
      <c r="J111" s="156"/>
      <c r="K111" s="156"/>
      <c r="L111" s="180">
        <v>4760.49</v>
      </c>
      <c r="M111" s="156"/>
      <c r="N111" s="156">
        <f t="shared" si="58"/>
        <v>4760.49</v>
      </c>
      <c r="O111" s="156">
        <f t="shared" si="59"/>
        <v>39.670749999999998</v>
      </c>
      <c r="P111" s="156">
        <f t="shared" si="60"/>
        <v>0</v>
      </c>
      <c r="Q111" s="156">
        <f t="shared" si="61"/>
        <v>0</v>
      </c>
      <c r="R111" s="156">
        <f t="shared" si="62"/>
        <v>0</v>
      </c>
      <c r="S111" s="156">
        <v>1</v>
      </c>
      <c r="T111" s="156">
        <f t="shared" si="63"/>
        <v>0</v>
      </c>
      <c r="U111" s="156">
        <f t="shared" si="64"/>
        <v>4760.49</v>
      </c>
      <c r="V111" s="156">
        <f t="shared" si="65"/>
        <v>4760.49</v>
      </c>
      <c r="W111" s="156">
        <v>1</v>
      </c>
      <c r="X111" s="156">
        <f t="shared" si="66"/>
        <v>4760.49</v>
      </c>
      <c r="Y111" s="156">
        <f t="shared" si="67"/>
        <v>4760.49</v>
      </c>
      <c r="Z111" s="156">
        <f t="shared" si="68"/>
        <v>0</v>
      </c>
      <c r="AA111" s="156">
        <f t="shared" si="69"/>
        <v>2004</v>
      </c>
      <c r="AB111" s="156">
        <f t="shared" si="70"/>
        <v>2016.75</v>
      </c>
      <c r="AC111" s="156">
        <f t="shared" si="71"/>
        <v>2014</v>
      </c>
      <c r="AD111" s="181">
        <f t="shared" si="72"/>
        <v>2015.75</v>
      </c>
      <c r="AE111" s="181">
        <f t="shared" si="73"/>
        <v>-8.3333333333333329E-2</v>
      </c>
      <c r="AF111" s="181">
        <f t="shared" si="74"/>
        <v>2014</v>
      </c>
      <c r="AG111" s="181">
        <f t="shared" si="75"/>
        <v>2015.75</v>
      </c>
      <c r="AH111" s="181">
        <f t="shared" si="76"/>
        <v>-8.3333333333333329E-2</v>
      </c>
      <c r="AI111" s="156"/>
      <c r="AJ111" s="156"/>
      <c r="AK111" s="156"/>
      <c r="AL111" s="156"/>
    </row>
    <row r="112" spans="1:38" x14ac:dyDescent="0.25">
      <c r="A112" s="163"/>
      <c r="B112" s="156" t="s">
        <v>589</v>
      </c>
      <c r="C112" s="194" t="s">
        <v>593</v>
      </c>
      <c r="D112" s="182">
        <v>2004</v>
      </c>
      <c r="E112" s="161">
        <v>1</v>
      </c>
      <c r="F112" s="183"/>
      <c r="G112" s="166" t="s">
        <v>452</v>
      </c>
      <c r="H112" s="156">
        <v>10</v>
      </c>
      <c r="I112" s="182">
        <f t="shared" si="57"/>
        <v>2014</v>
      </c>
      <c r="J112" s="156"/>
      <c r="K112" s="156"/>
      <c r="L112" s="180">
        <v>1662.74</v>
      </c>
      <c r="M112" s="156"/>
      <c r="N112" s="156">
        <f t="shared" si="58"/>
        <v>1662.74</v>
      </c>
      <c r="O112" s="156">
        <f t="shared" si="59"/>
        <v>13.856166666666667</v>
      </c>
      <c r="P112" s="156">
        <f t="shared" si="60"/>
        <v>0</v>
      </c>
      <c r="Q112" s="156">
        <f t="shared" si="61"/>
        <v>0</v>
      </c>
      <c r="R112" s="156">
        <f t="shared" si="62"/>
        <v>0</v>
      </c>
      <c r="S112" s="156">
        <v>1</v>
      </c>
      <c r="T112" s="156">
        <f t="shared" si="63"/>
        <v>0</v>
      </c>
      <c r="U112" s="156">
        <f t="shared" si="64"/>
        <v>1662.74</v>
      </c>
      <c r="V112" s="156">
        <f t="shared" si="65"/>
        <v>1662.74</v>
      </c>
      <c r="W112" s="156">
        <v>1</v>
      </c>
      <c r="X112" s="156">
        <f t="shared" si="66"/>
        <v>1662.74</v>
      </c>
      <c r="Y112" s="156">
        <f t="shared" si="67"/>
        <v>1662.74</v>
      </c>
      <c r="Z112" s="156">
        <f t="shared" si="68"/>
        <v>0</v>
      </c>
      <c r="AA112" s="156">
        <f t="shared" si="69"/>
        <v>2004</v>
      </c>
      <c r="AB112" s="156">
        <f t="shared" si="70"/>
        <v>2016.75</v>
      </c>
      <c r="AC112" s="156">
        <f t="shared" si="71"/>
        <v>2014</v>
      </c>
      <c r="AD112" s="181">
        <f t="shared" si="72"/>
        <v>2015.75</v>
      </c>
      <c r="AE112" s="181">
        <f t="shared" si="73"/>
        <v>-8.3333333333333329E-2</v>
      </c>
      <c r="AF112" s="181">
        <f t="shared" si="74"/>
        <v>2014</v>
      </c>
      <c r="AG112" s="181">
        <f t="shared" si="75"/>
        <v>2015.75</v>
      </c>
      <c r="AH112" s="181">
        <f t="shared" si="76"/>
        <v>-8.3333333333333329E-2</v>
      </c>
      <c r="AI112" s="156"/>
      <c r="AJ112" s="156"/>
      <c r="AK112" s="156"/>
      <c r="AL112" s="156"/>
    </row>
    <row r="113" spans="1:38" x14ac:dyDescent="0.25">
      <c r="A113" s="203" t="s">
        <v>594</v>
      </c>
      <c r="B113" s="156" t="s">
        <v>589</v>
      </c>
      <c r="C113" s="222" t="s">
        <v>595</v>
      </c>
      <c r="D113" s="182">
        <v>2004</v>
      </c>
      <c r="E113" s="161">
        <v>3</v>
      </c>
      <c r="F113" s="183"/>
      <c r="G113" s="166" t="s">
        <v>452</v>
      </c>
      <c r="H113" s="156">
        <v>10</v>
      </c>
      <c r="I113" s="182">
        <f t="shared" si="57"/>
        <v>2014</v>
      </c>
      <c r="J113" s="156"/>
      <c r="K113" s="156"/>
      <c r="L113" s="180">
        <v>24837.74</v>
      </c>
      <c r="M113" s="156"/>
      <c r="N113" s="156">
        <f t="shared" si="58"/>
        <v>24837.74</v>
      </c>
      <c r="O113" s="156">
        <f t="shared" si="59"/>
        <v>206.9811666666667</v>
      </c>
      <c r="P113" s="156">
        <f t="shared" si="60"/>
        <v>0</v>
      </c>
      <c r="Q113" s="156">
        <f t="shared" si="61"/>
        <v>0</v>
      </c>
      <c r="R113" s="156">
        <f t="shared" si="62"/>
        <v>0</v>
      </c>
      <c r="S113" s="156">
        <v>1</v>
      </c>
      <c r="T113" s="156">
        <f t="shared" si="63"/>
        <v>0</v>
      </c>
      <c r="U113" s="156">
        <f t="shared" si="64"/>
        <v>24837.74</v>
      </c>
      <c r="V113" s="156">
        <f t="shared" si="65"/>
        <v>24837.74</v>
      </c>
      <c r="W113" s="156">
        <v>1</v>
      </c>
      <c r="X113" s="156">
        <f t="shared" si="66"/>
        <v>24837.74</v>
      </c>
      <c r="Y113" s="156">
        <f t="shared" si="67"/>
        <v>24837.74</v>
      </c>
      <c r="Z113" s="156">
        <f t="shared" si="68"/>
        <v>0</v>
      </c>
      <c r="AA113" s="156">
        <f t="shared" si="69"/>
        <v>2004.1666666666667</v>
      </c>
      <c r="AB113" s="156">
        <f t="shared" si="70"/>
        <v>2016.75</v>
      </c>
      <c r="AC113" s="156">
        <f t="shared" si="71"/>
        <v>2014.1666666666667</v>
      </c>
      <c r="AD113" s="181">
        <f t="shared" si="72"/>
        <v>2015.75</v>
      </c>
      <c r="AE113" s="181">
        <f t="shared" si="73"/>
        <v>-8.3333333333333329E-2</v>
      </c>
      <c r="AF113" s="181">
        <f t="shared" si="74"/>
        <v>2014.1666666666667</v>
      </c>
      <c r="AG113" s="181">
        <f t="shared" si="75"/>
        <v>2015.75</v>
      </c>
      <c r="AH113" s="181">
        <f t="shared" si="76"/>
        <v>-8.3333333333333329E-2</v>
      </c>
      <c r="AI113" s="156"/>
      <c r="AJ113" s="156"/>
      <c r="AK113" s="156"/>
      <c r="AL113" s="156"/>
    </row>
    <row r="114" spans="1:38" x14ac:dyDescent="0.25">
      <c r="A114" s="203" t="s">
        <v>596</v>
      </c>
      <c r="B114" s="156" t="s">
        <v>589</v>
      </c>
      <c r="C114" s="222" t="s">
        <v>597</v>
      </c>
      <c r="D114" s="182">
        <v>2004</v>
      </c>
      <c r="E114" s="161">
        <v>4</v>
      </c>
      <c r="F114" s="183"/>
      <c r="G114" s="166" t="s">
        <v>452</v>
      </c>
      <c r="H114" s="156">
        <v>10</v>
      </c>
      <c r="I114" s="182">
        <f t="shared" si="57"/>
        <v>2014</v>
      </c>
      <c r="J114" s="156"/>
      <c r="K114" s="156"/>
      <c r="L114" s="223">
        <v>11518.33</v>
      </c>
      <c r="M114" s="156"/>
      <c r="N114" s="156">
        <f t="shared" si="58"/>
        <v>11518.33</v>
      </c>
      <c r="O114" s="156">
        <f t="shared" si="59"/>
        <v>95.98608333333334</v>
      </c>
      <c r="P114" s="156">
        <f t="shared" si="60"/>
        <v>0</v>
      </c>
      <c r="Q114" s="156">
        <f t="shared" si="61"/>
        <v>0</v>
      </c>
      <c r="R114" s="156">
        <f t="shared" si="62"/>
        <v>0</v>
      </c>
      <c r="S114" s="156">
        <v>1</v>
      </c>
      <c r="T114" s="156">
        <f t="shared" si="63"/>
        <v>0</v>
      </c>
      <c r="U114" s="156">
        <f t="shared" si="64"/>
        <v>11518.33</v>
      </c>
      <c r="V114" s="156">
        <f t="shared" si="65"/>
        <v>11518.33</v>
      </c>
      <c r="W114" s="156">
        <v>1</v>
      </c>
      <c r="X114" s="156">
        <f t="shared" si="66"/>
        <v>11518.33</v>
      </c>
      <c r="Y114" s="156">
        <f t="shared" si="67"/>
        <v>11518.33</v>
      </c>
      <c r="Z114" s="156">
        <f t="shared" si="68"/>
        <v>0</v>
      </c>
      <c r="AA114" s="156">
        <f t="shared" si="69"/>
        <v>2004.25</v>
      </c>
      <c r="AB114" s="156">
        <f t="shared" si="70"/>
        <v>2016.75</v>
      </c>
      <c r="AC114" s="156">
        <f t="shared" si="71"/>
        <v>2014.25</v>
      </c>
      <c r="AD114" s="181">
        <f t="shared" si="72"/>
        <v>2015.75</v>
      </c>
      <c r="AE114" s="181">
        <f t="shared" si="73"/>
        <v>-8.3333333333333329E-2</v>
      </c>
      <c r="AF114" s="181">
        <f t="shared" si="74"/>
        <v>2014.25</v>
      </c>
      <c r="AG114" s="181">
        <f t="shared" si="75"/>
        <v>2015.75</v>
      </c>
      <c r="AH114" s="181">
        <f t="shared" si="76"/>
        <v>-8.3333333333333329E-2</v>
      </c>
      <c r="AI114" s="156"/>
      <c r="AJ114" s="156"/>
      <c r="AK114" s="156"/>
      <c r="AL114" s="156"/>
    </row>
    <row r="115" spans="1:38" x14ac:dyDescent="0.25">
      <c r="A115" s="203" t="s">
        <v>598</v>
      </c>
      <c r="B115" s="156" t="s">
        <v>589</v>
      </c>
      <c r="C115" s="222" t="s">
        <v>599</v>
      </c>
      <c r="D115" s="182">
        <v>2004</v>
      </c>
      <c r="E115" s="161">
        <v>4</v>
      </c>
      <c r="F115" s="183"/>
      <c r="G115" s="166" t="s">
        <v>452</v>
      </c>
      <c r="H115" s="156">
        <v>10</v>
      </c>
      <c r="I115" s="182">
        <f t="shared" si="57"/>
        <v>2014</v>
      </c>
      <c r="J115" s="156"/>
      <c r="K115" s="156"/>
      <c r="L115" s="223">
        <v>2977.98</v>
      </c>
      <c r="M115" s="156"/>
      <c r="N115" s="156">
        <f t="shared" si="58"/>
        <v>2977.98</v>
      </c>
      <c r="O115" s="156">
        <f t="shared" si="59"/>
        <v>24.816500000000001</v>
      </c>
      <c r="P115" s="156">
        <f t="shared" si="60"/>
        <v>0</v>
      </c>
      <c r="Q115" s="156">
        <f t="shared" si="61"/>
        <v>0</v>
      </c>
      <c r="R115" s="156">
        <f t="shared" si="62"/>
        <v>0</v>
      </c>
      <c r="S115" s="156">
        <v>1</v>
      </c>
      <c r="T115" s="156">
        <f t="shared" si="63"/>
        <v>0</v>
      </c>
      <c r="U115" s="156">
        <f t="shared" si="64"/>
        <v>2977.98</v>
      </c>
      <c r="V115" s="156">
        <f t="shared" si="65"/>
        <v>2977.98</v>
      </c>
      <c r="W115" s="156">
        <v>1</v>
      </c>
      <c r="X115" s="156">
        <f t="shared" si="66"/>
        <v>2977.98</v>
      </c>
      <c r="Y115" s="156">
        <f t="shared" si="67"/>
        <v>2977.98</v>
      </c>
      <c r="Z115" s="156">
        <f t="shared" si="68"/>
        <v>0</v>
      </c>
      <c r="AA115" s="156">
        <f t="shared" si="69"/>
        <v>2004.25</v>
      </c>
      <c r="AB115" s="156">
        <f t="shared" si="70"/>
        <v>2016.75</v>
      </c>
      <c r="AC115" s="156">
        <f t="shared" si="71"/>
        <v>2014.25</v>
      </c>
      <c r="AD115" s="181">
        <f t="shared" si="72"/>
        <v>2015.75</v>
      </c>
      <c r="AE115" s="181">
        <f t="shared" si="73"/>
        <v>-8.3333333333333329E-2</v>
      </c>
      <c r="AF115" s="181">
        <f t="shared" si="74"/>
        <v>2014.25</v>
      </c>
      <c r="AG115" s="181">
        <f t="shared" si="75"/>
        <v>2015.75</v>
      </c>
      <c r="AH115" s="181">
        <f t="shared" si="76"/>
        <v>-8.3333333333333329E-2</v>
      </c>
      <c r="AI115" s="156"/>
      <c r="AJ115" s="156"/>
      <c r="AK115" s="156"/>
      <c r="AL115" s="156"/>
    </row>
    <row r="116" spans="1:38" x14ac:dyDescent="0.25">
      <c r="A116" s="224" t="s">
        <v>600</v>
      </c>
      <c r="B116" s="156" t="s">
        <v>589</v>
      </c>
      <c r="C116" s="194" t="s">
        <v>601</v>
      </c>
      <c r="D116" s="182">
        <v>2004</v>
      </c>
      <c r="E116" s="161">
        <v>5</v>
      </c>
      <c r="F116" s="183"/>
      <c r="G116" s="166" t="s">
        <v>452</v>
      </c>
      <c r="H116" s="156">
        <v>10</v>
      </c>
      <c r="I116" s="182">
        <f t="shared" si="57"/>
        <v>2014</v>
      </c>
      <c r="J116" s="156"/>
      <c r="K116" s="156"/>
      <c r="L116" s="223">
        <v>5594.09</v>
      </c>
      <c r="M116" s="156"/>
      <c r="N116" s="156">
        <f t="shared" si="58"/>
        <v>5594.09</v>
      </c>
      <c r="O116" s="156">
        <f t="shared" si="59"/>
        <v>46.617416666666664</v>
      </c>
      <c r="P116" s="156">
        <f t="shared" si="60"/>
        <v>0</v>
      </c>
      <c r="Q116" s="156">
        <f t="shared" si="61"/>
        <v>0</v>
      </c>
      <c r="R116" s="156">
        <f t="shared" si="62"/>
        <v>0</v>
      </c>
      <c r="S116" s="156">
        <v>1</v>
      </c>
      <c r="T116" s="156">
        <f t="shared" si="63"/>
        <v>0</v>
      </c>
      <c r="U116" s="156">
        <f t="shared" si="64"/>
        <v>5594.09</v>
      </c>
      <c r="V116" s="156">
        <f t="shared" si="65"/>
        <v>5594.09</v>
      </c>
      <c r="W116" s="156">
        <v>1</v>
      </c>
      <c r="X116" s="156">
        <f t="shared" si="66"/>
        <v>5594.09</v>
      </c>
      <c r="Y116" s="156">
        <f t="shared" si="67"/>
        <v>5594.09</v>
      </c>
      <c r="Z116" s="156">
        <f t="shared" si="68"/>
        <v>0</v>
      </c>
      <c r="AA116" s="156">
        <f t="shared" si="69"/>
        <v>2004.3333333333333</v>
      </c>
      <c r="AB116" s="156">
        <f t="shared" si="70"/>
        <v>2016.75</v>
      </c>
      <c r="AC116" s="156">
        <f t="shared" si="71"/>
        <v>2014.3333333333333</v>
      </c>
      <c r="AD116" s="181">
        <f t="shared" si="72"/>
        <v>2015.75</v>
      </c>
      <c r="AE116" s="181">
        <f t="shared" si="73"/>
        <v>-8.3333333333333329E-2</v>
      </c>
      <c r="AF116" s="181">
        <f t="shared" si="74"/>
        <v>2014.3333333333333</v>
      </c>
      <c r="AG116" s="181">
        <f t="shared" si="75"/>
        <v>2015.75</v>
      </c>
      <c r="AH116" s="181">
        <f t="shared" si="76"/>
        <v>-8.3333333333333329E-2</v>
      </c>
      <c r="AI116" s="156"/>
      <c r="AJ116" s="156"/>
      <c r="AK116" s="156"/>
      <c r="AL116" s="156"/>
    </row>
    <row r="117" spans="1:38" x14ac:dyDescent="0.25">
      <c r="A117" s="203" t="s">
        <v>602</v>
      </c>
      <c r="B117" s="156" t="s">
        <v>589</v>
      </c>
      <c r="C117" s="222" t="s">
        <v>603</v>
      </c>
      <c r="D117" s="182">
        <v>2004</v>
      </c>
      <c r="E117" s="161">
        <v>5</v>
      </c>
      <c r="F117" s="183"/>
      <c r="G117" s="166" t="s">
        <v>452</v>
      </c>
      <c r="H117" s="156">
        <v>10</v>
      </c>
      <c r="I117" s="182">
        <f t="shared" si="57"/>
        <v>2014</v>
      </c>
      <c r="J117" s="156"/>
      <c r="K117" s="156"/>
      <c r="L117" s="223">
        <v>17013.13</v>
      </c>
      <c r="M117" s="156"/>
      <c r="N117" s="156">
        <f t="shared" si="58"/>
        <v>17013.13</v>
      </c>
      <c r="O117" s="156">
        <f t="shared" si="59"/>
        <v>141.77608333333333</v>
      </c>
      <c r="P117" s="156">
        <f t="shared" si="60"/>
        <v>0</v>
      </c>
      <c r="Q117" s="156">
        <f t="shared" si="61"/>
        <v>0</v>
      </c>
      <c r="R117" s="156">
        <f t="shared" si="62"/>
        <v>0</v>
      </c>
      <c r="S117" s="156">
        <v>1</v>
      </c>
      <c r="T117" s="156">
        <f t="shared" si="63"/>
        <v>0</v>
      </c>
      <c r="U117" s="156">
        <f t="shared" si="64"/>
        <v>17013.13</v>
      </c>
      <c r="V117" s="156">
        <f t="shared" si="65"/>
        <v>17013.13</v>
      </c>
      <c r="W117" s="156">
        <v>1</v>
      </c>
      <c r="X117" s="156">
        <f t="shared" si="66"/>
        <v>17013.13</v>
      </c>
      <c r="Y117" s="156">
        <f t="shared" si="67"/>
        <v>17013.13</v>
      </c>
      <c r="Z117" s="156">
        <f t="shared" si="68"/>
        <v>0</v>
      </c>
      <c r="AA117" s="156">
        <f t="shared" si="69"/>
        <v>2004.3333333333333</v>
      </c>
      <c r="AB117" s="156">
        <f t="shared" si="70"/>
        <v>2016.75</v>
      </c>
      <c r="AC117" s="156">
        <f t="shared" si="71"/>
        <v>2014.3333333333333</v>
      </c>
      <c r="AD117" s="181">
        <f t="shared" si="72"/>
        <v>2015.75</v>
      </c>
      <c r="AE117" s="181">
        <f t="shared" si="73"/>
        <v>-8.3333333333333329E-2</v>
      </c>
      <c r="AF117" s="181">
        <f t="shared" si="74"/>
        <v>2014.3333333333333</v>
      </c>
      <c r="AG117" s="181">
        <f t="shared" si="75"/>
        <v>2015.75</v>
      </c>
      <c r="AH117" s="181">
        <f t="shared" si="76"/>
        <v>-8.3333333333333329E-2</v>
      </c>
      <c r="AI117" s="156"/>
      <c r="AJ117" s="156"/>
      <c r="AK117" s="156"/>
      <c r="AL117" s="156"/>
    </row>
    <row r="118" spans="1:38" x14ac:dyDescent="0.25">
      <c r="A118" s="163"/>
      <c r="B118" s="156" t="s">
        <v>589</v>
      </c>
      <c r="C118" s="222" t="s">
        <v>604</v>
      </c>
      <c r="D118" s="182">
        <v>2004</v>
      </c>
      <c r="E118" s="161">
        <v>5</v>
      </c>
      <c r="F118" s="183"/>
      <c r="G118" s="166" t="s">
        <v>452</v>
      </c>
      <c r="H118" s="156">
        <v>10</v>
      </c>
      <c r="I118" s="182">
        <f t="shared" si="57"/>
        <v>2014</v>
      </c>
      <c r="J118" s="156"/>
      <c r="K118" s="156"/>
      <c r="L118" s="223">
        <v>8962.93</v>
      </c>
      <c r="M118" s="156"/>
      <c r="N118" s="156">
        <f t="shared" si="58"/>
        <v>8962.93</v>
      </c>
      <c r="O118" s="156">
        <f t="shared" si="59"/>
        <v>74.691083333333339</v>
      </c>
      <c r="P118" s="156">
        <f t="shared" si="60"/>
        <v>0</v>
      </c>
      <c r="Q118" s="156">
        <f t="shared" si="61"/>
        <v>0</v>
      </c>
      <c r="R118" s="156">
        <f t="shared" si="62"/>
        <v>0</v>
      </c>
      <c r="S118" s="156">
        <v>1</v>
      </c>
      <c r="T118" s="156">
        <f t="shared" si="63"/>
        <v>0</v>
      </c>
      <c r="U118" s="156">
        <f t="shared" si="64"/>
        <v>8962.93</v>
      </c>
      <c r="V118" s="156">
        <f t="shared" si="65"/>
        <v>8962.93</v>
      </c>
      <c r="W118" s="156">
        <v>1</v>
      </c>
      <c r="X118" s="156">
        <f t="shared" si="66"/>
        <v>8962.93</v>
      </c>
      <c r="Y118" s="156">
        <f t="shared" si="67"/>
        <v>8962.93</v>
      </c>
      <c r="Z118" s="156">
        <f t="shared" si="68"/>
        <v>0</v>
      </c>
      <c r="AA118" s="156">
        <f t="shared" si="69"/>
        <v>2004.3333333333333</v>
      </c>
      <c r="AB118" s="156">
        <f t="shared" si="70"/>
        <v>2016.75</v>
      </c>
      <c r="AC118" s="156">
        <f t="shared" si="71"/>
        <v>2014.3333333333333</v>
      </c>
      <c r="AD118" s="181">
        <f t="shared" si="72"/>
        <v>2015.75</v>
      </c>
      <c r="AE118" s="181">
        <f t="shared" si="73"/>
        <v>-8.3333333333333329E-2</v>
      </c>
      <c r="AF118" s="181">
        <f t="shared" si="74"/>
        <v>2014.3333333333333</v>
      </c>
      <c r="AG118" s="181">
        <f t="shared" si="75"/>
        <v>2015.75</v>
      </c>
      <c r="AH118" s="181">
        <f t="shared" si="76"/>
        <v>-8.3333333333333329E-2</v>
      </c>
      <c r="AI118" s="156"/>
      <c r="AJ118" s="156"/>
      <c r="AK118" s="156"/>
      <c r="AL118" s="156"/>
    </row>
    <row r="119" spans="1:38" x14ac:dyDescent="0.25">
      <c r="A119" s="163" t="s">
        <v>605</v>
      </c>
      <c r="B119" s="156" t="s">
        <v>589</v>
      </c>
      <c r="C119" s="222" t="s">
        <v>606</v>
      </c>
      <c r="D119" s="182">
        <v>2004</v>
      </c>
      <c r="E119" s="161">
        <v>5</v>
      </c>
      <c r="F119" s="183"/>
      <c r="G119" s="166" t="s">
        <v>452</v>
      </c>
      <c r="H119" s="156">
        <v>10</v>
      </c>
      <c r="I119" s="182">
        <f t="shared" si="57"/>
        <v>2014</v>
      </c>
      <c r="J119" s="156"/>
      <c r="K119" s="156"/>
      <c r="L119" s="223">
        <v>3770.46</v>
      </c>
      <c r="M119" s="156"/>
      <c r="N119" s="156">
        <f t="shared" si="58"/>
        <v>3770.46</v>
      </c>
      <c r="O119" s="156">
        <f t="shared" si="59"/>
        <v>31.420500000000001</v>
      </c>
      <c r="P119" s="156">
        <f t="shared" si="60"/>
        <v>0</v>
      </c>
      <c r="Q119" s="156">
        <f t="shared" si="61"/>
        <v>0</v>
      </c>
      <c r="R119" s="156">
        <f t="shared" si="62"/>
        <v>0</v>
      </c>
      <c r="S119" s="156">
        <v>1</v>
      </c>
      <c r="T119" s="156">
        <f t="shared" si="63"/>
        <v>0</v>
      </c>
      <c r="U119" s="156">
        <f t="shared" si="64"/>
        <v>3770.46</v>
      </c>
      <c r="V119" s="156">
        <f t="shared" si="65"/>
        <v>3770.46</v>
      </c>
      <c r="W119" s="156">
        <v>1</v>
      </c>
      <c r="X119" s="156">
        <f t="shared" si="66"/>
        <v>3770.46</v>
      </c>
      <c r="Y119" s="156">
        <f t="shared" si="67"/>
        <v>3770.46</v>
      </c>
      <c r="Z119" s="156">
        <f t="shared" si="68"/>
        <v>0</v>
      </c>
      <c r="AA119" s="156">
        <f t="shared" si="69"/>
        <v>2004.3333333333333</v>
      </c>
      <c r="AB119" s="156">
        <f t="shared" si="70"/>
        <v>2016.75</v>
      </c>
      <c r="AC119" s="156">
        <f t="shared" si="71"/>
        <v>2014.3333333333333</v>
      </c>
      <c r="AD119" s="181">
        <f t="shared" si="72"/>
        <v>2015.75</v>
      </c>
      <c r="AE119" s="181">
        <f t="shared" si="73"/>
        <v>-8.3333333333333329E-2</v>
      </c>
      <c r="AF119" s="181">
        <f t="shared" si="74"/>
        <v>2014.3333333333333</v>
      </c>
      <c r="AG119" s="181">
        <f t="shared" si="75"/>
        <v>2015.75</v>
      </c>
      <c r="AH119" s="181">
        <f t="shared" si="76"/>
        <v>-8.3333333333333329E-2</v>
      </c>
      <c r="AI119" s="156"/>
      <c r="AJ119" s="156"/>
      <c r="AK119" s="156"/>
      <c r="AL119" s="156"/>
    </row>
    <row r="120" spans="1:38" x14ac:dyDescent="0.25">
      <c r="A120" s="225" t="s">
        <v>607</v>
      </c>
      <c r="B120" s="156" t="s">
        <v>589</v>
      </c>
      <c r="C120" s="194" t="s">
        <v>608</v>
      </c>
      <c r="D120" s="182">
        <v>2004</v>
      </c>
      <c r="E120" s="161">
        <v>5</v>
      </c>
      <c r="F120" s="183"/>
      <c r="G120" s="166" t="s">
        <v>452</v>
      </c>
      <c r="H120" s="156">
        <v>10</v>
      </c>
      <c r="I120" s="182">
        <f t="shared" si="57"/>
        <v>2014</v>
      </c>
      <c r="J120" s="156"/>
      <c r="K120" s="156"/>
      <c r="L120" s="223">
        <v>20074.52</v>
      </c>
      <c r="M120" s="156"/>
      <c r="N120" s="156">
        <f t="shared" si="58"/>
        <v>20074.52</v>
      </c>
      <c r="O120" s="156">
        <f t="shared" si="59"/>
        <v>167.28766666666667</v>
      </c>
      <c r="P120" s="156">
        <f t="shared" si="60"/>
        <v>0</v>
      </c>
      <c r="Q120" s="156">
        <f t="shared" si="61"/>
        <v>0</v>
      </c>
      <c r="R120" s="156">
        <f t="shared" si="62"/>
        <v>0</v>
      </c>
      <c r="S120" s="156">
        <v>1</v>
      </c>
      <c r="T120" s="156">
        <f t="shared" si="63"/>
        <v>0</v>
      </c>
      <c r="U120" s="156">
        <f t="shared" si="64"/>
        <v>20074.52</v>
      </c>
      <c r="V120" s="156">
        <f t="shared" si="65"/>
        <v>20074.52</v>
      </c>
      <c r="W120" s="156">
        <v>1</v>
      </c>
      <c r="X120" s="156">
        <f t="shared" si="66"/>
        <v>20074.52</v>
      </c>
      <c r="Y120" s="156">
        <f t="shared" si="67"/>
        <v>20074.52</v>
      </c>
      <c r="Z120" s="156">
        <f t="shared" si="68"/>
        <v>0</v>
      </c>
      <c r="AA120" s="156">
        <f t="shared" si="69"/>
        <v>2004.3333333333333</v>
      </c>
      <c r="AB120" s="156">
        <f t="shared" si="70"/>
        <v>2016.75</v>
      </c>
      <c r="AC120" s="156">
        <f t="shared" si="71"/>
        <v>2014.3333333333333</v>
      </c>
      <c r="AD120" s="181">
        <f t="shared" si="72"/>
        <v>2015.75</v>
      </c>
      <c r="AE120" s="181">
        <f t="shared" si="73"/>
        <v>-8.3333333333333329E-2</v>
      </c>
      <c r="AF120" s="181">
        <f t="shared" si="74"/>
        <v>2014.3333333333333</v>
      </c>
      <c r="AG120" s="181">
        <f t="shared" si="75"/>
        <v>2015.75</v>
      </c>
      <c r="AH120" s="181">
        <f t="shared" si="76"/>
        <v>-8.3333333333333329E-2</v>
      </c>
      <c r="AI120" s="156"/>
      <c r="AJ120" s="156"/>
      <c r="AK120" s="156"/>
      <c r="AL120" s="156"/>
    </row>
    <row r="121" spans="1:38" x14ac:dyDescent="0.25">
      <c r="A121" s="163" t="s">
        <v>609</v>
      </c>
      <c r="B121" s="156" t="s">
        <v>589</v>
      </c>
      <c r="C121" s="222" t="s">
        <v>610</v>
      </c>
      <c r="D121" s="182">
        <v>2004</v>
      </c>
      <c r="E121" s="161">
        <v>5</v>
      </c>
      <c r="F121" s="183"/>
      <c r="G121" s="166" t="s">
        <v>452</v>
      </c>
      <c r="H121" s="156">
        <v>10</v>
      </c>
      <c r="I121" s="182">
        <f t="shared" si="57"/>
        <v>2014</v>
      </c>
      <c r="J121" s="156"/>
      <c r="K121" s="156"/>
      <c r="L121" s="223">
        <v>3765.86</v>
      </c>
      <c r="M121" s="156"/>
      <c r="N121" s="156">
        <f t="shared" si="58"/>
        <v>3765.86</v>
      </c>
      <c r="O121" s="156">
        <f t="shared" si="59"/>
        <v>31.382166666666667</v>
      </c>
      <c r="P121" s="156">
        <f t="shared" si="60"/>
        <v>0</v>
      </c>
      <c r="Q121" s="156">
        <f t="shared" si="61"/>
        <v>0</v>
      </c>
      <c r="R121" s="156">
        <f t="shared" si="62"/>
        <v>0</v>
      </c>
      <c r="S121" s="156">
        <v>1</v>
      </c>
      <c r="T121" s="156">
        <f t="shared" si="63"/>
        <v>0</v>
      </c>
      <c r="U121" s="156">
        <f t="shared" si="64"/>
        <v>3765.86</v>
      </c>
      <c r="V121" s="156">
        <f t="shared" si="65"/>
        <v>3765.86</v>
      </c>
      <c r="W121" s="156">
        <v>1</v>
      </c>
      <c r="X121" s="156">
        <f t="shared" si="66"/>
        <v>3765.86</v>
      </c>
      <c r="Y121" s="156">
        <f t="shared" si="67"/>
        <v>3765.86</v>
      </c>
      <c r="Z121" s="156">
        <f t="shared" si="68"/>
        <v>0</v>
      </c>
      <c r="AA121" s="156">
        <f t="shared" si="69"/>
        <v>2004.3333333333333</v>
      </c>
      <c r="AB121" s="156">
        <f t="shared" si="70"/>
        <v>2016.75</v>
      </c>
      <c r="AC121" s="156">
        <f t="shared" si="71"/>
        <v>2014.3333333333333</v>
      </c>
      <c r="AD121" s="181">
        <f t="shared" si="72"/>
        <v>2015.75</v>
      </c>
      <c r="AE121" s="181">
        <f t="shared" si="73"/>
        <v>-8.3333333333333329E-2</v>
      </c>
      <c r="AF121" s="181">
        <f t="shared" si="74"/>
        <v>2014.3333333333333</v>
      </c>
      <c r="AG121" s="181">
        <f t="shared" si="75"/>
        <v>2015.75</v>
      </c>
      <c r="AH121" s="181">
        <f t="shared" si="76"/>
        <v>-8.3333333333333329E-2</v>
      </c>
      <c r="AI121" s="156"/>
      <c r="AJ121" s="156"/>
      <c r="AK121" s="156"/>
      <c r="AL121" s="156"/>
    </row>
    <row r="122" spans="1:38" x14ac:dyDescent="0.25">
      <c r="A122" s="163" t="s">
        <v>611</v>
      </c>
      <c r="B122" s="156" t="s">
        <v>589</v>
      </c>
      <c r="C122" s="222" t="s">
        <v>612</v>
      </c>
      <c r="D122" s="182">
        <v>2004</v>
      </c>
      <c r="E122" s="161">
        <v>5</v>
      </c>
      <c r="F122" s="183"/>
      <c r="G122" s="166" t="s">
        <v>452</v>
      </c>
      <c r="H122" s="156">
        <v>10</v>
      </c>
      <c r="I122" s="182">
        <f t="shared" si="57"/>
        <v>2014</v>
      </c>
      <c r="J122" s="156"/>
      <c r="K122" s="156"/>
      <c r="L122" s="223">
        <v>7834.34</v>
      </c>
      <c r="M122" s="156"/>
      <c r="N122" s="156">
        <f t="shared" si="58"/>
        <v>7834.34</v>
      </c>
      <c r="O122" s="156">
        <f t="shared" si="59"/>
        <v>65.286166666666659</v>
      </c>
      <c r="P122" s="156">
        <f t="shared" si="60"/>
        <v>0</v>
      </c>
      <c r="Q122" s="156">
        <f t="shared" si="61"/>
        <v>0</v>
      </c>
      <c r="R122" s="156">
        <f t="shared" si="62"/>
        <v>0</v>
      </c>
      <c r="S122" s="156">
        <v>1</v>
      </c>
      <c r="T122" s="156">
        <f t="shared" si="63"/>
        <v>0</v>
      </c>
      <c r="U122" s="156">
        <f t="shared" si="64"/>
        <v>7834.34</v>
      </c>
      <c r="V122" s="156">
        <f t="shared" si="65"/>
        <v>7834.34</v>
      </c>
      <c r="W122" s="156">
        <v>1</v>
      </c>
      <c r="X122" s="156">
        <f t="shared" si="66"/>
        <v>7834.34</v>
      </c>
      <c r="Y122" s="156">
        <f t="shared" si="67"/>
        <v>7834.34</v>
      </c>
      <c r="Z122" s="156">
        <f t="shared" si="68"/>
        <v>0</v>
      </c>
      <c r="AA122" s="156">
        <f t="shared" si="69"/>
        <v>2004.3333333333333</v>
      </c>
      <c r="AB122" s="156">
        <f t="shared" si="70"/>
        <v>2016.75</v>
      </c>
      <c r="AC122" s="156">
        <f t="shared" si="71"/>
        <v>2014.3333333333333</v>
      </c>
      <c r="AD122" s="181">
        <f t="shared" si="72"/>
        <v>2015.75</v>
      </c>
      <c r="AE122" s="181">
        <f t="shared" si="73"/>
        <v>-8.3333333333333329E-2</v>
      </c>
      <c r="AF122" s="181">
        <f t="shared" si="74"/>
        <v>2014.3333333333333</v>
      </c>
      <c r="AG122" s="181">
        <f t="shared" si="75"/>
        <v>2015.75</v>
      </c>
      <c r="AH122" s="181">
        <f t="shared" si="76"/>
        <v>-8.3333333333333329E-2</v>
      </c>
      <c r="AI122" s="156"/>
      <c r="AJ122" s="156"/>
      <c r="AK122" s="156"/>
      <c r="AL122" s="156"/>
    </row>
    <row r="123" spans="1:38" x14ac:dyDescent="0.25">
      <c r="A123" s="163" t="s">
        <v>613</v>
      </c>
      <c r="B123" s="156" t="s">
        <v>589</v>
      </c>
      <c r="C123" s="222" t="s">
        <v>614</v>
      </c>
      <c r="D123" s="182">
        <v>2004</v>
      </c>
      <c r="E123" s="161">
        <v>5</v>
      </c>
      <c r="F123" s="183"/>
      <c r="G123" s="166" t="s">
        <v>452</v>
      </c>
      <c r="H123" s="156">
        <v>10</v>
      </c>
      <c r="I123" s="182">
        <f t="shared" si="57"/>
        <v>2014</v>
      </c>
      <c r="J123" s="156"/>
      <c r="K123" s="156"/>
      <c r="L123" s="223">
        <v>18816.98</v>
      </c>
      <c r="M123" s="156"/>
      <c r="N123" s="156">
        <f t="shared" si="58"/>
        <v>18816.98</v>
      </c>
      <c r="O123" s="156">
        <f t="shared" si="59"/>
        <v>156.80816666666666</v>
      </c>
      <c r="P123" s="156">
        <f t="shared" si="60"/>
        <v>0</v>
      </c>
      <c r="Q123" s="156">
        <f t="shared" si="61"/>
        <v>0</v>
      </c>
      <c r="R123" s="156">
        <f t="shared" si="62"/>
        <v>0</v>
      </c>
      <c r="S123" s="156">
        <v>1</v>
      </c>
      <c r="T123" s="156">
        <f t="shared" si="63"/>
        <v>0</v>
      </c>
      <c r="U123" s="156">
        <f t="shared" si="64"/>
        <v>18816.98</v>
      </c>
      <c r="V123" s="156">
        <f t="shared" si="65"/>
        <v>18816.98</v>
      </c>
      <c r="W123" s="156">
        <v>1</v>
      </c>
      <c r="X123" s="156">
        <f t="shared" si="66"/>
        <v>18816.98</v>
      </c>
      <c r="Y123" s="156">
        <f t="shared" si="67"/>
        <v>18816.98</v>
      </c>
      <c r="Z123" s="156">
        <f t="shared" si="68"/>
        <v>0</v>
      </c>
      <c r="AA123" s="156">
        <f t="shared" si="69"/>
        <v>2004.3333333333333</v>
      </c>
      <c r="AB123" s="156">
        <f t="shared" si="70"/>
        <v>2016.75</v>
      </c>
      <c r="AC123" s="156">
        <f t="shared" si="71"/>
        <v>2014.3333333333333</v>
      </c>
      <c r="AD123" s="181">
        <f t="shared" si="72"/>
        <v>2015.75</v>
      </c>
      <c r="AE123" s="181">
        <f t="shared" si="73"/>
        <v>-8.3333333333333329E-2</v>
      </c>
      <c r="AF123" s="181">
        <f t="shared" si="74"/>
        <v>2014.3333333333333</v>
      </c>
      <c r="AG123" s="181">
        <f t="shared" si="75"/>
        <v>2015.75</v>
      </c>
      <c r="AH123" s="181">
        <f t="shared" si="76"/>
        <v>-8.3333333333333329E-2</v>
      </c>
      <c r="AI123" s="156"/>
      <c r="AJ123" s="156"/>
      <c r="AK123" s="156"/>
      <c r="AL123" s="156"/>
    </row>
    <row r="124" spans="1:38" x14ac:dyDescent="0.25">
      <c r="A124" s="163" t="s">
        <v>615</v>
      </c>
      <c r="B124" s="156" t="s">
        <v>589</v>
      </c>
      <c r="C124" s="222" t="s">
        <v>616</v>
      </c>
      <c r="D124" s="182">
        <v>2004</v>
      </c>
      <c r="E124" s="161">
        <v>6</v>
      </c>
      <c r="F124" s="183"/>
      <c r="G124" s="166" t="s">
        <v>452</v>
      </c>
      <c r="H124" s="156">
        <v>10</v>
      </c>
      <c r="I124" s="182">
        <f t="shared" si="57"/>
        <v>2014</v>
      </c>
      <c r="J124" s="156"/>
      <c r="K124" s="156"/>
      <c r="L124" s="223">
        <v>10833.16</v>
      </c>
      <c r="M124" s="156"/>
      <c r="N124" s="156">
        <f t="shared" si="58"/>
        <v>10833.16</v>
      </c>
      <c r="O124" s="156">
        <f t="shared" si="59"/>
        <v>90.276333333333341</v>
      </c>
      <c r="P124" s="156">
        <f t="shared" si="60"/>
        <v>0</v>
      </c>
      <c r="Q124" s="156">
        <f t="shared" si="61"/>
        <v>0</v>
      </c>
      <c r="R124" s="156">
        <f t="shared" si="62"/>
        <v>0</v>
      </c>
      <c r="S124" s="156">
        <v>1</v>
      </c>
      <c r="T124" s="156">
        <f t="shared" si="63"/>
        <v>0</v>
      </c>
      <c r="U124" s="156">
        <f t="shared" si="64"/>
        <v>10833.16</v>
      </c>
      <c r="V124" s="156">
        <f t="shared" si="65"/>
        <v>10833.16</v>
      </c>
      <c r="W124" s="156">
        <v>1</v>
      </c>
      <c r="X124" s="156">
        <f t="shared" si="66"/>
        <v>10833.16</v>
      </c>
      <c r="Y124" s="156">
        <f t="shared" si="67"/>
        <v>10833.16</v>
      </c>
      <c r="Z124" s="156">
        <f t="shared" si="68"/>
        <v>0</v>
      </c>
      <c r="AA124" s="156">
        <f t="shared" si="69"/>
        <v>2004.4166666666667</v>
      </c>
      <c r="AB124" s="156">
        <f t="shared" si="70"/>
        <v>2016.75</v>
      </c>
      <c r="AC124" s="156">
        <f t="shared" si="71"/>
        <v>2014.4166666666667</v>
      </c>
      <c r="AD124" s="181">
        <f t="shared" si="72"/>
        <v>2015.75</v>
      </c>
      <c r="AE124" s="181">
        <f t="shared" si="73"/>
        <v>-8.3333333333333329E-2</v>
      </c>
      <c r="AF124" s="181">
        <f t="shared" si="74"/>
        <v>2014.4166666666667</v>
      </c>
      <c r="AG124" s="181">
        <f t="shared" si="75"/>
        <v>2015.75</v>
      </c>
      <c r="AH124" s="181">
        <f t="shared" si="76"/>
        <v>-8.3333333333333329E-2</v>
      </c>
      <c r="AI124" s="156"/>
      <c r="AJ124" s="156"/>
      <c r="AK124" s="156"/>
      <c r="AL124" s="156"/>
    </row>
    <row r="125" spans="1:38" x14ac:dyDescent="0.25">
      <c r="A125" s="203" t="s">
        <v>617</v>
      </c>
      <c r="B125" s="156" t="s">
        <v>589</v>
      </c>
      <c r="C125" s="222" t="s">
        <v>618</v>
      </c>
      <c r="D125" s="182">
        <v>2004</v>
      </c>
      <c r="E125" s="161">
        <v>9</v>
      </c>
      <c r="F125" s="183"/>
      <c r="G125" s="166" t="s">
        <v>452</v>
      </c>
      <c r="H125" s="156">
        <v>10</v>
      </c>
      <c r="I125" s="182">
        <f t="shared" si="57"/>
        <v>2014</v>
      </c>
      <c r="J125" s="156"/>
      <c r="K125" s="156"/>
      <c r="L125" s="223">
        <v>606.48</v>
      </c>
      <c r="M125" s="156"/>
      <c r="N125" s="156">
        <f t="shared" si="58"/>
        <v>606.48</v>
      </c>
      <c r="O125" s="156">
        <f t="shared" si="59"/>
        <v>5.0540000000000003</v>
      </c>
      <c r="P125" s="156">
        <f t="shared" si="60"/>
        <v>0</v>
      </c>
      <c r="Q125" s="156">
        <f t="shared" si="61"/>
        <v>0</v>
      </c>
      <c r="R125" s="156">
        <f t="shared" si="62"/>
        <v>0</v>
      </c>
      <c r="S125" s="156">
        <v>1</v>
      </c>
      <c r="T125" s="156">
        <f t="shared" si="63"/>
        <v>0</v>
      </c>
      <c r="U125" s="156">
        <f t="shared" si="64"/>
        <v>606.48</v>
      </c>
      <c r="V125" s="156">
        <f t="shared" si="65"/>
        <v>606.48</v>
      </c>
      <c r="W125" s="156">
        <v>1</v>
      </c>
      <c r="X125" s="156">
        <f t="shared" si="66"/>
        <v>606.48</v>
      </c>
      <c r="Y125" s="156">
        <f t="shared" si="67"/>
        <v>606.48</v>
      </c>
      <c r="Z125" s="156">
        <f t="shared" si="68"/>
        <v>0</v>
      </c>
      <c r="AA125" s="156">
        <f t="shared" si="69"/>
        <v>2004.6666666666667</v>
      </c>
      <c r="AB125" s="156">
        <f t="shared" si="70"/>
        <v>2016.75</v>
      </c>
      <c r="AC125" s="156">
        <f t="shared" si="71"/>
        <v>2014.6666666666667</v>
      </c>
      <c r="AD125" s="181">
        <f t="shared" si="72"/>
        <v>2015.75</v>
      </c>
      <c r="AE125" s="181">
        <f t="shared" si="73"/>
        <v>-8.3333333333333329E-2</v>
      </c>
      <c r="AF125" s="181">
        <f t="shared" si="74"/>
        <v>2014.6666666666667</v>
      </c>
      <c r="AG125" s="181">
        <f t="shared" si="75"/>
        <v>2015.75</v>
      </c>
      <c r="AH125" s="181">
        <f t="shared" si="76"/>
        <v>-8.3333333333333329E-2</v>
      </c>
      <c r="AI125" s="156"/>
      <c r="AJ125" s="156"/>
      <c r="AK125" s="156"/>
      <c r="AL125" s="156"/>
    </row>
    <row r="126" spans="1:38" x14ac:dyDescent="0.25">
      <c r="A126" s="163" t="s">
        <v>619</v>
      </c>
      <c r="B126" s="156" t="s">
        <v>589</v>
      </c>
      <c r="C126" s="222" t="s">
        <v>614</v>
      </c>
      <c r="D126" s="182">
        <v>2004</v>
      </c>
      <c r="E126" s="161">
        <v>12</v>
      </c>
      <c r="F126" s="183"/>
      <c r="G126" s="166" t="s">
        <v>452</v>
      </c>
      <c r="H126" s="156">
        <v>10</v>
      </c>
      <c r="I126" s="182">
        <f t="shared" si="57"/>
        <v>2014</v>
      </c>
      <c r="J126" s="156"/>
      <c r="K126" s="156"/>
      <c r="L126" s="223">
        <v>23011</v>
      </c>
      <c r="M126" s="156"/>
      <c r="N126" s="156">
        <f t="shared" si="58"/>
        <v>23011</v>
      </c>
      <c r="O126" s="156">
        <f t="shared" si="59"/>
        <v>191.75833333333333</v>
      </c>
      <c r="P126" s="156">
        <f t="shared" si="60"/>
        <v>0</v>
      </c>
      <c r="Q126" s="156">
        <f t="shared" si="61"/>
        <v>0</v>
      </c>
      <c r="R126" s="156">
        <f t="shared" si="62"/>
        <v>0</v>
      </c>
      <c r="S126" s="156">
        <v>1</v>
      </c>
      <c r="T126" s="156">
        <f t="shared" si="63"/>
        <v>0</v>
      </c>
      <c r="U126" s="156">
        <f t="shared" si="64"/>
        <v>23011</v>
      </c>
      <c r="V126" s="156">
        <f t="shared" si="65"/>
        <v>23011</v>
      </c>
      <c r="W126" s="156">
        <v>1</v>
      </c>
      <c r="X126" s="156">
        <f t="shared" si="66"/>
        <v>23011</v>
      </c>
      <c r="Y126" s="156">
        <f t="shared" si="67"/>
        <v>23011</v>
      </c>
      <c r="Z126" s="156">
        <f t="shared" si="68"/>
        <v>0</v>
      </c>
      <c r="AA126" s="156">
        <f t="shared" si="69"/>
        <v>2004.9166666666667</v>
      </c>
      <c r="AB126" s="156">
        <f t="shared" si="70"/>
        <v>2016.75</v>
      </c>
      <c r="AC126" s="156">
        <f t="shared" si="71"/>
        <v>2014.9166666666667</v>
      </c>
      <c r="AD126" s="181">
        <f t="shared" si="72"/>
        <v>2015.75</v>
      </c>
      <c r="AE126" s="181">
        <f t="shared" si="73"/>
        <v>-8.3333333333333329E-2</v>
      </c>
      <c r="AF126" s="181">
        <f t="shared" si="74"/>
        <v>2014.9166666666667</v>
      </c>
      <c r="AG126" s="181">
        <f t="shared" si="75"/>
        <v>2015.75</v>
      </c>
      <c r="AH126" s="181">
        <f t="shared" si="76"/>
        <v>-8.3333333333333329E-2</v>
      </c>
      <c r="AI126" s="156"/>
      <c r="AJ126" s="156"/>
      <c r="AK126" s="156"/>
      <c r="AL126" s="156"/>
    </row>
    <row r="127" spans="1:38" x14ac:dyDescent="0.25">
      <c r="A127" s="203" t="s">
        <v>620</v>
      </c>
      <c r="B127" s="156" t="s">
        <v>589</v>
      </c>
      <c r="C127" s="222" t="s">
        <v>621</v>
      </c>
      <c r="D127" s="182">
        <v>2004</v>
      </c>
      <c r="E127" s="161">
        <v>12</v>
      </c>
      <c r="F127" s="183"/>
      <c r="G127" s="166" t="s">
        <v>452</v>
      </c>
      <c r="H127" s="156">
        <v>10</v>
      </c>
      <c r="I127" s="182">
        <f t="shared" si="57"/>
        <v>2014</v>
      </c>
      <c r="J127" s="156"/>
      <c r="K127" s="156"/>
      <c r="L127" s="223">
        <v>7898.28</v>
      </c>
      <c r="M127" s="156"/>
      <c r="N127" s="156">
        <f t="shared" si="58"/>
        <v>7898.28</v>
      </c>
      <c r="O127" s="156">
        <f t="shared" si="59"/>
        <v>65.819000000000003</v>
      </c>
      <c r="P127" s="156">
        <f t="shared" si="60"/>
        <v>0</v>
      </c>
      <c r="Q127" s="156">
        <f t="shared" si="61"/>
        <v>0</v>
      </c>
      <c r="R127" s="156">
        <f t="shared" si="62"/>
        <v>0</v>
      </c>
      <c r="S127" s="156">
        <v>1</v>
      </c>
      <c r="T127" s="156">
        <f t="shared" si="63"/>
        <v>0</v>
      </c>
      <c r="U127" s="156">
        <f t="shared" si="64"/>
        <v>7898.28</v>
      </c>
      <c r="V127" s="156">
        <f t="shared" si="65"/>
        <v>7898.28</v>
      </c>
      <c r="W127" s="156">
        <v>1</v>
      </c>
      <c r="X127" s="156">
        <f t="shared" si="66"/>
        <v>7898.28</v>
      </c>
      <c r="Y127" s="156">
        <f t="shared" si="67"/>
        <v>7898.28</v>
      </c>
      <c r="Z127" s="156">
        <f t="shared" si="68"/>
        <v>0</v>
      </c>
      <c r="AA127" s="156">
        <f t="shared" si="69"/>
        <v>2004.9166666666667</v>
      </c>
      <c r="AB127" s="156">
        <f t="shared" si="70"/>
        <v>2016.75</v>
      </c>
      <c r="AC127" s="156">
        <f t="shared" si="71"/>
        <v>2014.9166666666667</v>
      </c>
      <c r="AD127" s="181">
        <f t="shared" si="72"/>
        <v>2015.75</v>
      </c>
      <c r="AE127" s="181">
        <f t="shared" si="73"/>
        <v>-8.3333333333333329E-2</v>
      </c>
      <c r="AF127" s="181">
        <f t="shared" si="74"/>
        <v>2014.9166666666667</v>
      </c>
      <c r="AG127" s="181">
        <f t="shared" si="75"/>
        <v>2015.75</v>
      </c>
      <c r="AH127" s="181">
        <f t="shared" si="76"/>
        <v>-8.3333333333333329E-2</v>
      </c>
      <c r="AI127" s="156"/>
      <c r="AJ127" s="156"/>
      <c r="AK127" s="156"/>
      <c r="AL127" s="156"/>
    </row>
    <row r="128" spans="1:38" x14ac:dyDescent="0.25">
      <c r="A128" s="225" t="s">
        <v>622</v>
      </c>
      <c r="B128" s="156" t="s">
        <v>589</v>
      </c>
      <c r="C128" s="226" t="s">
        <v>623</v>
      </c>
      <c r="D128" s="182">
        <v>2005</v>
      </c>
      <c r="E128" s="161">
        <v>11</v>
      </c>
      <c r="F128" s="183"/>
      <c r="G128" s="166" t="s">
        <v>452</v>
      </c>
      <c r="H128" s="156">
        <v>10</v>
      </c>
      <c r="I128" s="182">
        <f t="shared" si="57"/>
        <v>2015</v>
      </c>
      <c r="J128" s="156"/>
      <c r="K128" s="156"/>
      <c r="L128" s="191">
        <v>6447</v>
      </c>
      <c r="M128" s="156"/>
      <c r="N128" s="156">
        <f t="shared" si="58"/>
        <v>6447</v>
      </c>
      <c r="O128" s="156">
        <f t="shared" si="59"/>
        <v>53.725000000000001</v>
      </c>
      <c r="P128" s="156">
        <f t="shared" si="60"/>
        <v>53.724999999951137</v>
      </c>
      <c r="Q128" s="156">
        <f t="shared" si="61"/>
        <v>0</v>
      </c>
      <c r="R128" s="156">
        <f t="shared" si="62"/>
        <v>53.724999999951137</v>
      </c>
      <c r="S128" s="156">
        <v>1</v>
      </c>
      <c r="T128" s="156">
        <f t="shared" si="63"/>
        <v>53.724999999951137</v>
      </c>
      <c r="U128" s="156">
        <f t="shared" si="64"/>
        <v>6393.2750000000487</v>
      </c>
      <c r="V128" s="156">
        <f t="shared" si="65"/>
        <v>6393.2750000000487</v>
      </c>
      <c r="W128" s="156">
        <v>1</v>
      </c>
      <c r="X128" s="156">
        <f t="shared" si="66"/>
        <v>6393.2750000000487</v>
      </c>
      <c r="Y128" s="156">
        <f t="shared" si="67"/>
        <v>6447</v>
      </c>
      <c r="Z128" s="156">
        <f t="shared" si="68"/>
        <v>26.862499999975626</v>
      </c>
      <c r="AA128" s="156">
        <f t="shared" si="69"/>
        <v>2005.8333333333333</v>
      </c>
      <c r="AB128" s="156">
        <f t="shared" si="70"/>
        <v>2016.75</v>
      </c>
      <c r="AC128" s="156">
        <f t="shared" si="71"/>
        <v>2015.8333333333333</v>
      </c>
      <c r="AD128" s="181">
        <f t="shared" si="72"/>
        <v>2015.75</v>
      </c>
      <c r="AE128" s="181">
        <f t="shared" si="73"/>
        <v>-8.3333333333333329E-2</v>
      </c>
      <c r="AF128" s="181">
        <f t="shared" si="74"/>
        <v>2015.8333333333333</v>
      </c>
      <c r="AG128" s="181">
        <f t="shared" si="75"/>
        <v>2015.75</v>
      </c>
      <c r="AH128" s="181">
        <f t="shared" si="76"/>
        <v>-8.3333333333333329E-2</v>
      </c>
      <c r="AI128" s="156"/>
      <c r="AJ128" s="156"/>
      <c r="AK128" s="156"/>
      <c r="AL128" s="156"/>
    </row>
    <row r="129" spans="1:38" x14ac:dyDescent="0.25">
      <c r="A129" s="163" t="s">
        <v>624</v>
      </c>
      <c r="B129" s="156" t="s">
        <v>589</v>
      </c>
      <c r="C129" s="162" t="s">
        <v>625</v>
      </c>
      <c r="D129" s="182">
        <v>2005</v>
      </c>
      <c r="E129" s="161">
        <v>11</v>
      </c>
      <c r="F129" s="183"/>
      <c r="G129" s="166" t="s">
        <v>452</v>
      </c>
      <c r="H129" s="156">
        <v>10</v>
      </c>
      <c r="I129" s="182">
        <f t="shared" si="57"/>
        <v>2015</v>
      </c>
      <c r="J129" s="156"/>
      <c r="K129" s="156"/>
      <c r="L129" s="191">
        <v>2006</v>
      </c>
      <c r="M129" s="156"/>
      <c r="N129" s="156">
        <f t="shared" si="58"/>
        <v>2006</v>
      </c>
      <c r="O129" s="156">
        <f t="shared" si="59"/>
        <v>16.716666666666665</v>
      </c>
      <c r="P129" s="156">
        <f t="shared" si="60"/>
        <v>16.716666666651463</v>
      </c>
      <c r="Q129" s="156">
        <f t="shared" si="61"/>
        <v>0</v>
      </c>
      <c r="R129" s="156">
        <f t="shared" si="62"/>
        <v>16.716666666651463</v>
      </c>
      <c r="S129" s="156">
        <v>1</v>
      </c>
      <c r="T129" s="156">
        <f t="shared" si="63"/>
        <v>16.716666666651463</v>
      </c>
      <c r="U129" s="156">
        <f t="shared" si="64"/>
        <v>1989.2833333333485</v>
      </c>
      <c r="V129" s="156">
        <f t="shared" si="65"/>
        <v>1989.2833333333485</v>
      </c>
      <c r="W129" s="156">
        <v>1</v>
      </c>
      <c r="X129" s="156">
        <f t="shared" si="66"/>
        <v>1989.2833333333485</v>
      </c>
      <c r="Y129" s="156">
        <f t="shared" si="67"/>
        <v>2006</v>
      </c>
      <c r="Z129" s="156">
        <f t="shared" si="68"/>
        <v>8.3583333333257315</v>
      </c>
      <c r="AA129" s="156">
        <f t="shared" si="69"/>
        <v>2005.8333333333333</v>
      </c>
      <c r="AB129" s="156">
        <f t="shared" si="70"/>
        <v>2016.75</v>
      </c>
      <c r="AC129" s="156">
        <f t="shared" si="71"/>
        <v>2015.8333333333333</v>
      </c>
      <c r="AD129" s="181">
        <f t="shared" si="72"/>
        <v>2015.75</v>
      </c>
      <c r="AE129" s="181">
        <f t="shared" si="73"/>
        <v>-8.3333333333333329E-2</v>
      </c>
      <c r="AF129" s="181">
        <f t="shared" si="74"/>
        <v>2015.8333333333333</v>
      </c>
      <c r="AG129" s="181">
        <f t="shared" si="75"/>
        <v>2015.75</v>
      </c>
      <c r="AH129" s="181">
        <f t="shared" si="76"/>
        <v>-8.3333333333333329E-2</v>
      </c>
      <c r="AI129" s="156"/>
      <c r="AJ129" s="156"/>
      <c r="AK129" s="156"/>
      <c r="AL129" s="156"/>
    </row>
    <row r="130" spans="1:38" x14ac:dyDescent="0.25">
      <c r="A130" s="163" t="s">
        <v>626</v>
      </c>
      <c r="B130" s="156" t="s">
        <v>589</v>
      </c>
      <c r="C130" s="222" t="s">
        <v>627</v>
      </c>
      <c r="D130" s="182">
        <v>2005</v>
      </c>
      <c r="E130" s="161">
        <v>2</v>
      </c>
      <c r="F130" s="183"/>
      <c r="G130" s="166" t="s">
        <v>452</v>
      </c>
      <c r="H130" s="156">
        <v>10</v>
      </c>
      <c r="I130" s="182">
        <f t="shared" si="57"/>
        <v>2015</v>
      </c>
      <c r="J130" s="156"/>
      <c r="K130" s="156"/>
      <c r="L130" s="201">
        <v>14748</v>
      </c>
      <c r="M130" s="156"/>
      <c r="N130" s="156">
        <f t="shared" si="58"/>
        <v>14748</v>
      </c>
      <c r="O130" s="156">
        <f t="shared" si="59"/>
        <v>122.89999999999999</v>
      </c>
      <c r="P130" s="156">
        <f t="shared" si="60"/>
        <v>0</v>
      </c>
      <c r="Q130" s="156">
        <f t="shared" si="61"/>
        <v>0</v>
      </c>
      <c r="R130" s="156">
        <f t="shared" si="62"/>
        <v>0</v>
      </c>
      <c r="S130" s="156">
        <v>1</v>
      </c>
      <c r="T130" s="156">
        <f t="shared" si="63"/>
        <v>0</v>
      </c>
      <c r="U130" s="156">
        <f t="shared" si="64"/>
        <v>14748</v>
      </c>
      <c r="V130" s="156">
        <f t="shared" si="65"/>
        <v>14748</v>
      </c>
      <c r="W130" s="156">
        <v>1</v>
      </c>
      <c r="X130" s="156">
        <f t="shared" si="66"/>
        <v>14748</v>
      </c>
      <c r="Y130" s="156">
        <f t="shared" si="67"/>
        <v>14748</v>
      </c>
      <c r="Z130" s="156">
        <f t="shared" si="68"/>
        <v>0</v>
      </c>
      <c r="AA130" s="156">
        <f t="shared" si="69"/>
        <v>2005.0833333333333</v>
      </c>
      <c r="AB130" s="156">
        <f t="shared" si="70"/>
        <v>2016.75</v>
      </c>
      <c r="AC130" s="156">
        <f t="shared" si="71"/>
        <v>2015.0833333333333</v>
      </c>
      <c r="AD130" s="181">
        <f t="shared" si="72"/>
        <v>2015.75</v>
      </c>
      <c r="AE130" s="181">
        <f t="shared" si="73"/>
        <v>-8.3333333333333329E-2</v>
      </c>
      <c r="AF130" s="181">
        <f t="shared" si="74"/>
        <v>2015.0833333333333</v>
      </c>
      <c r="AG130" s="181">
        <f t="shared" si="75"/>
        <v>2015.75</v>
      </c>
      <c r="AH130" s="181">
        <f t="shared" si="76"/>
        <v>-8.3333333333333329E-2</v>
      </c>
      <c r="AI130" s="156"/>
      <c r="AJ130" s="156"/>
      <c r="AK130" s="156"/>
      <c r="AL130" s="156"/>
    </row>
    <row r="131" spans="1:38" x14ac:dyDescent="0.25">
      <c r="A131" s="203" t="s">
        <v>628</v>
      </c>
      <c r="B131" s="156" t="s">
        <v>589</v>
      </c>
      <c r="C131" s="222" t="s">
        <v>629</v>
      </c>
      <c r="D131" s="182">
        <v>2005</v>
      </c>
      <c r="E131" s="161">
        <v>3</v>
      </c>
      <c r="F131" s="183"/>
      <c r="G131" s="166" t="s">
        <v>452</v>
      </c>
      <c r="H131" s="156">
        <v>10</v>
      </c>
      <c r="I131" s="182">
        <f t="shared" si="57"/>
        <v>2015</v>
      </c>
      <c r="J131" s="156"/>
      <c r="K131" s="156"/>
      <c r="L131" s="201">
        <v>13854</v>
      </c>
      <c r="M131" s="156"/>
      <c r="N131" s="156">
        <f t="shared" si="58"/>
        <v>13854</v>
      </c>
      <c r="O131" s="156">
        <f t="shared" si="59"/>
        <v>115.45</v>
      </c>
      <c r="P131" s="156">
        <f t="shared" si="60"/>
        <v>0</v>
      </c>
      <c r="Q131" s="156">
        <f t="shared" si="61"/>
        <v>0</v>
      </c>
      <c r="R131" s="156">
        <f t="shared" si="62"/>
        <v>0</v>
      </c>
      <c r="S131" s="156">
        <v>1</v>
      </c>
      <c r="T131" s="156">
        <f t="shared" si="63"/>
        <v>0</v>
      </c>
      <c r="U131" s="156">
        <f t="shared" si="64"/>
        <v>13854</v>
      </c>
      <c r="V131" s="156">
        <f t="shared" si="65"/>
        <v>13854</v>
      </c>
      <c r="W131" s="156">
        <v>1</v>
      </c>
      <c r="X131" s="156">
        <f t="shared" si="66"/>
        <v>13854</v>
      </c>
      <c r="Y131" s="156">
        <f t="shared" si="67"/>
        <v>13854</v>
      </c>
      <c r="Z131" s="156">
        <f t="shared" si="68"/>
        <v>0</v>
      </c>
      <c r="AA131" s="156">
        <f t="shared" si="69"/>
        <v>2005.1666666666667</v>
      </c>
      <c r="AB131" s="156">
        <f t="shared" si="70"/>
        <v>2016.75</v>
      </c>
      <c r="AC131" s="156">
        <f t="shared" si="71"/>
        <v>2015.1666666666667</v>
      </c>
      <c r="AD131" s="181">
        <f t="shared" si="72"/>
        <v>2015.75</v>
      </c>
      <c r="AE131" s="181">
        <f t="shared" si="73"/>
        <v>-8.3333333333333329E-2</v>
      </c>
      <c r="AF131" s="181">
        <f t="shared" si="74"/>
        <v>2015.1666666666667</v>
      </c>
      <c r="AG131" s="181">
        <f t="shared" si="75"/>
        <v>2015.75</v>
      </c>
      <c r="AH131" s="181">
        <f t="shared" si="76"/>
        <v>-8.3333333333333329E-2</v>
      </c>
      <c r="AI131" s="156"/>
      <c r="AJ131" s="156"/>
      <c r="AK131" s="156"/>
      <c r="AL131" s="156"/>
    </row>
    <row r="132" spans="1:38" x14ac:dyDescent="0.25">
      <c r="A132" s="163" t="s">
        <v>630</v>
      </c>
      <c r="B132" s="156" t="s">
        <v>589</v>
      </c>
      <c r="C132" s="194" t="s">
        <v>631</v>
      </c>
      <c r="D132" s="182">
        <v>2005</v>
      </c>
      <c r="E132" s="161">
        <v>4</v>
      </c>
      <c r="F132" s="183"/>
      <c r="G132" s="166" t="s">
        <v>452</v>
      </c>
      <c r="H132" s="156">
        <v>10</v>
      </c>
      <c r="I132" s="182">
        <f t="shared" si="57"/>
        <v>2015</v>
      </c>
      <c r="J132" s="156"/>
      <c r="K132" s="156"/>
      <c r="L132" s="201">
        <v>3495</v>
      </c>
      <c r="M132" s="156"/>
      <c r="N132" s="156">
        <f t="shared" si="58"/>
        <v>3495</v>
      </c>
      <c r="O132" s="156">
        <f t="shared" si="59"/>
        <v>29.125</v>
      </c>
      <c r="P132" s="156">
        <f t="shared" si="60"/>
        <v>0</v>
      </c>
      <c r="Q132" s="156">
        <f t="shared" si="61"/>
        <v>0</v>
      </c>
      <c r="R132" s="156">
        <f t="shared" si="62"/>
        <v>0</v>
      </c>
      <c r="S132" s="156">
        <v>1</v>
      </c>
      <c r="T132" s="156">
        <f t="shared" si="63"/>
        <v>0</v>
      </c>
      <c r="U132" s="156">
        <f t="shared" si="64"/>
        <v>3495</v>
      </c>
      <c r="V132" s="156">
        <f t="shared" si="65"/>
        <v>3495</v>
      </c>
      <c r="W132" s="156">
        <v>1</v>
      </c>
      <c r="X132" s="156">
        <f t="shared" si="66"/>
        <v>3495</v>
      </c>
      <c r="Y132" s="156">
        <f t="shared" si="67"/>
        <v>3495</v>
      </c>
      <c r="Z132" s="156">
        <f t="shared" si="68"/>
        <v>0</v>
      </c>
      <c r="AA132" s="156">
        <f t="shared" si="69"/>
        <v>2005.25</v>
      </c>
      <c r="AB132" s="156">
        <f t="shared" si="70"/>
        <v>2016.75</v>
      </c>
      <c r="AC132" s="156">
        <f t="shared" si="71"/>
        <v>2015.25</v>
      </c>
      <c r="AD132" s="181">
        <f t="shared" si="72"/>
        <v>2015.75</v>
      </c>
      <c r="AE132" s="181">
        <f t="shared" si="73"/>
        <v>-8.3333333333333329E-2</v>
      </c>
      <c r="AF132" s="181">
        <f t="shared" si="74"/>
        <v>2015.25</v>
      </c>
      <c r="AG132" s="181">
        <f t="shared" si="75"/>
        <v>2015.75</v>
      </c>
      <c r="AH132" s="181">
        <f t="shared" si="76"/>
        <v>-8.3333333333333329E-2</v>
      </c>
      <c r="AI132" s="156"/>
      <c r="AJ132" s="156"/>
      <c r="AK132" s="156"/>
      <c r="AL132" s="156"/>
    </row>
    <row r="133" spans="1:38" x14ac:dyDescent="0.25">
      <c r="A133" s="163" t="s">
        <v>632</v>
      </c>
      <c r="B133" s="156" t="s">
        <v>589</v>
      </c>
      <c r="C133" s="222" t="s">
        <v>633</v>
      </c>
      <c r="D133" s="182">
        <v>2005</v>
      </c>
      <c r="E133" s="161">
        <v>5</v>
      </c>
      <c r="F133" s="183"/>
      <c r="G133" s="166" t="s">
        <v>452</v>
      </c>
      <c r="H133" s="156">
        <v>10</v>
      </c>
      <c r="I133" s="182">
        <f t="shared" si="57"/>
        <v>2015</v>
      </c>
      <c r="J133" s="156"/>
      <c r="K133" s="156"/>
      <c r="L133" s="201">
        <v>11163</v>
      </c>
      <c r="M133" s="156"/>
      <c r="N133" s="156">
        <f t="shared" si="58"/>
        <v>11163</v>
      </c>
      <c r="O133" s="156">
        <f t="shared" si="59"/>
        <v>93.024999999999991</v>
      </c>
      <c r="P133" s="156">
        <f t="shared" si="60"/>
        <v>0</v>
      </c>
      <c r="Q133" s="156">
        <f t="shared" si="61"/>
        <v>0</v>
      </c>
      <c r="R133" s="156">
        <f t="shared" si="62"/>
        <v>0</v>
      </c>
      <c r="S133" s="156">
        <v>1</v>
      </c>
      <c r="T133" s="156">
        <f t="shared" si="63"/>
        <v>0</v>
      </c>
      <c r="U133" s="156">
        <f t="shared" si="64"/>
        <v>11163</v>
      </c>
      <c r="V133" s="156">
        <f t="shared" si="65"/>
        <v>11163</v>
      </c>
      <c r="W133" s="156">
        <v>1</v>
      </c>
      <c r="X133" s="156">
        <f t="shared" si="66"/>
        <v>11163</v>
      </c>
      <c r="Y133" s="156">
        <f t="shared" si="67"/>
        <v>11163</v>
      </c>
      <c r="Z133" s="156">
        <f t="shared" si="68"/>
        <v>0</v>
      </c>
      <c r="AA133" s="156">
        <f t="shared" si="69"/>
        <v>2005.3333333333333</v>
      </c>
      <c r="AB133" s="156">
        <f t="shared" si="70"/>
        <v>2016.75</v>
      </c>
      <c r="AC133" s="156">
        <f t="shared" si="71"/>
        <v>2015.3333333333333</v>
      </c>
      <c r="AD133" s="181">
        <f t="shared" si="72"/>
        <v>2015.75</v>
      </c>
      <c r="AE133" s="181">
        <f t="shared" si="73"/>
        <v>-8.3333333333333329E-2</v>
      </c>
      <c r="AF133" s="181">
        <f t="shared" si="74"/>
        <v>2015.3333333333333</v>
      </c>
      <c r="AG133" s="181">
        <f t="shared" si="75"/>
        <v>2015.75</v>
      </c>
      <c r="AH133" s="181">
        <f t="shared" si="76"/>
        <v>-8.3333333333333329E-2</v>
      </c>
      <c r="AI133" s="156"/>
      <c r="AJ133" s="156"/>
      <c r="AK133" s="156"/>
      <c r="AL133" s="156"/>
    </row>
    <row r="134" spans="1:38" x14ac:dyDescent="0.25">
      <c r="A134" s="163" t="s">
        <v>634</v>
      </c>
      <c r="B134" s="156" t="s">
        <v>589</v>
      </c>
      <c r="C134" s="222" t="s">
        <v>635</v>
      </c>
      <c r="D134" s="182">
        <v>2005</v>
      </c>
      <c r="E134" s="161">
        <v>8</v>
      </c>
      <c r="F134" s="183"/>
      <c r="G134" s="166" t="s">
        <v>452</v>
      </c>
      <c r="H134" s="156">
        <v>10</v>
      </c>
      <c r="I134" s="182">
        <f t="shared" si="57"/>
        <v>2015</v>
      </c>
      <c r="J134" s="156"/>
      <c r="K134" s="156"/>
      <c r="L134" s="201">
        <v>4540</v>
      </c>
      <c r="M134" s="156"/>
      <c r="N134" s="156">
        <f t="shared" si="58"/>
        <v>4540</v>
      </c>
      <c r="O134" s="156">
        <f t="shared" si="59"/>
        <v>37.833333333333336</v>
      </c>
      <c r="P134" s="156">
        <f t="shared" si="60"/>
        <v>0</v>
      </c>
      <c r="Q134" s="156">
        <f t="shared" si="61"/>
        <v>0</v>
      </c>
      <c r="R134" s="156">
        <f t="shared" si="62"/>
        <v>0</v>
      </c>
      <c r="S134" s="156">
        <v>1</v>
      </c>
      <c r="T134" s="156">
        <f t="shared" si="63"/>
        <v>0</v>
      </c>
      <c r="U134" s="156">
        <f t="shared" si="64"/>
        <v>4540</v>
      </c>
      <c r="V134" s="156">
        <f t="shared" si="65"/>
        <v>4540</v>
      </c>
      <c r="W134" s="156">
        <v>1</v>
      </c>
      <c r="X134" s="156">
        <f t="shared" si="66"/>
        <v>4540</v>
      </c>
      <c r="Y134" s="156">
        <f t="shared" si="67"/>
        <v>4540</v>
      </c>
      <c r="Z134" s="156">
        <f t="shared" si="68"/>
        <v>0</v>
      </c>
      <c r="AA134" s="156">
        <f t="shared" si="69"/>
        <v>2005.5833333333333</v>
      </c>
      <c r="AB134" s="156">
        <f t="shared" si="70"/>
        <v>2016.75</v>
      </c>
      <c r="AC134" s="156">
        <f t="shared" si="71"/>
        <v>2015.5833333333333</v>
      </c>
      <c r="AD134" s="181">
        <f t="shared" si="72"/>
        <v>2015.75</v>
      </c>
      <c r="AE134" s="181">
        <f t="shared" si="73"/>
        <v>-8.3333333333333329E-2</v>
      </c>
      <c r="AF134" s="181">
        <f t="shared" si="74"/>
        <v>2015.5833333333333</v>
      </c>
      <c r="AG134" s="181">
        <f t="shared" si="75"/>
        <v>2015.75</v>
      </c>
      <c r="AH134" s="181">
        <f t="shared" si="76"/>
        <v>-8.3333333333333329E-2</v>
      </c>
      <c r="AI134" s="156"/>
      <c r="AJ134" s="156"/>
      <c r="AK134" s="156"/>
      <c r="AL134" s="156"/>
    </row>
    <row r="135" spans="1:38" x14ac:dyDescent="0.25">
      <c r="A135" s="203" t="s">
        <v>636</v>
      </c>
      <c r="B135" s="156" t="s">
        <v>589</v>
      </c>
      <c r="C135" s="222" t="s">
        <v>637</v>
      </c>
      <c r="D135" s="182">
        <v>2005</v>
      </c>
      <c r="E135" s="161">
        <v>5</v>
      </c>
      <c r="F135" s="183"/>
      <c r="G135" s="166" t="s">
        <v>452</v>
      </c>
      <c r="H135" s="156">
        <v>10</v>
      </c>
      <c r="I135" s="182">
        <f t="shared" si="57"/>
        <v>2015</v>
      </c>
      <c r="J135" s="156"/>
      <c r="K135" s="156"/>
      <c r="L135" s="201">
        <v>8874</v>
      </c>
      <c r="M135" s="156"/>
      <c r="N135" s="156">
        <f t="shared" si="58"/>
        <v>8874</v>
      </c>
      <c r="O135" s="156">
        <f t="shared" si="59"/>
        <v>73.95</v>
      </c>
      <c r="P135" s="156">
        <f t="shared" si="60"/>
        <v>0</v>
      </c>
      <c r="Q135" s="156">
        <f t="shared" si="61"/>
        <v>0</v>
      </c>
      <c r="R135" s="156">
        <f t="shared" si="62"/>
        <v>0</v>
      </c>
      <c r="S135" s="156">
        <v>1</v>
      </c>
      <c r="T135" s="156">
        <f t="shared" si="63"/>
        <v>0</v>
      </c>
      <c r="U135" s="156">
        <f t="shared" si="64"/>
        <v>8874</v>
      </c>
      <c r="V135" s="156">
        <f t="shared" si="65"/>
        <v>8874</v>
      </c>
      <c r="W135" s="156">
        <v>1</v>
      </c>
      <c r="X135" s="156">
        <f t="shared" si="66"/>
        <v>8874</v>
      </c>
      <c r="Y135" s="156">
        <f t="shared" si="67"/>
        <v>8874</v>
      </c>
      <c r="Z135" s="156">
        <f t="shared" si="68"/>
        <v>0</v>
      </c>
      <c r="AA135" s="156">
        <f t="shared" si="69"/>
        <v>2005.3333333333333</v>
      </c>
      <c r="AB135" s="156">
        <f t="shared" si="70"/>
        <v>2016.75</v>
      </c>
      <c r="AC135" s="156">
        <f t="shared" si="71"/>
        <v>2015.3333333333333</v>
      </c>
      <c r="AD135" s="181">
        <f t="shared" si="72"/>
        <v>2015.75</v>
      </c>
      <c r="AE135" s="181">
        <f t="shared" si="73"/>
        <v>-8.3333333333333329E-2</v>
      </c>
      <c r="AF135" s="181">
        <f t="shared" si="74"/>
        <v>2015.3333333333333</v>
      </c>
      <c r="AG135" s="181">
        <f t="shared" si="75"/>
        <v>2015.75</v>
      </c>
      <c r="AH135" s="181">
        <f t="shared" si="76"/>
        <v>-8.3333333333333329E-2</v>
      </c>
      <c r="AI135" s="156"/>
      <c r="AJ135" s="156"/>
      <c r="AK135" s="156"/>
      <c r="AL135" s="156"/>
    </row>
    <row r="136" spans="1:38" x14ac:dyDescent="0.25">
      <c r="A136" s="163"/>
      <c r="B136" s="156" t="s">
        <v>589</v>
      </c>
      <c r="C136" s="194" t="s">
        <v>638</v>
      </c>
      <c r="D136" s="182">
        <v>2006</v>
      </c>
      <c r="E136" s="161">
        <v>7</v>
      </c>
      <c r="F136" s="183"/>
      <c r="G136" s="166" t="s">
        <v>452</v>
      </c>
      <c r="H136" s="156">
        <v>10</v>
      </c>
      <c r="I136" s="182">
        <f t="shared" si="57"/>
        <v>2016</v>
      </c>
      <c r="J136" s="156"/>
      <c r="K136" s="156"/>
      <c r="L136" s="201">
        <v>15424</v>
      </c>
      <c r="M136" s="156"/>
      <c r="N136" s="156">
        <f t="shared" si="58"/>
        <v>15424</v>
      </c>
      <c r="O136" s="156">
        <f t="shared" si="59"/>
        <v>128.53333333333333</v>
      </c>
      <c r="P136" s="156">
        <f t="shared" si="60"/>
        <v>1156.8</v>
      </c>
      <c r="Q136" s="156">
        <f t="shared" si="61"/>
        <v>0</v>
      </c>
      <c r="R136" s="156">
        <f t="shared" si="62"/>
        <v>1156.8</v>
      </c>
      <c r="S136" s="156">
        <v>1</v>
      </c>
      <c r="T136" s="156">
        <f t="shared" si="63"/>
        <v>1156.8</v>
      </c>
      <c r="U136" s="156">
        <f t="shared" si="64"/>
        <v>14267.2</v>
      </c>
      <c r="V136" s="156">
        <f t="shared" si="65"/>
        <v>14267.2</v>
      </c>
      <c r="W136" s="156">
        <v>1</v>
      </c>
      <c r="X136" s="156">
        <f t="shared" si="66"/>
        <v>14267.2</v>
      </c>
      <c r="Y136" s="156">
        <f t="shared" si="67"/>
        <v>15424</v>
      </c>
      <c r="Z136" s="156">
        <f t="shared" si="68"/>
        <v>578.39999999999964</v>
      </c>
      <c r="AA136" s="156">
        <f t="shared" si="69"/>
        <v>2006.5</v>
      </c>
      <c r="AB136" s="156">
        <f t="shared" si="70"/>
        <v>2016.75</v>
      </c>
      <c r="AC136" s="156">
        <f t="shared" si="71"/>
        <v>2016.5</v>
      </c>
      <c r="AD136" s="181">
        <f t="shared" si="72"/>
        <v>2015.75</v>
      </c>
      <c r="AE136" s="181">
        <f t="shared" si="73"/>
        <v>-8.3333333333333329E-2</v>
      </c>
      <c r="AF136" s="181">
        <f t="shared" si="74"/>
        <v>2016.5</v>
      </c>
      <c r="AG136" s="181">
        <f t="shared" si="75"/>
        <v>2015.75</v>
      </c>
      <c r="AH136" s="181">
        <f t="shared" si="76"/>
        <v>-8.3333333333333329E-2</v>
      </c>
      <c r="AI136" s="156"/>
      <c r="AJ136" s="156"/>
      <c r="AK136" s="156"/>
      <c r="AL136" s="156"/>
    </row>
    <row r="137" spans="1:38" x14ac:dyDescent="0.25">
      <c r="A137" s="203" t="s">
        <v>639</v>
      </c>
      <c r="B137" s="156" t="s">
        <v>589</v>
      </c>
      <c r="C137" s="194" t="s">
        <v>640</v>
      </c>
      <c r="D137" s="182">
        <v>2006</v>
      </c>
      <c r="E137" s="161">
        <v>7</v>
      </c>
      <c r="F137" s="183"/>
      <c r="G137" s="166" t="s">
        <v>452</v>
      </c>
      <c r="H137" s="156">
        <v>10</v>
      </c>
      <c r="I137" s="182">
        <f t="shared" si="57"/>
        <v>2016</v>
      </c>
      <c r="J137" s="156"/>
      <c r="K137" s="156"/>
      <c r="L137" s="201">
        <v>9360</v>
      </c>
      <c r="M137" s="156"/>
      <c r="N137" s="156">
        <f t="shared" si="58"/>
        <v>9360</v>
      </c>
      <c r="O137" s="156">
        <f t="shared" si="59"/>
        <v>78</v>
      </c>
      <c r="P137" s="156">
        <f t="shared" si="60"/>
        <v>702</v>
      </c>
      <c r="Q137" s="156">
        <f t="shared" si="61"/>
        <v>0</v>
      </c>
      <c r="R137" s="156">
        <f t="shared" si="62"/>
        <v>702</v>
      </c>
      <c r="S137" s="156">
        <v>1</v>
      </c>
      <c r="T137" s="156">
        <f t="shared" si="63"/>
        <v>702</v>
      </c>
      <c r="U137" s="156">
        <f t="shared" si="64"/>
        <v>8658</v>
      </c>
      <c r="V137" s="156">
        <f t="shared" si="65"/>
        <v>8658</v>
      </c>
      <c r="W137" s="156">
        <v>1</v>
      </c>
      <c r="X137" s="156">
        <f t="shared" si="66"/>
        <v>8658</v>
      </c>
      <c r="Y137" s="156">
        <f t="shared" si="67"/>
        <v>9360</v>
      </c>
      <c r="Z137" s="156">
        <f t="shared" si="68"/>
        <v>351</v>
      </c>
      <c r="AA137" s="156">
        <f t="shared" si="69"/>
        <v>2006.5</v>
      </c>
      <c r="AB137" s="156">
        <f t="shared" si="70"/>
        <v>2016.75</v>
      </c>
      <c r="AC137" s="156">
        <f t="shared" si="71"/>
        <v>2016.5</v>
      </c>
      <c r="AD137" s="181">
        <f t="shared" si="72"/>
        <v>2015.75</v>
      </c>
      <c r="AE137" s="181">
        <f t="shared" si="73"/>
        <v>-8.3333333333333329E-2</v>
      </c>
      <c r="AF137" s="181">
        <f t="shared" si="74"/>
        <v>2016.5</v>
      </c>
      <c r="AG137" s="181">
        <f t="shared" si="75"/>
        <v>2015.75</v>
      </c>
      <c r="AH137" s="181">
        <f t="shared" si="76"/>
        <v>-8.3333333333333329E-2</v>
      </c>
      <c r="AI137" s="156"/>
      <c r="AJ137" s="156"/>
      <c r="AK137" s="156"/>
      <c r="AL137" s="156"/>
    </row>
    <row r="138" spans="1:38" x14ac:dyDescent="0.25">
      <c r="A138" s="163"/>
      <c r="B138" s="156" t="s">
        <v>589</v>
      </c>
      <c r="C138" s="194" t="s">
        <v>641</v>
      </c>
      <c r="D138" s="182">
        <v>2006</v>
      </c>
      <c r="E138" s="161">
        <v>7</v>
      </c>
      <c r="F138" s="183"/>
      <c r="G138" s="166" t="s">
        <v>452</v>
      </c>
      <c r="H138" s="156">
        <v>10</v>
      </c>
      <c r="I138" s="182">
        <f t="shared" si="57"/>
        <v>2016</v>
      </c>
      <c r="J138" s="156"/>
      <c r="K138" s="156"/>
      <c r="L138" s="201">
        <v>5700</v>
      </c>
      <c r="M138" s="156"/>
      <c r="N138" s="156">
        <f t="shared" si="58"/>
        <v>5700</v>
      </c>
      <c r="O138" s="156">
        <f t="shared" si="59"/>
        <v>47.5</v>
      </c>
      <c r="P138" s="156">
        <f t="shared" si="60"/>
        <v>427.5</v>
      </c>
      <c r="Q138" s="156">
        <f t="shared" si="61"/>
        <v>0</v>
      </c>
      <c r="R138" s="156">
        <f t="shared" si="62"/>
        <v>427.5</v>
      </c>
      <c r="S138" s="156">
        <v>1</v>
      </c>
      <c r="T138" s="156">
        <f t="shared" si="63"/>
        <v>427.5</v>
      </c>
      <c r="U138" s="156">
        <f t="shared" si="64"/>
        <v>5272.5</v>
      </c>
      <c r="V138" s="156">
        <f t="shared" si="65"/>
        <v>5272.5</v>
      </c>
      <c r="W138" s="156">
        <v>1</v>
      </c>
      <c r="X138" s="156">
        <f t="shared" si="66"/>
        <v>5272.5</v>
      </c>
      <c r="Y138" s="156">
        <f t="shared" si="67"/>
        <v>5700</v>
      </c>
      <c r="Z138" s="156">
        <f t="shared" si="68"/>
        <v>213.75</v>
      </c>
      <c r="AA138" s="156">
        <f t="shared" si="69"/>
        <v>2006.5</v>
      </c>
      <c r="AB138" s="156">
        <f t="shared" si="70"/>
        <v>2016.75</v>
      </c>
      <c r="AC138" s="156">
        <f t="shared" si="71"/>
        <v>2016.5</v>
      </c>
      <c r="AD138" s="181">
        <f t="shared" si="72"/>
        <v>2015.75</v>
      </c>
      <c r="AE138" s="181">
        <f t="shared" si="73"/>
        <v>-8.3333333333333329E-2</v>
      </c>
      <c r="AF138" s="181">
        <f t="shared" si="74"/>
        <v>2016.5</v>
      </c>
      <c r="AG138" s="181">
        <f t="shared" si="75"/>
        <v>2015.75</v>
      </c>
      <c r="AH138" s="181">
        <f t="shared" si="76"/>
        <v>-8.3333333333333329E-2</v>
      </c>
      <c r="AI138" s="156"/>
      <c r="AJ138" s="156"/>
      <c r="AK138" s="156"/>
      <c r="AL138" s="156"/>
    </row>
    <row r="139" spans="1:38" x14ac:dyDescent="0.25">
      <c r="A139" s="163" t="s">
        <v>642</v>
      </c>
      <c r="B139" s="156" t="s">
        <v>589</v>
      </c>
      <c r="C139" s="222" t="s">
        <v>643</v>
      </c>
      <c r="D139" s="182">
        <v>2006</v>
      </c>
      <c r="E139" s="161">
        <v>7</v>
      </c>
      <c r="F139" s="183"/>
      <c r="G139" s="166" t="s">
        <v>452</v>
      </c>
      <c r="H139" s="156">
        <v>10</v>
      </c>
      <c r="I139" s="182">
        <f t="shared" si="57"/>
        <v>2016</v>
      </c>
      <c r="J139" s="156"/>
      <c r="K139" s="156"/>
      <c r="L139" s="201">
        <v>5782</v>
      </c>
      <c r="M139" s="156"/>
      <c r="N139" s="156">
        <f t="shared" si="58"/>
        <v>5782</v>
      </c>
      <c r="O139" s="156">
        <f t="shared" si="59"/>
        <v>48.183333333333337</v>
      </c>
      <c r="P139" s="156">
        <f t="shared" si="60"/>
        <v>433.65000000000003</v>
      </c>
      <c r="Q139" s="156">
        <f t="shared" si="61"/>
        <v>0</v>
      </c>
      <c r="R139" s="156">
        <f t="shared" si="62"/>
        <v>433.65000000000003</v>
      </c>
      <c r="S139" s="156">
        <v>1</v>
      </c>
      <c r="T139" s="156">
        <f t="shared" si="63"/>
        <v>433.65000000000003</v>
      </c>
      <c r="U139" s="156">
        <f t="shared" si="64"/>
        <v>5348.35</v>
      </c>
      <c r="V139" s="156">
        <f t="shared" si="65"/>
        <v>5348.35</v>
      </c>
      <c r="W139" s="156">
        <v>1</v>
      </c>
      <c r="X139" s="156">
        <f t="shared" si="66"/>
        <v>5348.35</v>
      </c>
      <c r="Y139" s="156">
        <f t="shared" si="67"/>
        <v>5782</v>
      </c>
      <c r="Z139" s="156">
        <f t="shared" si="68"/>
        <v>216.82499999999982</v>
      </c>
      <c r="AA139" s="156">
        <f t="shared" si="69"/>
        <v>2006.5</v>
      </c>
      <c r="AB139" s="156">
        <f t="shared" si="70"/>
        <v>2016.75</v>
      </c>
      <c r="AC139" s="156">
        <f t="shared" si="71"/>
        <v>2016.5</v>
      </c>
      <c r="AD139" s="181">
        <f t="shared" si="72"/>
        <v>2015.75</v>
      </c>
      <c r="AE139" s="181">
        <f t="shared" si="73"/>
        <v>-8.3333333333333329E-2</v>
      </c>
      <c r="AF139" s="181">
        <f t="shared" si="74"/>
        <v>2016.5</v>
      </c>
      <c r="AG139" s="181">
        <f t="shared" si="75"/>
        <v>2015.75</v>
      </c>
      <c r="AH139" s="181">
        <f t="shared" si="76"/>
        <v>-8.3333333333333329E-2</v>
      </c>
      <c r="AI139" s="156"/>
      <c r="AJ139" s="156"/>
      <c r="AK139" s="156"/>
      <c r="AL139" s="156"/>
    </row>
    <row r="140" spans="1:38" x14ac:dyDescent="0.25">
      <c r="A140" s="163" t="s">
        <v>644</v>
      </c>
      <c r="B140" s="156" t="s">
        <v>589</v>
      </c>
      <c r="C140" s="222" t="s">
        <v>645</v>
      </c>
      <c r="D140" s="182">
        <v>2006</v>
      </c>
      <c r="E140" s="161">
        <v>7</v>
      </c>
      <c r="F140" s="183"/>
      <c r="G140" s="166" t="s">
        <v>452</v>
      </c>
      <c r="H140" s="156">
        <v>10</v>
      </c>
      <c r="I140" s="182">
        <f t="shared" si="57"/>
        <v>2016</v>
      </c>
      <c r="J140" s="156"/>
      <c r="K140" s="156"/>
      <c r="L140" s="201">
        <v>7360</v>
      </c>
      <c r="M140" s="156"/>
      <c r="N140" s="156">
        <f t="shared" si="58"/>
        <v>7360</v>
      </c>
      <c r="O140" s="156">
        <f t="shared" si="59"/>
        <v>61.333333333333336</v>
      </c>
      <c r="P140" s="156">
        <f t="shared" si="60"/>
        <v>552</v>
      </c>
      <c r="Q140" s="156">
        <f t="shared" si="61"/>
        <v>0</v>
      </c>
      <c r="R140" s="156">
        <f t="shared" si="62"/>
        <v>552</v>
      </c>
      <c r="S140" s="156">
        <v>1</v>
      </c>
      <c r="T140" s="156">
        <f t="shared" si="63"/>
        <v>552</v>
      </c>
      <c r="U140" s="156">
        <f t="shared" si="64"/>
        <v>6808</v>
      </c>
      <c r="V140" s="156">
        <f t="shared" si="65"/>
        <v>6808</v>
      </c>
      <c r="W140" s="156">
        <v>1</v>
      </c>
      <c r="X140" s="156">
        <f t="shared" si="66"/>
        <v>6808</v>
      </c>
      <c r="Y140" s="156">
        <f t="shared" si="67"/>
        <v>7360</v>
      </c>
      <c r="Z140" s="156">
        <f t="shared" si="68"/>
        <v>276</v>
      </c>
      <c r="AA140" s="156">
        <f t="shared" si="69"/>
        <v>2006.5</v>
      </c>
      <c r="AB140" s="156">
        <f t="shared" si="70"/>
        <v>2016.75</v>
      </c>
      <c r="AC140" s="156">
        <f t="shared" si="71"/>
        <v>2016.5</v>
      </c>
      <c r="AD140" s="181">
        <f t="shared" si="72"/>
        <v>2015.75</v>
      </c>
      <c r="AE140" s="181">
        <f t="shared" si="73"/>
        <v>-8.3333333333333329E-2</v>
      </c>
      <c r="AF140" s="181">
        <f t="shared" si="74"/>
        <v>2016.5</v>
      </c>
      <c r="AG140" s="181">
        <f t="shared" si="75"/>
        <v>2015.75</v>
      </c>
      <c r="AH140" s="181">
        <f t="shared" si="76"/>
        <v>-8.3333333333333329E-2</v>
      </c>
      <c r="AI140" s="156"/>
      <c r="AJ140" s="156"/>
      <c r="AK140" s="156"/>
      <c r="AL140" s="156"/>
    </row>
    <row r="141" spans="1:38" x14ac:dyDescent="0.25">
      <c r="A141" s="163" t="s">
        <v>646</v>
      </c>
      <c r="B141" s="156" t="s">
        <v>589</v>
      </c>
      <c r="C141" s="222" t="s">
        <v>647</v>
      </c>
      <c r="D141" s="182">
        <v>2006</v>
      </c>
      <c r="E141" s="161">
        <v>9</v>
      </c>
      <c r="F141" s="183"/>
      <c r="G141" s="166" t="s">
        <v>452</v>
      </c>
      <c r="H141" s="156">
        <v>10</v>
      </c>
      <c r="I141" s="182">
        <f t="shared" si="57"/>
        <v>2016</v>
      </c>
      <c r="J141" s="156"/>
      <c r="K141" s="156"/>
      <c r="L141" s="201">
        <v>11564</v>
      </c>
      <c r="M141" s="156"/>
      <c r="N141" s="156">
        <f t="shared" si="58"/>
        <v>11564</v>
      </c>
      <c r="O141" s="156">
        <f t="shared" si="59"/>
        <v>96.366666666666674</v>
      </c>
      <c r="P141" s="156">
        <f t="shared" si="60"/>
        <v>1060.0333333334211</v>
      </c>
      <c r="Q141" s="156">
        <f t="shared" si="61"/>
        <v>0</v>
      </c>
      <c r="R141" s="156">
        <f t="shared" si="62"/>
        <v>1060.0333333334211</v>
      </c>
      <c r="S141" s="156">
        <v>1</v>
      </c>
      <c r="T141" s="156">
        <f t="shared" si="63"/>
        <v>1060.0333333334211</v>
      </c>
      <c r="U141" s="156">
        <f t="shared" si="64"/>
        <v>10503.96666666658</v>
      </c>
      <c r="V141" s="156">
        <f t="shared" si="65"/>
        <v>10503.96666666658</v>
      </c>
      <c r="W141" s="156">
        <v>1</v>
      </c>
      <c r="X141" s="156">
        <f t="shared" si="66"/>
        <v>10503.96666666658</v>
      </c>
      <c r="Y141" s="156">
        <f t="shared" si="67"/>
        <v>11564</v>
      </c>
      <c r="Z141" s="156">
        <f t="shared" si="68"/>
        <v>530.01666666671008</v>
      </c>
      <c r="AA141" s="156">
        <f t="shared" si="69"/>
        <v>2006.6666666666667</v>
      </c>
      <c r="AB141" s="156">
        <f t="shared" si="70"/>
        <v>2016.75</v>
      </c>
      <c r="AC141" s="156">
        <f t="shared" si="71"/>
        <v>2016.6666666666667</v>
      </c>
      <c r="AD141" s="181">
        <f t="shared" si="72"/>
        <v>2015.75</v>
      </c>
      <c r="AE141" s="181">
        <f t="shared" si="73"/>
        <v>-8.3333333333333329E-2</v>
      </c>
      <c r="AF141" s="181">
        <f t="shared" si="74"/>
        <v>2016.6666666666667</v>
      </c>
      <c r="AG141" s="181">
        <f t="shared" si="75"/>
        <v>2015.75</v>
      </c>
      <c r="AH141" s="181">
        <f t="shared" si="76"/>
        <v>-8.3333333333333329E-2</v>
      </c>
      <c r="AI141" s="156"/>
      <c r="AJ141" s="156"/>
      <c r="AK141" s="156"/>
      <c r="AL141" s="156"/>
    </row>
    <row r="142" spans="1:38" x14ac:dyDescent="0.25">
      <c r="A142" s="203" t="s">
        <v>648</v>
      </c>
      <c r="B142" s="156" t="s">
        <v>589</v>
      </c>
      <c r="C142" s="222" t="s">
        <v>649</v>
      </c>
      <c r="D142" s="182">
        <v>2006</v>
      </c>
      <c r="E142" s="161">
        <v>9</v>
      </c>
      <c r="F142" s="183"/>
      <c r="G142" s="166" t="s">
        <v>452</v>
      </c>
      <c r="H142" s="156">
        <v>10</v>
      </c>
      <c r="I142" s="182">
        <f t="shared" si="57"/>
        <v>2016</v>
      </c>
      <c r="J142" s="156"/>
      <c r="K142" s="156"/>
      <c r="L142" s="201">
        <v>6652</v>
      </c>
      <c r="M142" s="156"/>
      <c r="N142" s="156">
        <f t="shared" si="58"/>
        <v>6652</v>
      </c>
      <c r="O142" s="156">
        <f t="shared" si="59"/>
        <v>55.433333333333337</v>
      </c>
      <c r="P142" s="156">
        <f t="shared" si="60"/>
        <v>609.76666666671713</v>
      </c>
      <c r="Q142" s="156">
        <f t="shared" si="61"/>
        <v>0</v>
      </c>
      <c r="R142" s="156">
        <f t="shared" si="62"/>
        <v>609.76666666671713</v>
      </c>
      <c r="S142" s="156">
        <v>1</v>
      </c>
      <c r="T142" s="156">
        <f t="shared" si="63"/>
        <v>609.76666666671713</v>
      </c>
      <c r="U142" s="156">
        <f t="shared" si="64"/>
        <v>6042.2333333332826</v>
      </c>
      <c r="V142" s="156">
        <f t="shared" si="65"/>
        <v>6042.2333333332826</v>
      </c>
      <c r="W142" s="156">
        <v>1</v>
      </c>
      <c r="X142" s="156">
        <f t="shared" si="66"/>
        <v>6042.2333333332826</v>
      </c>
      <c r="Y142" s="156">
        <f t="shared" si="67"/>
        <v>6652</v>
      </c>
      <c r="Z142" s="156">
        <f t="shared" si="68"/>
        <v>304.88333333335868</v>
      </c>
      <c r="AA142" s="156">
        <f t="shared" si="69"/>
        <v>2006.6666666666667</v>
      </c>
      <c r="AB142" s="156">
        <f t="shared" si="70"/>
        <v>2016.75</v>
      </c>
      <c r="AC142" s="156">
        <f t="shared" si="71"/>
        <v>2016.6666666666667</v>
      </c>
      <c r="AD142" s="181">
        <f t="shared" si="72"/>
        <v>2015.75</v>
      </c>
      <c r="AE142" s="181">
        <f t="shared" si="73"/>
        <v>-8.3333333333333329E-2</v>
      </c>
      <c r="AF142" s="181">
        <f t="shared" si="74"/>
        <v>2016.6666666666667</v>
      </c>
      <c r="AG142" s="181">
        <f t="shared" si="75"/>
        <v>2015.75</v>
      </c>
      <c r="AH142" s="181">
        <f t="shared" si="76"/>
        <v>-8.3333333333333329E-2</v>
      </c>
      <c r="AI142" s="156"/>
      <c r="AJ142" s="156"/>
      <c r="AK142" s="156"/>
      <c r="AL142" s="156"/>
    </row>
    <row r="143" spans="1:38" x14ac:dyDescent="0.25">
      <c r="A143" s="163" t="s">
        <v>650</v>
      </c>
      <c r="B143" s="156" t="s">
        <v>589</v>
      </c>
      <c r="C143" s="222" t="s">
        <v>651</v>
      </c>
      <c r="D143" s="182">
        <v>2006</v>
      </c>
      <c r="E143" s="161">
        <v>9</v>
      </c>
      <c r="F143" s="183"/>
      <c r="G143" s="166" t="s">
        <v>452</v>
      </c>
      <c r="H143" s="156">
        <v>10</v>
      </c>
      <c r="I143" s="182">
        <f t="shared" si="57"/>
        <v>2016</v>
      </c>
      <c r="J143" s="156"/>
      <c r="K143" s="156"/>
      <c r="L143" s="227">
        <v>5054</v>
      </c>
      <c r="M143" s="221"/>
      <c r="N143" s="221">
        <f t="shared" si="58"/>
        <v>5054</v>
      </c>
      <c r="O143" s="221">
        <f t="shared" si="59"/>
        <v>42.116666666666667</v>
      </c>
      <c r="P143" s="221">
        <f t="shared" si="60"/>
        <v>463.28333333337162</v>
      </c>
      <c r="Q143" s="221">
        <f t="shared" si="61"/>
        <v>0</v>
      </c>
      <c r="R143" s="221">
        <f t="shared" si="62"/>
        <v>463.28333333337162</v>
      </c>
      <c r="S143" s="221">
        <v>1</v>
      </c>
      <c r="T143" s="221">
        <f t="shared" si="63"/>
        <v>463.28333333337162</v>
      </c>
      <c r="U143" s="221">
        <f t="shared" si="64"/>
        <v>4590.716666666628</v>
      </c>
      <c r="V143" s="221">
        <f t="shared" si="65"/>
        <v>4590.716666666628</v>
      </c>
      <c r="W143" s="221">
        <v>1</v>
      </c>
      <c r="X143" s="221">
        <f t="shared" si="66"/>
        <v>4590.716666666628</v>
      </c>
      <c r="Y143" s="221">
        <f t="shared" si="67"/>
        <v>5054</v>
      </c>
      <c r="Z143" s="221">
        <f t="shared" si="68"/>
        <v>231.64166666668598</v>
      </c>
      <c r="AA143" s="156">
        <f t="shared" si="69"/>
        <v>2006.6666666666667</v>
      </c>
      <c r="AB143" s="156">
        <f t="shared" si="70"/>
        <v>2016.75</v>
      </c>
      <c r="AC143" s="156">
        <f t="shared" si="71"/>
        <v>2016.6666666666667</v>
      </c>
      <c r="AD143" s="181">
        <f t="shared" si="72"/>
        <v>2015.75</v>
      </c>
      <c r="AE143" s="181">
        <f t="shared" si="73"/>
        <v>-8.3333333333333329E-2</v>
      </c>
      <c r="AF143" s="181">
        <f t="shared" si="74"/>
        <v>2016.6666666666667</v>
      </c>
      <c r="AG143" s="181">
        <f t="shared" si="75"/>
        <v>2015.75</v>
      </c>
      <c r="AH143" s="181">
        <f t="shared" si="76"/>
        <v>-8.3333333333333329E-2</v>
      </c>
      <c r="AI143" s="156"/>
      <c r="AJ143" s="156"/>
      <c r="AK143" s="156"/>
      <c r="AL143" s="156"/>
    </row>
    <row r="144" spans="1:38" x14ac:dyDescent="0.25">
      <c r="A144" s="163" t="s">
        <v>652</v>
      </c>
      <c r="B144" s="156" t="s">
        <v>589</v>
      </c>
      <c r="C144" s="222" t="s">
        <v>653</v>
      </c>
      <c r="D144" s="182">
        <v>2007</v>
      </c>
      <c r="E144" s="161">
        <v>3</v>
      </c>
      <c r="F144" s="183"/>
      <c r="G144" s="166" t="s">
        <v>452</v>
      </c>
      <c r="H144" s="156">
        <v>10</v>
      </c>
      <c r="I144" s="182">
        <f t="shared" si="57"/>
        <v>2017</v>
      </c>
      <c r="J144" s="156"/>
      <c r="K144" s="156"/>
      <c r="L144" s="201">
        <v>58644</v>
      </c>
      <c r="M144" s="156"/>
      <c r="N144" s="156">
        <f t="shared" si="58"/>
        <v>58644</v>
      </c>
      <c r="O144" s="156">
        <f t="shared" si="59"/>
        <v>488.7</v>
      </c>
      <c r="P144" s="156">
        <f t="shared" si="60"/>
        <v>5864.4</v>
      </c>
      <c r="Q144" s="156">
        <f t="shared" si="61"/>
        <v>0</v>
      </c>
      <c r="R144" s="156">
        <f t="shared" si="62"/>
        <v>5864.4</v>
      </c>
      <c r="S144" s="156">
        <v>1</v>
      </c>
      <c r="T144" s="156">
        <f t="shared" si="63"/>
        <v>5864.4</v>
      </c>
      <c r="U144" s="156">
        <f t="shared" si="64"/>
        <v>50336.099999999555</v>
      </c>
      <c r="V144" s="156">
        <f t="shared" si="65"/>
        <v>50336.099999999555</v>
      </c>
      <c r="W144" s="156">
        <v>1</v>
      </c>
      <c r="X144" s="156">
        <f t="shared" si="66"/>
        <v>50336.099999999555</v>
      </c>
      <c r="Y144" s="156">
        <f t="shared" si="67"/>
        <v>56200.499999999556</v>
      </c>
      <c r="Z144" s="156">
        <f t="shared" si="68"/>
        <v>5375.7000000004446</v>
      </c>
      <c r="AA144" s="156">
        <f t="shared" si="69"/>
        <v>2007.1666666666667</v>
      </c>
      <c r="AB144" s="156">
        <f t="shared" si="70"/>
        <v>2016.75</v>
      </c>
      <c r="AC144" s="156">
        <f t="shared" si="71"/>
        <v>2017.1666666666667</v>
      </c>
      <c r="AD144" s="181">
        <f t="shared" si="72"/>
        <v>2015.75</v>
      </c>
      <c r="AE144" s="181">
        <f t="shared" si="73"/>
        <v>-8.3333333333333329E-2</v>
      </c>
      <c r="AF144" s="181">
        <f t="shared" si="74"/>
        <v>2017.1666666666667</v>
      </c>
      <c r="AG144" s="181">
        <f t="shared" si="75"/>
        <v>2015.75</v>
      </c>
      <c r="AH144" s="181">
        <f t="shared" si="76"/>
        <v>-8.3333333333333329E-2</v>
      </c>
      <c r="AI144" s="156"/>
      <c r="AJ144" s="156"/>
      <c r="AK144" s="156"/>
      <c r="AL144" s="156"/>
    </row>
    <row r="145" spans="1:38" x14ac:dyDescent="0.25">
      <c r="A145" s="163" t="s">
        <v>654</v>
      </c>
      <c r="B145" s="156" t="s">
        <v>589</v>
      </c>
      <c r="C145" s="222" t="s">
        <v>655</v>
      </c>
      <c r="D145" s="182">
        <v>2007</v>
      </c>
      <c r="E145" s="161">
        <v>4</v>
      </c>
      <c r="F145" s="183"/>
      <c r="G145" s="166" t="s">
        <v>452</v>
      </c>
      <c r="H145" s="156">
        <v>10</v>
      </c>
      <c r="I145" s="182">
        <f t="shared" si="57"/>
        <v>2017</v>
      </c>
      <c r="J145" s="156"/>
      <c r="K145" s="156"/>
      <c r="L145" s="201">
        <v>67213</v>
      </c>
      <c r="M145" s="156"/>
      <c r="N145" s="156">
        <f t="shared" si="58"/>
        <v>67213</v>
      </c>
      <c r="O145" s="156">
        <f t="shared" si="59"/>
        <v>560.10833333333335</v>
      </c>
      <c r="P145" s="156">
        <f t="shared" si="60"/>
        <v>6721.3</v>
      </c>
      <c r="Q145" s="156">
        <f t="shared" si="61"/>
        <v>0</v>
      </c>
      <c r="R145" s="156">
        <f t="shared" si="62"/>
        <v>6721.3</v>
      </c>
      <c r="S145" s="156">
        <v>1</v>
      </c>
      <c r="T145" s="156">
        <f t="shared" si="63"/>
        <v>6721.3</v>
      </c>
      <c r="U145" s="156">
        <f t="shared" si="64"/>
        <v>57131.05</v>
      </c>
      <c r="V145" s="156">
        <f t="shared" si="65"/>
        <v>57131.05</v>
      </c>
      <c r="W145" s="156">
        <v>1</v>
      </c>
      <c r="X145" s="156">
        <f t="shared" si="66"/>
        <v>57131.05</v>
      </c>
      <c r="Y145" s="156">
        <f t="shared" si="67"/>
        <v>63852.350000000006</v>
      </c>
      <c r="Z145" s="156">
        <f t="shared" si="68"/>
        <v>6721.2999999999956</v>
      </c>
      <c r="AA145" s="156">
        <f t="shared" si="69"/>
        <v>2007.25</v>
      </c>
      <c r="AB145" s="156">
        <f t="shared" si="70"/>
        <v>2016.75</v>
      </c>
      <c r="AC145" s="156">
        <f t="shared" si="71"/>
        <v>2017.25</v>
      </c>
      <c r="AD145" s="181">
        <f t="shared" si="72"/>
        <v>2015.75</v>
      </c>
      <c r="AE145" s="181">
        <f t="shared" si="73"/>
        <v>-8.3333333333333329E-2</v>
      </c>
      <c r="AF145" s="181">
        <f t="shared" si="74"/>
        <v>2017.25</v>
      </c>
      <c r="AG145" s="181">
        <f t="shared" si="75"/>
        <v>2015.75</v>
      </c>
      <c r="AH145" s="181">
        <f t="shared" si="76"/>
        <v>-8.3333333333333329E-2</v>
      </c>
      <c r="AI145" s="156"/>
      <c r="AJ145" s="156"/>
      <c r="AK145" s="156"/>
      <c r="AL145" s="156"/>
    </row>
    <row r="146" spans="1:38" x14ac:dyDescent="0.25">
      <c r="A146" s="163" t="s">
        <v>656</v>
      </c>
      <c r="B146" s="156" t="s">
        <v>589</v>
      </c>
      <c r="C146" s="222" t="s">
        <v>657</v>
      </c>
      <c r="D146" s="182">
        <v>2007</v>
      </c>
      <c r="E146" s="161">
        <v>5</v>
      </c>
      <c r="F146" s="183"/>
      <c r="G146" s="166" t="s">
        <v>452</v>
      </c>
      <c r="H146" s="156">
        <v>10</v>
      </c>
      <c r="I146" s="182">
        <f t="shared" si="57"/>
        <v>2017</v>
      </c>
      <c r="J146" s="156"/>
      <c r="K146" s="156"/>
      <c r="L146" s="201">
        <v>9552</v>
      </c>
      <c r="M146" s="156"/>
      <c r="N146" s="156">
        <f t="shared" si="58"/>
        <v>9552</v>
      </c>
      <c r="O146" s="156">
        <f t="shared" si="59"/>
        <v>79.600000000000009</v>
      </c>
      <c r="P146" s="156">
        <f t="shared" si="60"/>
        <v>955.2</v>
      </c>
      <c r="Q146" s="156">
        <f t="shared" si="61"/>
        <v>0</v>
      </c>
      <c r="R146" s="156">
        <f t="shared" si="62"/>
        <v>955.2</v>
      </c>
      <c r="S146" s="156">
        <v>1</v>
      </c>
      <c r="T146" s="156">
        <f t="shared" si="63"/>
        <v>955.2</v>
      </c>
      <c r="U146" s="156">
        <f t="shared" si="64"/>
        <v>8039.6000000000731</v>
      </c>
      <c r="V146" s="156">
        <f t="shared" si="65"/>
        <v>8039.6000000000731</v>
      </c>
      <c r="W146" s="156">
        <v>1</v>
      </c>
      <c r="X146" s="156">
        <f t="shared" si="66"/>
        <v>8039.6000000000731</v>
      </c>
      <c r="Y146" s="156">
        <f t="shared" si="67"/>
        <v>8994.8000000000739</v>
      </c>
      <c r="Z146" s="156">
        <f t="shared" si="68"/>
        <v>1034.7999999999265</v>
      </c>
      <c r="AA146" s="156">
        <f t="shared" si="69"/>
        <v>2007.3333333333333</v>
      </c>
      <c r="AB146" s="156">
        <f t="shared" si="70"/>
        <v>2016.75</v>
      </c>
      <c r="AC146" s="156">
        <f t="shared" si="71"/>
        <v>2017.3333333333333</v>
      </c>
      <c r="AD146" s="181">
        <f t="shared" si="72"/>
        <v>2015.75</v>
      </c>
      <c r="AE146" s="181">
        <f t="shared" si="73"/>
        <v>-8.3333333333333329E-2</v>
      </c>
      <c r="AF146" s="181">
        <f t="shared" si="74"/>
        <v>2017.3333333333333</v>
      </c>
      <c r="AG146" s="181">
        <f t="shared" si="75"/>
        <v>2015.75</v>
      </c>
      <c r="AH146" s="181">
        <f t="shared" si="76"/>
        <v>-8.3333333333333329E-2</v>
      </c>
      <c r="AI146" s="156"/>
      <c r="AJ146" s="156"/>
      <c r="AK146" s="156"/>
      <c r="AL146" s="156"/>
    </row>
    <row r="147" spans="1:38" x14ac:dyDescent="0.25">
      <c r="A147" s="203" t="s">
        <v>658</v>
      </c>
      <c r="B147" s="156" t="s">
        <v>589</v>
      </c>
      <c r="C147" s="222" t="s">
        <v>659</v>
      </c>
      <c r="D147" s="182">
        <v>2007</v>
      </c>
      <c r="E147" s="161">
        <v>5</v>
      </c>
      <c r="F147" s="183"/>
      <c r="G147" s="166" t="s">
        <v>452</v>
      </c>
      <c r="H147" s="156">
        <v>10</v>
      </c>
      <c r="I147" s="182">
        <f t="shared" si="57"/>
        <v>2017</v>
      </c>
      <c r="J147" s="156"/>
      <c r="K147" s="156"/>
      <c r="L147" s="201">
        <v>6538</v>
      </c>
      <c r="M147" s="156"/>
      <c r="N147" s="156">
        <f t="shared" si="58"/>
        <v>6538</v>
      </c>
      <c r="O147" s="156">
        <f t="shared" si="59"/>
        <v>54.483333333333327</v>
      </c>
      <c r="P147" s="156">
        <f t="shared" si="60"/>
        <v>653.79999999999995</v>
      </c>
      <c r="Q147" s="156">
        <f t="shared" si="61"/>
        <v>0</v>
      </c>
      <c r="R147" s="156">
        <f t="shared" si="62"/>
        <v>653.79999999999995</v>
      </c>
      <c r="S147" s="156">
        <v>1</v>
      </c>
      <c r="T147" s="156">
        <f t="shared" si="63"/>
        <v>653.79999999999995</v>
      </c>
      <c r="U147" s="156">
        <f t="shared" si="64"/>
        <v>5502.8166666667157</v>
      </c>
      <c r="V147" s="156">
        <f t="shared" si="65"/>
        <v>5502.8166666667157</v>
      </c>
      <c r="W147" s="156">
        <v>1</v>
      </c>
      <c r="X147" s="156">
        <f t="shared" si="66"/>
        <v>5502.8166666667157</v>
      </c>
      <c r="Y147" s="156">
        <f t="shared" si="67"/>
        <v>6156.6166666667159</v>
      </c>
      <c r="Z147" s="156">
        <f t="shared" si="68"/>
        <v>708.28333333328419</v>
      </c>
      <c r="AA147" s="156">
        <f t="shared" si="69"/>
        <v>2007.3333333333333</v>
      </c>
      <c r="AB147" s="156">
        <f t="shared" si="70"/>
        <v>2016.75</v>
      </c>
      <c r="AC147" s="156">
        <f t="shared" si="71"/>
        <v>2017.3333333333333</v>
      </c>
      <c r="AD147" s="181">
        <f t="shared" si="72"/>
        <v>2015.75</v>
      </c>
      <c r="AE147" s="181">
        <f t="shared" si="73"/>
        <v>-8.3333333333333329E-2</v>
      </c>
      <c r="AF147" s="181">
        <f t="shared" si="74"/>
        <v>2017.3333333333333</v>
      </c>
      <c r="AG147" s="181">
        <f t="shared" si="75"/>
        <v>2015.75</v>
      </c>
      <c r="AH147" s="181">
        <f t="shared" si="76"/>
        <v>-8.3333333333333329E-2</v>
      </c>
      <c r="AI147" s="156"/>
      <c r="AJ147" s="156"/>
      <c r="AK147" s="156"/>
      <c r="AL147" s="156"/>
    </row>
    <row r="148" spans="1:38" x14ac:dyDescent="0.25">
      <c r="A148" s="203" t="s">
        <v>660</v>
      </c>
      <c r="B148" s="156" t="s">
        <v>589</v>
      </c>
      <c r="C148" s="222" t="s">
        <v>661</v>
      </c>
      <c r="D148" s="182">
        <v>2007</v>
      </c>
      <c r="E148" s="161">
        <v>5</v>
      </c>
      <c r="F148" s="183"/>
      <c r="G148" s="166" t="s">
        <v>452</v>
      </c>
      <c r="H148" s="156">
        <v>10</v>
      </c>
      <c r="I148" s="182">
        <f t="shared" si="57"/>
        <v>2017</v>
      </c>
      <c r="J148" s="156"/>
      <c r="K148" s="156"/>
      <c r="L148" s="201">
        <v>24021</v>
      </c>
      <c r="M148" s="156"/>
      <c r="N148" s="156">
        <f t="shared" si="58"/>
        <v>24021</v>
      </c>
      <c r="O148" s="156">
        <f t="shared" si="59"/>
        <v>200.17499999999998</v>
      </c>
      <c r="P148" s="156">
        <f t="shared" si="60"/>
        <v>2402.1</v>
      </c>
      <c r="Q148" s="156">
        <f t="shared" si="61"/>
        <v>0</v>
      </c>
      <c r="R148" s="156">
        <f t="shared" si="62"/>
        <v>2402.1</v>
      </c>
      <c r="S148" s="156">
        <v>1</v>
      </c>
      <c r="T148" s="156">
        <f t="shared" si="63"/>
        <v>2402.1</v>
      </c>
      <c r="U148" s="156">
        <f t="shared" si="64"/>
        <v>20217.675000000181</v>
      </c>
      <c r="V148" s="156">
        <f t="shared" si="65"/>
        <v>20217.675000000181</v>
      </c>
      <c r="W148" s="156">
        <v>1</v>
      </c>
      <c r="X148" s="156">
        <f t="shared" si="66"/>
        <v>20217.675000000181</v>
      </c>
      <c r="Y148" s="156">
        <f t="shared" si="67"/>
        <v>22619.77500000018</v>
      </c>
      <c r="Z148" s="156">
        <f t="shared" si="68"/>
        <v>2602.2749999998196</v>
      </c>
      <c r="AA148" s="156">
        <f t="shared" si="69"/>
        <v>2007.3333333333333</v>
      </c>
      <c r="AB148" s="156">
        <f t="shared" si="70"/>
        <v>2016.75</v>
      </c>
      <c r="AC148" s="156">
        <f t="shared" si="71"/>
        <v>2017.3333333333333</v>
      </c>
      <c r="AD148" s="181">
        <f t="shared" si="72"/>
        <v>2015.75</v>
      </c>
      <c r="AE148" s="181">
        <f t="shared" si="73"/>
        <v>-8.3333333333333329E-2</v>
      </c>
      <c r="AF148" s="181">
        <f t="shared" si="74"/>
        <v>2017.3333333333333</v>
      </c>
      <c r="AG148" s="181">
        <f t="shared" si="75"/>
        <v>2015.75</v>
      </c>
      <c r="AH148" s="181">
        <f t="shared" si="76"/>
        <v>-8.3333333333333329E-2</v>
      </c>
      <c r="AI148" s="156"/>
      <c r="AJ148" s="156"/>
      <c r="AK148" s="156"/>
      <c r="AL148" s="156"/>
    </row>
    <row r="149" spans="1:38" x14ac:dyDescent="0.25">
      <c r="A149" s="163" t="s">
        <v>662</v>
      </c>
      <c r="B149" s="156" t="s">
        <v>589</v>
      </c>
      <c r="C149" s="222" t="s">
        <v>663</v>
      </c>
      <c r="D149" s="182">
        <v>2007</v>
      </c>
      <c r="E149" s="161">
        <v>5</v>
      </c>
      <c r="F149" s="183"/>
      <c r="G149" s="166" t="s">
        <v>452</v>
      </c>
      <c r="H149" s="156">
        <v>10</v>
      </c>
      <c r="I149" s="182">
        <f t="shared" si="57"/>
        <v>2017</v>
      </c>
      <c r="J149" s="156"/>
      <c r="K149" s="156"/>
      <c r="L149" s="201">
        <v>42360</v>
      </c>
      <c r="M149" s="156"/>
      <c r="N149" s="156">
        <f t="shared" si="58"/>
        <v>42360</v>
      </c>
      <c r="O149" s="156">
        <f t="shared" si="59"/>
        <v>353</v>
      </c>
      <c r="P149" s="156">
        <f t="shared" si="60"/>
        <v>4236</v>
      </c>
      <c r="Q149" s="156">
        <f t="shared" si="61"/>
        <v>0</v>
      </c>
      <c r="R149" s="156">
        <f t="shared" si="62"/>
        <v>4236</v>
      </c>
      <c r="S149" s="156">
        <v>1</v>
      </c>
      <c r="T149" s="156">
        <f t="shared" si="63"/>
        <v>4236</v>
      </c>
      <c r="U149" s="156">
        <f t="shared" si="64"/>
        <v>35653.00000000032</v>
      </c>
      <c r="V149" s="156">
        <f t="shared" si="65"/>
        <v>35653.00000000032</v>
      </c>
      <c r="W149" s="156">
        <v>1</v>
      </c>
      <c r="X149" s="156">
        <f t="shared" si="66"/>
        <v>35653.00000000032</v>
      </c>
      <c r="Y149" s="156">
        <f t="shared" si="67"/>
        <v>39889.00000000032</v>
      </c>
      <c r="Z149" s="156">
        <f t="shared" si="68"/>
        <v>4588.9999999996799</v>
      </c>
      <c r="AA149" s="156">
        <f t="shared" si="69"/>
        <v>2007.3333333333333</v>
      </c>
      <c r="AB149" s="156">
        <f t="shared" si="70"/>
        <v>2016.75</v>
      </c>
      <c r="AC149" s="156">
        <f t="shared" si="71"/>
        <v>2017.3333333333333</v>
      </c>
      <c r="AD149" s="181">
        <f t="shared" si="72"/>
        <v>2015.75</v>
      </c>
      <c r="AE149" s="181">
        <f t="shared" si="73"/>
        <v>-8.3333333333333329E-2</v>
      </c>
      <c r="AF149" s="181">
        <f t="shared" si="74"/>
        <v>2017.3333333333333</v>
      </c>
      <c r="AG149" s="181">
        <f t="shared" si="75"/>
        <v>2015.75</v>
      </c>
      <c r="AH149" s="181">
        <f t="shared" si="76"/>
        <v>-8.3333333333333329E-2</v>
      </c>
      <c r="AI149" s="156"/>
      <c r="AJ149" s="156"/>
      <c r="AK149" s="156"/>
      <c r="AL149" s="156"/>
    </row>
    <row r="150" spans="1:38" x14ac:dyDescent="0.25">
      <c r="A150" s="203" t="s">
        <v>664</v>
      </c>
      <c r="B150" s="156" t="s">
        <v>589</v>
      </c>
      <c r="C150" s="222" t="s">
        <v>665</v>
      </c>
      <c r="D150" s="182">
        <v>2008</v>
      </c>
      <c r="E150" s="161">
        <v>3</v>
      </c>
      <c r="F150" s="183"/>
      <c r="G150" s="166" t="s">
        <v>452</v>
      </c>
      <c r="H150" s="156">
        <v>10</v>
      </c>
      <c r="I150" s="182">
        <f t="shared" si="57"/>
        <v>2018</v>
      </c>
      <c r="J150" s="156"/>
      <c r="K150" s="156"/>
      <c r="L150" s="201">
        <v>49590</v>
      </c>
      <c r="M150" s="156"/>
      <c r="N150" s="156">
        <f t="shared" si="58"/>
        <v>49590</v>
      </c>
      <c r="O150" s="156">
        <f t="shared" si="59"/>
        <v>413.25</v>
      </c>
      <c r="P150" s="156">
        <f t="shared" si="60"/>
        <v>4959</v>
      </c>
      <c r="Q150" s="156">
        <f t="shared" si="61"/>
        <v>0</v>
      </c>
      <c r="R150" s="156">
        <f t="shared" si="62"/>
        <v>4959</v>
      </c>
      <c r="S150" s="156">
        <v>1</v>
      </c>
      <c r="T150" s="156">
        <f t="shared" si="63"/>
        <v>4959</v>
      </c>
      <c r="U150" s="156">
        <f t="shared" si="64"/>
        <v>37605.749999999622</v>
      </c>
      <c r="V150" s="156">
        <f t="shared" si="65"/>
        <v>37605.749999999622</v>
      </c>
      <c r="W150" s="156">
        <v>1</v>
      </c>
      <c r="X150" s="156">
        <f t="shared" si="66"/>
        <v>37605.749999999622</v>
      </c>
      <c r="Y150" s="156">
        <f t="shared" si="67"/>
        <v>42564.749999999622</v>
      </c>
      <c r="Z150" s="156">
        <f t="shared" si="68"/>
        <v>9504.7500000003783</v>
      </c>
      <c r="AA150" s="156">
        <f t="shared" si="69"/>
        <v>2008.1666666666667</v>
      </c>
      <c r="AB150" s="156">
        <f t="shared" si="70"/>
        <v>2016.75</v>
      </c>
      <c r="AC150" s="156">
        <f t="shared" si="71"/>
        <v>2018.1666666666667</v>
      </c>
      <c r="AD150" s="181">
        <f t="shared" si="72"/>
        <v>2015.75</v>
      </c>
      <c r="AE150" s="181">
        <f t="shared" si="73"/>
        <v>-8.3333333333333329E-2</v>
      </c>
      <c r="AF150" s="181">
        <f t="shared" si="74"/>
        <v>2018.1666666666667</v>
      </c>
      <c r="AG150" s="181">
        <f t="shared" si="75"/>
        <v>2015.75</v>
      </c>
      <c r="AH150" s="181">
        <f t="shared" si="76"/>
        <v>-8.3333333333333329E-2</v>
      </c>
      <c r="AI150" s="156"/>
      <c r="AJ150" s="156"/>
      <c r="AK150" s="156"/>
      <c r="AL150" s="156"/>
    </row>
    <row r="151" spans="1:38" x14ac:dyDescent="0.25">
      <c r="A151" s="203" t="s">
        <v>666</v>
      </c>
      <c r="B151" s="156" t="s">
        <v>589</v>
      </c>
      <c r="C151" s="222" t="s">
        <v>667</v>
      </c>
      <c r="D151" s="182">
        <v>2008</v>
      </c>
      <c r="E151" s="161">
        <v>2</v>
      </c>
      <c r="F151" s="183"/>
      <c r="G151" s="166" t="s">
        <v>452</v>
      </c>
      <c r="H151" s="156">
        <v>10</v>
      </c>
      <c r="I151" s="182">
        <f t="shared" si="57"/>
        <v>2018</v>
      </c>
      <c r="J151" s="156"/>
      <c r="K151" s="156"/>
      <c r="L151" s="201">
        <v>24270</v>
      </c>
      <c r="M151" s="156"/>
      <c r="N151" s="156">
        <f t="shared" si="58"/>
        <v>24270</v>
      </c>
      <c r="O151" s="156">
        <f t="shared" si="59"/>
        <v>202.25</v>
      </c>
      <c r="P151" s="156">
        <f t="shared" si="60"/>
        <v>2427</v>
      </c>
      <c r="Q151" s="156">
        <f t="shared" si="61"/>
        <v>0</v>
      </c>
      <c r="R151" s="156">
        <f t="shared" si="62"/>
        <v>2427</v>
      </c>
      <c r="S151" s="156">
        <v>1</v>
      </c>
      <c r="T151" s="156">
        <f t="shared" si="63"/>
        <v>2427</v>
      </c>
      <c r="U151" s="156">
        <f t="shared" si="64"/>
        <v>18607.000000000186</v>
      </c>
      <c r="V151" s="156">
        <f t="shared" si="65"/>
        <v>18607.000000000186</v>
      </c>
      <c r="W151" s="156">
        <v>1</v>
      </c>
      <c r="X151" s="156">
        <f t="shared" si="66"/>
        <v>18607.000000000186</v>
      </c>
      <c r="Y151" s="156">
        <f t="shared" si="67"/>
        <v>21034.000000000186</v>
      </c>
      <c r="Z151" s="156">
        <f t="shared" si="68"/>
        <v>4449.4999999998145</v>
      </c>
      <c r="AA151" s="156">
        <f t="shared" si="69"/>
        <v>2008.0833333333333</v>
      </c>
      <c r="AB151" s="156">
        <f t="shared" si="70"/>
        <v>2016.75</v>
      </c>
      <c r="AC151" s="156">
        <f t="shared" si="71"/>
        <v>2018.0833333333333</v>
      </c>
      <c r="AD151" s="181">
        <f t="shared" si="72"/>
        <v>2015.75</v>
      </c>
      <c r="AE151" s="181">
        <f t="shared" si="73"/>
        <v>-8.3333333333333329E-2</v>
      </c>
      <c r="AF151" s="181">
        <f t="shared" si="74"/>
        <v>2018.0833333333333</v>
      </c>
      <c r="AG151" s="181">
        <f t="shared" si="75"/>
        <v>2015.75</v>
      </c>
      <c r="AH151" s="181">
        <f t="shared" si="76"/>
        <v>-8.3333333333333329E-2</v>
      </c>
      <c r="AI151" s="156"/>
      <c r="AJ151" s="156"/>
      <c r="AK151" s="156"/>
      <c r="AL151" s="156"/>
    </row>
    <row r="152" spans="1:38" x14ac:dyDescent="0.25">
      <c r="A152" s="163" t="s">
        <v>668</v>
      </c>
      <c r="B152" s="156" t="s">
        <v>589</v>
      </c>
      <c r="C152" s="222" t="s">
        <v>669</v>
      </c>
      <c r="D152" s="182">
        <v>2008</v>
      </c>
      <c r="E152" s="161">
        <v>2</v>
      </c>
      <c r="F152" s="183"/>
      <c r="G152" s="166" t="s">
        <v>452</v>
      </c>
      <c r="H152" s="156">
        <v>10</v>
      </c>
      <c r="I152" s="182">
        <f t="shared" si="57"/>
        <v>2018</v>
      </c>
      <c r="J152" s="156"/>
      <c r="K152" s="156"/>
      <c r="L152" s="201">
        <v>12940</v>
      </c>
      <c r="M152" s="156"/>
      <c r="N152" s="156">
        <f t="shared" si="58"/>
        <v>12940</v>
      </c>
      <c r="O152" s="156">
        <f t="shared" si="59"/>
        <v>107.83333333333333</v>
      </c>
      <c r="P152" s="156">
        <f t="shared" si="60"/>
        <v>1294</v>
      </c>
      <c r="Q152" s="156">
        <f t="shared" si="61"/>
        <v>0</v>
      </c>
      <c r="R152" s="156">
        <f t="shared" si="62"/>
        <v>1294</v>
      </c>
      <c r="S152" s="156">
        <v>1</v>
      </c>
      <c r="T152" s="156">
        <f t="shared" si="63"/>
        <v>1294</v>
      </c>
      <c r="U152" s="156">
        <f t="shared" si="64"/>
        <v>9920.6666666667643</v>
      </c>
      <c r="V152" s="156">
        <f t="shared" si="65"/>
        <v>9920.6666666667643</v>
      </c>
      <c r="W152" s="156">
        <v>1</v>
      </c>
      <c r="X152" s="156">
        <f t="shared" si="66"/>
        <v>9920.6666666667643</v>
      </c>
      <c r="Y152" s="156">
        <f t="shared" si="67"/>
        <v>11214.666666666764</v>
      </c>
      <c r="Z152" s="156">
        <f t="shared" si="68"/>
        <v>2372.3333333332357</v>
      </c>
      <c r="AA152" s="156">
        <f t="shared" si="69"/>
        <v>2008.0833333333333</v>
      </c>
      <c r="AB152" s="156">
        <f t="shared" si="70"/>
        <v>2016.75</v>
      </c>
      <c r="AC152" s="156">
        <f t="shared" si="71"/>
        <v>2018.0833333333333</v>
      </c>
      <c r="AD152" s="181">
        <f t="shared" si="72"/>
        <v>2015.75</v>
      </c>
      <c r="AE152" s="181">
        <f t="shared" si="73"/>
        <v>-8.3333333333333329E-2</v>
      </c>
      <c r="AF152" s="181">
        <f t="shared" si="74"/>
        <v>2018.0833333333333</v>
      </c>
      <c r="AG152" s="181">
        <f t="shared" si="75"/>
        <v>2015.75</v>
      </c>
      <c r="AH152" s="181">
        <f t="shared" si="76"/>
        <v>-8.3333333333333329E-2</v>
      </c>
      <c r="AI152" s="156"/>
      <c r="AJ152" s="156"/>
      <c r="AK152" s="156"/>
      <c r="AL152" s="156"/>
    </row>
    <row r="153" spans="1:38" x14ac:dyDescent="0.25">
      <c r="A153" s="163" t="s">
        <v>670</v>
      </c>
      <c r="B153" s="156" t="s">
        <v>589</v>
      </c>
      <c r="C153" s="222" t="s">
        <v>671</v>
      </c>
      <c r="D153" s="182">
        <v>2008</v>
      </c>
      <c r="E153" s="161">
        <v>6</v>
      </c>
      <c r="F153" s="183"/>
      <c r="G153" s="166" t="s">
        <v>452</v>
      </c>
      <c r="H153" s="156">
        <v>10</v>
      </c>
      <c r="I153" s="182">
        <f t="shared" si="57"/>
        <v>2018</v>
      </c>
      <c r="J153" s="156"/>
      <c r="K153" s="156"/>
      <c r="L153" s="201">
        <v>12463</v>
      </c>
      <c r="M153" s="156"/>
      <c r="N153" s="156">
        <f t="shared" si="58"/>
        <v>12463</v>
      </c>
      <c r="O153" s="156">
        <f t="shared" si="59"/>
        <v>103.85833333333333</v>
      </c>
      <c r="P153" s="156">
        <f t="shared" si="60"/>
        <v>1246.3</v>
      </c>
      <c r="Q153" s="156">
        <f t="shared" si="61"/>
        <v>0</v>
      </c>
      <c r="R153" s="156">
        <f t="shared" si="62"/>
        <v>1246.3</v>
      </c>
      <c r="S153" s="156">
        <v>1</v>
      </c>
      <c r="T153" s="156">
        <f t="shared" si="63"/>
        <v>1246.3</v>
      </c>
      <c r="U153" s="156">
        <f t="shared" si="64"/>
        <v>9139.5333333332383</v>
      </c>
      <c r="V153" s="156">
        <f t="shared" si="65"/>
        <v>9139.5333333332383</v>
      </c>
      <c r="W153" s="156">
        <v>1</v>
      </c>
      <c r="X153" s="156">
        <f t="shared" si="66"/>
        <v>9139.5333333332383</v>
      </c>
      <c r="Y153" s="156">
        <f t="shared" si="67"/>
        <v>10385.833333333238</v>
      </c>
      <c r="Z153" s="156">
        <f t="shared" si="68"/>
        <v>2700.3166666667621</v>
      </c>
      <c r="AA153" s="156">
        <f t="shared" si="69"/>
        <v>2008.4166666666667</v>
      </c>
      <c r="AB153" s="156">
        <f t="shared" si="70"/>
        <v>2016.75</v>
      </c>
      <c r="AC153" s="156">
        <f t="shared" si="71"/>
        <v>2018.4166666666667</v>
      </c>
      <c r="AD153" s="181">
        <f t="shared" si="72"/>
        <v>2015.75</v>
      </c>
      <c r="AE153" s="181">
        <f t="shared" si="73"/>
        <v>-8.3333333333333329E-2</v>
      </c>
      <c r="AF153" s="181">
        <f t="shared" si="74"/>
        <v>2018.4166666666667</v>
      </c>
      <c r="AG153" s="181">
        <f t="shared" si="75"/>
        <v>2015.75</v>
      </c>
      <c r="AH153" s="181">
        <f t="shared" si="76"/>
        <v>-8.3333333333333329E-2</v>
      </c>
      <c r="AI153" s="156"/>
      <c r="AJ153" s="156"/>
      <c r="AK153" s="156"/>
      <c r="AL153" s="156"/>
    </row>
    <row r="154" spans="1:38" x14ac:dyDescent="0.25">
      <c r="A154" s="203" t="s">
        <v>672</v>
      </c>
      <c r="B154" s="156" t="s">
        <v>589</v>
      </c>
      <c r="C154" s="222" t="s">
        <v>673</v>
      </c>
      <c r="D154" s="182">
        <v>2008</v>
      </c>
      <c r="E154" s="161">
        <v>7</v>
      </c>
      <c r="F154" s="183"/>
      <c r="G154" s="166" t="s">
        <v>452</v>
      </c>
      <c r="H154" s="156">
        <v>10</v>
      </c>
      <c r="I154" s="182">
        <f t="shared" si="57"/>
        <v>2018</v>
      </c>
      <c r="J154" s="156"/>
      <c r="K154" s="156"/>
      <c r="L154" s="201">
        <v>6250</v>
      </c>
      <c r="M154" s="156"/>
      <c r="N154" s="156">
        <f t="shared" si="58"/>
        <v>6250</v>
      </c>
      <c r="O154" s="156">
        <f t="shared" si="59"/>
        <v>52.083333333333336</v>
      </c>
      <c r="P154" s="156">
        <f t="shared" si="60"/>
        <v>625</v>
      </c>
      <c r="Q154" s="156">
        <f t="shared" si="61"/>
        <v>0</v>
      </c>
      <c r="R154" s="156">
        <f t="shared" si="62"/>
        <v>625</v>
      </c>
      <c r="S154" s="156">
        <v>1</v>
      </c>
      <c r="T154" s="156">
        <f t="shared" si="63"/>
        <v>625</v>
      </c>
      <c r="U154" s="156">
        <f t="shared" si="64"/>
        <v>4531.25</v>
      </c>
      <c r="V154" s="156">
        <f t="shared" si="65"/>
        <v>4531.25</v>
      </c>
      <c r="W154" s="156">
        <v>1</v>
      </c>
      <c r="X154" s="156">
        <f t="shared" si="66"/>
        <v>4531.25</v>
      </c>
      <c r="Y154" s="156">
        <f t="shared" si="67"/>
        <v>5156.25</v>
      </c>
      <c r="Z154" s="156">
        <f t="shared" si="68"/>
        <v>1406.25</v>
      </c>
      <c r="AA154" s="181">
        <f t="shared" si="69"/>
        <v>2008.5</v>
      </c>
      <c r="AB154" s="156">
        <f t="shared" si="70"/>
        <v>2016.75</v>
      </c>
      <c r="AC154" s="156">
        <f t="shared" si="71"/>
        <v>2018.5</v>
      </c>
      <c r="AD154" s="181">
        <f t="shared" si="72"/>
        <v>2015.75</v>
      </c>
      <c r="AE154" s="181">
        <f t="shared" si="73"/>
        <v>-8.3333333333333329E-2</v>
      </c>
      <c r="AF154" s="181">
        <f t="shared" si="74"/>
        <v>2018.5</v>
      </c>
      <c r="AG154" s="181">
        <f t="shared" si="75"/>
        <v>2015.75</v>
      </c>
      <c r="AH154" s="181">
        <f t="shared" si="76"/>
        <v>-8.3333333333333329E-2</v>
      </c>
      <c r="AI154" s="156"/>
      <c r="AJ154" s="156"/>
      <c r="AK154" s="156"/>
      <c r="AL154" s="156"/>
    </row>
    <row r="155" spans="1:38" x14ac:dyDescent="0.25">
      <c r="A155" s="163" t="s">
        <v>674</v>
      </c>
      <c r="B155" s="156" t="s">
        <v>589</v>
      </c>
      <c r="C155" s="222" t="s">
        <v>675</v>
      </c>
      <c r="D155" s="182">
        <v>2008</v>
      </c>
      <c r="E155" s="161">
        <v>7</v>
      </c>
      <c r="F155" s="183"/>
      <c r="G155" s="166" t="s">
        <v>452</v>
      </c>
      <c r="H155" s="156">
        <v>10</v>
      </c>
      <c r="I155" s="182">
        <f t="shared" si="57"/>
        <v>2018</v>
      </c>
      <c r="J155" s="156"/>
      <c r="K155" s="156"/>
      <c r="L155" s="201">
        <v>3960</v>
      </c>
      <c r="M155" s="156"/>
      <c r="N155" s="156">
        <f t="shared" si="58"/>
        <v>3960</v>
      </c>
      <c r="O155" s="156">
        <f t="shared" si="59"/>
        <v>33</v>
      </c>
      <c r="P155" s="156">
        <f t="shared" si="60"/>
        <v>396</v>
      </c>
      <c r="Q155" s="156">
        <f t="shared" si="61"/>
        <v>0</v>
      </c>
      <c r="R155" s="156">
        <f t="shared" si="62"/>
        <v>396</v>
      </c>
      <c r="S155" s="156">
        <v>1</v>
      </c>
      <c r="T155" s="156">
        <f t="shared" si="63"/>
        <v>396</v>
      </c>
      <c r="U155" s="156">
        <f t="shared" si="64"/>
        <v>2871</v>
      </c>
      <c r="V155" s="156">
        <f t="shared" si="65"/>
        <v>2871</v>
      </c>
      <c r="W155" s="156">
        <v>1</v>
      </c>
      <c r="X155" s="156">
        <f t="shared" si="66"/>
        <v>2871</v>
      </c>
      <c r="Y155" s="156">
        <f t="shared" si="67"/>
        <v>3267</v>
      </c>
      <c r="Z155" s="156">
        <f t="shared" si="68"/>
        <v>891</v>
      </c>
      <c r="AA155" s="181">
        <f t="shared" si="69"/>
        <v>2008.5</v>
      </c>
      <c r="AB155" s="156">
        <f t="shared" si="70"/>
        <v>2016.75</v>
      </c>
      <c r="AC155" s="156">
        <f t="shared" si="71"/>
        <v>2018.5</v>
      </c>
      <c r="AD155" s="181">
        <f t="shared" si="72"/>
        <v>2015.75</v>
      </c>
      <c r="AE155" s="181">
        <f t="shared" si="73"/>
        <v>-8.3333333333333329E-2</v>
      </c>
      <c r="AF155" s="181">
        <f t="shared" si="74"/>
        <v>2018.5</v>
      </c>
      <c r="AG155" s="181">
        <f t="shared" si="75"/>
        <v>2015.75</v>
      </c>
      <c r="AH155" s="181">
        <f t="shared" si="76"/>
        <v>-8.3333333333333329E-2</v>
      </c>
      <c r="AI155" s="156"/>
      <c r="AJ155" s="156"/>
      <c r="AK155" s="156"/>
      <c r="AL155" s="156"/>
    </row>
    <row r="156" spans="1:38" x14ac:dyDescent="0.25">
      <c r="A156" s="163" t="s">
        <v>676</v>
      </c>
      <c r="B156" s="156" t="s">
        <v>589</v>
      </c>
      <c r="C156" s="222" t="s">
        <v>677</v>
      </c>
      <c r="D156" s="182">
        <v>2008</v>
      </c>
      <c r="E156" s="161">
        <v>7</v>
      </c>
      <c r="F156" s="183"/>
      <c r="G156" s="166" t="s">
        <v>452</v>
      </c>
      <c r="H156" s="156">
        <v>10</v>
      </c>
      <c r="I156" s="182">
        <f t="shared" si="57"/>
        <v>2018</v>
      </c>
      <c r="J156" s="156"/>
      <c r="K156" s="156"/>
      <c r="L156" s="201">
        <v>8100</v>
      </c>
      <c r="M156" s="156"/>
      <c r="N156" s="156">
        <f t="shared" si="58"/>
        <v>8100</v>
      </c>
      <c r="O156" s="156">
        <f t="shared" si="59"/>
        <v>67.5</v>
      </c>
      <c r="P156" s="156">
        <f t="shared" si="60"/>
        <v>810</v>
      </c>
      <c r="Q156" s="156">
        <f t="shared" si="61"/>
        <v>0</v>
      </c>
      <c r="R156" s="156">
        <f t="shared" si="62"/>
        <v>810</v>
      </c>
      <c r="S156" s="156">
        <v>1</v>
      </c>
      <c r="T156" s="156">
        <f t="shared" si="63"/>
        <v>810</v>
      </c>
      <c r="U156" s="156">
        <f t="shared" si="64"/>
        <v>5872.5</v>
      </c>
      <c r="V156" s="156">
        <f t="shared" si="65"/>
        <v>5872.5</v>
      </c>
      <c r="W156" s="156">
        <v>1</v>
      </c>
      <c r="X156" s="156">
        <f t="shared" si="66"/>
        <v>5872.5</v>
      </c>
      <c r="Y156" s="156">
        <f t="shared" si="67"/>
        <v>6682.5</v>
      </c>
      <c r="Z156" s="156">
        <f t="shared" si="68"/>
        <v>1822.5</v>
      </c>
      <c r="AA156" s="181">
        <f t="shared" si="69"/>
        <v>2008.5</v>
      </c>
      <c r="AB156" s="156">
        <f t="shared" si="70"/>
        <v>2016.75</v>
      </c>
      <c r="AC156" s="156">
        <f t="shared" si="71"/>
        <v>2018.5</v>
      </c>
      <c r="AD156" s="181">
        <f t="shared" si="72"/>
        <v>2015.75</v>
      </c>
      <c r="AE156" s="181">
        <f t="shared" si="73"/>
        <v>-8.3333333333333329E-2</v>
      </c>
      <c r="AF156" s="181">
        <f t="shared" si="74"/>
        <v>2018.5</v>
      </c>
      <c r="AG156" s="181">
        <f t="shared" si="75"/>
        <v>2015.75</v>
      </c>
      <c r="AH156" s="181">
        <f t="shared" si="76"/>
        <v>-8.3333333333333329E-2</v>
      </c>
      <c r="AI156" s="156"/>
      <c r="AJ156" s="156"/>
      <c r="AK156" s="156"/>
      <c r="AL156" s="156"/>
    </row>
    <row r="157" spans="1:38" x14ac:dyDescent="0.25">
      <c r="A157" s="163"/>
      <c r="B157" s="156" t="s">
        <v>589</v>
      </c>
      <c r="C157" s="194" t="s">
        <v>678</v>
      </c>
      <c r="D157" s="182">
        <v>2008</v>
      </c>
      <c r="E157" s="161">
        <v>7</v>
      </c>
      <c r="F157" s="183"/>
      <c r="G157" s="166" t="s">
        <v>452</v>
      </c>
      <c r="H157" s="156">
        <v>10</v>
      </c>
      <c r="I157" s="182">
        <f t="shared" si="57"/>
        <v>2018</v>
      </c>
      <c r="J157" s="156"/>
      <c r="K157" s="156"/>
      <c r="L157" s="201">
        <v>33994</v>
      </c>
      <c r="M157" s="156"/>
      <c r="N157" s="156">
        <f t="shared" si="58"/>
        <v>33994</v>
      </c>
      <c r="O157" s="156">
        <f t="shared" si="59"/>
        <v>283.28333333333336</v>
      </c>
      <c r="P157" s="156">
        <f t="shared" si="60"/>
        <v>3399.4000000000005</v>
      </c>
      <c r="Q157" s="156">
        <f t="shared" si="61"/>
        <v>0</v>
      </c>
      <c r="R157" s="156">
        <f t="shared" si="62"/>
        <v>3399.4000000000005</v>
      </c>
      <c r="S157" s="156">
        <v>1</v>
      </c>
      <c r="T157" s="156">
        <f t="shared" si="63"/>
        <v>3399.4000000000005</v>
      </c>
      <c r="U157" s="156">
        <f t="shared" si="64"/>
        <v>24645.65</v>
      </c>
      <c r="V157" s="156">
        <f t="shared" si="65"/>
        <v>24645.65</v>
      </c>
      <c r="W157" s="156">
        <v>1</v>
      </c>
      <c r="X157" s="156">
        <f t="shared" si="66"/>
        <v>24645.65</v>
      </c>
      <c r="Y157" s="156">
        <f t="shared" si="67"/>
        <v>28045.050000000003</v>
      </c>
      <c r="Z157" s="156">
        <f t="shared" si="68"/>
        <v>7648.6499999999978</v>
      </c>
      <c r="AA157" s="181">
        <f t="shared" si="69"/>
        <v>2008.5</v>
      </c>
      <c r="AB157" s="156">
        <f t="shared" si="70"/>
        <v>2016.75</v>
      </c>
      <c r="AC157" s="156">
        <f t="shared" si="71"/>
        <v>2018.5</v>
      </c>
      <c r="AD157" s="181">
        <f t="shared" si="72"/>
        <v>2015.75</v>
      </c>
      <c r="AE157" s="181">
        <f t="shared" si="73"/>
        <v>-8.3333333333333329E-2</v>
      </c>
      <c r="AF157" s="181">
        <f t="shared" si="74"/>
        <v>2018.5</v>
      </c>
      <c r="AG157" s="181">
        <f t="shared" si="75"/>
        <v>2015.75</v>
      </c>
      <c r="AH157" s="181">
        <f t="shared" si="76"/>
        <v>-8.3333333333333329E-2</v>
      </c>
      <c r="AI157" s="156"/>
      <c r="AJ157" s="156"/>
      <c r="AK157" s="156"/>
      <c r="AL157" s="156"/>
    </row>
    <row r="158" spans="1:38" x14ac:dyDescent="0.25">
      <c r="A158" s="203" t="s">
        <v>679</v>
      </c>
      <c r="B158" s="156" t="s">
        <v>589</v>
      </c>
      <c r="C158" s="222" t="s">
        <v>680</v>
      </c>
      <c r="D158" s="182">
        <v>2009</v>
      </c>
      <c r="E158" s="161">
        <v>4</v>
      </c>
      <c r="F158" s="183"/>
      <c r="G158" s="166" t="s">
        <v>452</v>
      </c>
      <c r="H158" s="156">
        <v>10</v>
      </c>
      <c r="I158" s="182">
        <f t="shared" si="57"/>
        <v>2019</v>
      </c>
      <c r="J158" s="156"/>
      <c r="K158" s="156"/>
      <c r="L158" s="201">
        <v>10200</v>
      </c>
      <c r="M158" s="156"/>
      <c r="N158" s="156">
        <f t="shared" si="58"/>
        <v>10200</v>
      </c>
      <c r="O158" s="156">
        <f t="shared" si="59"/>
        <v>85</v>
      </c>
      <c r="P158" s="156">
        <f t="shared" si="60"/>
        <v>1020</v>
      </c>
      <c r="Q158" s="156">
        <f t="shared" si="61"/>
        <v>0</v>
      </c>
      <c r="R158" s="156">
        <f t="shared" si="62"/>
        <v>1020</v>
      </c>
      <c r="S158" s="156">
        <v>1</v>
      </c>
      <c r="T158" s="156">
        <f t="shared" si="63"/>
        <v>1020</v>
      </c>
      <c r="U158" s="156">
        <f t="shared" si="64"/>
        <v>6630</v>
      </c>
      <c r="V158" s="156">
        <f t="shared" si="65"/>
        <v>6630</v>
      </c>
      <c r="W158" s="156">
        <v>1</v>
      </c>
      <c r="X158" s="156">
        <f t="shared" si="66"/>
        <v>6630</v>
      </c>
      <c r="Y158" s="156">
        <f t="shared" si="67"/>
        <v>7650</v>
      </c>
      <c r="Z158" s="156">
        <f t="shared" si="68"/>
        <v>3060</v>
      </c>
      <c r="AA158" s="181">
        <f t="shared" si="69"/>
        <v>2009.25</v>
      </c>
      <c r="AB158" s="181">
        <f t="shared" si="70"/>
        <v>2016.75</v>
      </c>
      <c r="AC158" s="156">
        <f t="shared" si="71"/>
        <v>2019.25</v>
      </c>
      <c r="AD158" s="181">
        <f t="shared" si="72"/>
        <v>2015.75</v>
      </c>
      <c r="AE158" s="181">
        <f t="shared" si="73"/>
        <v>-8.3333333333333329E-2</v>
      </c>
      <c r="AF158" s="181">
        <f t="shared" si="74"/>
        <v>2019.25</v>
      </c>
      <c r="AG158" s="181">
        <f t="shared" si="75"/>
        <v>2015.75</v>
      </c>
      <c r="AH158" s="181">
        <f t="shared" si="76"/>
        <v>-8.3333333333333329E-2</v>
      </c>
      <c r="AI158" s="156"/>
      <c r="AJ158" s="156"/>
      <c r="AK158" s="156"/>
      <c r="AL158" s="156"/>
    </row>
    <row r="159" spans="1:38" x14ac:dyDescent="0.25">
      <c r="A159" s="203" t="s">
        <v>681</v>
      </c>
      <c r="B159" s="156" t="s">
        <v>589</v>
      </c>
      <c r="C159" s="222" t="s">
        <v>682</v>
      </c>
      <c r="D159" s="182">
        <v>2009</v>
      </c>
      <c r="E159" s="161">
        <v>5</v>
      </c>
      <c r="F159" s="183"/>
      <c r="G159" s="166" t="s">
        <v>452</v>
      </c>
      <c r="H159" s="156">
        <v>10</v>
      </c>
      <c r="I159" s="182">
        <f t="shared" si="57"/>
        <v>2019</v>
      </c>
      <c r="J159" s="156"/>
      <c r="K159" s="156"/>
      <c r="L159" s="201">
        <v>8920</v>
      </c>
      <c r="M159" s="156"/>
      <c r="N159" s="156">
        <f t="shared" si="58"/>
        <v>8920</v>
      </c>
      <c r="O159" s="156">
        <f t="shared" si="59"/>
        <v>74.333333333333329</v>
      </c>
      <c r="P159" s="156">
        <f t="shared" si="60"/>
        <v>892</v>
      </c>
      <c r="Q159" s="156">
        <f t="shared" si="61"/>
        <v>0</v>
      </c>
      <c r="R159" s="156">
        <f t="shared" si="62"/>
        <v>892</v>
      </c>
      <c r="S159" s="156">
        <v>1</v>
      </c>
      <c r="T159" s="156">
        <f t="shared" si="63"/>
        <v>892</v>
      </c>
      <c r="U159" s="156">
        <f t="shared" si="64"/>
        <v>5723.6666666667343</v>
      </c>
      <c r="V159" s="156">
        <f t="shared" si="65"/>
        <v>5723.6666666667343</v>
      </c>
      <c r="W159" s="156">
        <v>1</v>
      </c>
      <c r="X159" s="156">
        <f t="shared" si="66"/>
        <v>5723.6666666667343</v>
      </c>
      <c r="Y159" s="156">
        <f t="shared" si="67"/>
        <v>6615.6666666667343</v>
      </c>
      <c r="Z159" s="156">
        <f t="shared" si="68"/>
        <v>2750.3333333332657</v>
      </c>
      <c r="AA159" s="181">
        <f t="shared" si="69"/>
        <v>2009.3333333333333</v>
      </c>
      <c r="AB159" s="181">
        <f t="shared" si="70"/>
        <v>2016.75</v>
      </c>
      <c r="AC159" s="156">
        <f t="shared" si="71"/>
        <v>2019.3333333333333</v>
      </c>
      <c r="AD159" s="181">
        <f t="shared" si="72"/>
        <v>2015.75</v>
      </c>
      <c r="AE159" s="181">
        <f t="shared" si="73"/>
        <v>-8.3333333333333329E-2</v>
      </c>
      <c r="AF159" s="181">
        <f t="shared" si="74"/>
        <v>2019.3333333333333</v>
      </c>
      <c r="AG159" s="181">
        <f t="shared" si="75"/>
        <v>2015.75</v>
      </c>
      <c r="AH159" s="181">
        <f t="shared" si="76"/>
        <v>-8.3333333333333329E-2</v>
      </c>
      <c r="AI159" s="156"/>
      <c r="AJ159" s="156"/>
      <c r="AK159" s="156"/>
      <c r="AL159" s="156"/>
    </row>
    <row r="160" spans="1:38" x14ac:dyDescent="0.25">
      <c r="A160" s="203" t="s">
        <v>683</v>
      </c>
      <c r="B160" s="156" t="s">
        <v>589</v>
      </c>
      <c r="C160" s="222" t="s">
        <v>684</v>
      </c>
      <c r="D160" s="182">
        <v>2009</v>
      </c>
      <c r="E160" s="161">
        <v>5</v>
      </c>
      <c r="F160" s="183"/>
      <c r="G160" s="166" t="s">
        <v>452</v>
      </c>
      <c r="H160" s="156">
        <v>10</v>
      </c>
      <c r="I160" s="182">
        <f t="shared" si="57"/>
        <v>2019</v>
      </c>
      <c r="J160" s="156"/>
      <c r="K160" s="156"/>
      <c r="L160" s="201">
        <v>4980</v>
      </c>
      <c r="M160" s="156"/>
      <c r="N160" s="156">
        <f t="shared" si="58"/>
        <v>4980</v>
      </c>
      <c r="O160" s="156">
        <f t="shared" si="59"/>
        <v>41.5</v>
      </c>
      <c r="P160" s="156">
        <f t="shared" si="60"/>
        <v>498</v>
      </c>
      <c r="Q160" s="156">
        <f t="shared" si="61"/>
        <v>0</v>
      </c>
      <c r="R160" s="156">
        <f t="shared" si="62"/>
        <v>498</v>
      </c>
      <c r="S160" s="156">
        <v>1</v>
      </c>
      <c r="T160" s="156">
        <f t="shared" si="63"/>
        <v>498</v>
      </c>
      <c r="U160" s="156">
        <f t="shared" si="64"/>
        <v>3195.5000000000377</v>
      </c>
      <c r="V160" s="156">
        <f t="shared" si="65"/>
        <v>3195.5000000000377</v>
      </c>
      <c r="W160" s="156">
        <v>1</v>
      </c>
      <c r="X160" s="156">
        <f t="shared" si="66"/>
        <v>3195.5000000000377</v>
      </c>
      <c r="Y160" s="156">
        <f t="shared" si="67"/>
        <v>3693.5000000000377</v>
      </c>
      <c r="Z160" s="156">
        <f t="shared" si="68"/>
        <v>1535.4999999999623</v>
      </c>
      <c r="AA160" s="181">
        <f t="shared" si="69"/>
        <v>2009.3333333333333</v>
      </c>
      <c r="AB160" s="181">
        <f t="shared" si="70"/>
        <v>2016.75</v>
      </c>
      <c r="AC160" s="156">
        <f t="shared" si="71"/>
        <v>2019.3333333333333</v>
      </c>
      <c r="AD160" s="181">
        <f t="shared" si="72"/>
        <v>2015.75</v>
      </c>
      <c r="AE160" s="181">
        <f t="shared" si="73"/>
        <v>-8.3333333333333329E-2</v>
      </c>
      <c r="AF160" s="181">
        <f t="shared" si="74"/>
        <v>2019.3333333333333</v>
      </c>
      <c r="AG160" s="181">
        <f t="shared" si="75"/>
        <v>2015.75</v>
      </c>
      <c r="AH160" s="181">
        <f t="shared" si="76"/>
        <v>-8.3333333333333329E-2</v>
      </c>
      <c r="AI160" s="156"/>
      <c r="AJ160" s="156"/>
      <c r="AK160" s="156"/>
      <c r="AL160" s="156"/>
    </row>
    <row r="161" spans="1:38" x14ac:dyDescent="0.25">
      <c r="A161" s="203" t="s">
        <v>685</v>
      </c>
      <c r="B161" s="156" t="s">
        <v>589</v>
      </c>
      <c r="C161" s="222" t="s">
        <v>686</v>
      </c>
      <c r="D161" s="182">
        <v>2009</v>
      </c>
      <c r="E161" s="161">
        <v>5</v>
      </c>
      <c r="F161" s="183"/>
      <c r="G161" s="166" t="s">
        <v>452</v>
      </c>
      <c r="H161" s="156">
        <v>10</v>
      </c>
      <c r="I161" s="182">
        <f t="shared" si="57"/>
        <v>2019</v>
      </c>
      <c r="J161" s="156"/>
      <c r="K161" s="156"/>
      <c r="L161" s="201">
        <v>17150</v>
      </c>
      <c r="M161" s="156"/>
      <c r="N161" s="156">
        <f t="shared" si="58"/>
        <v>17150</v>
      </c>
      <c r="O161" s="156">
        <f t="shared" si="59"/>
        <v>142.91666666666666</v>
      </c>
      <c r="P161" s="156">
        <f t="shared" si="60"/>
        <v>1715</v>
      </c>
      <c r="Q161" s="156">
        <f t="shared" si="61"/>
        <v>0</v>
      </c>
      <c r="R161" s="156">
        <f t="shared" si="62"/>
        <v>1715</v>
      </c>
      <c r="S161" s="156">
        <v>1</v>
      </c>
      <c r="T161" s="156">
        <f t="shared" si="63"/>
        <v>1715</v>
      </c>
      <c r="U161" s="156">
        <f t="shared" si="64"/>
        <v>11004.583333333463</v>
      </c>
      <c r="V161" s="156">
        <f t="shared" si="65"/>
        <v>11004.583333333463</v>
      </c>
      <c r="W161" s="156">
        <v>1</v>
      </c>
      <c r="X161" s="156">
        <f t="shared" si="66"/>
        <v>11004.583333333463</v>
      </c>
      <c r="Y161" s="156">
        <f t="shared" si="67"/>
        <v>12719.583333333463</v>
      </c>
      <c r="Z161" s="156">
        <f t="shared" si="68"/>
        <v>5287.9166666665369</v>
      </c>
      <c r="AA161" s="181">
        <f t="shared" si="69"/>
        <v>2009.3333333333333</v>
      </c>
      <c r="AB161" s="181">
        <f t="shared" si="70"/>
        <v>2016.75</v>
      </c>
      <c r="AC161" s="156">
        <f t="shared" si="71"/>
        <v>2019.3333333333333</v>
      </c>
      <c r="AD161" s="181">
        <f t="shared" si="72"/>
        <v>2015.75</v>
      </c>
      <c r="AE161" s="181">
        <f t="shared" si="73"/>
        <v>-8.3333333333333329E-2</v>
      </c>
      <c r="AF161" s="181">
        <f t="shared" si="74"/>
        <v>2019.3333333333333</v>
      </c>
      <c r="AG161" s="181">
        <f t="shared" si="75"/>
        <v>2015.75</v>
      </c>
      <c r="AH161" s="181">
        <f t="shared" si="76"/>
        <v>-8.3333333333333329E-2</v>
      </c>
      <c r="AI161" s="156"/>
      <c r="AJ161" s="156"/>
      <c r="AK161" s="156"/>
      <c r="AL161" s="156"/>
    </row>
    <row r="162" spans="1:38" x14ac:dyDescent="0.25">
      <c r="A162" s="203" t="s">
        <v>687</v>
      </c>
      <c r="B162" s="156" t="s">
        <v>589</v>
      </c>
      <c r="C162" s="222" t="s">
        <v>688</v>
      </c>
      <c r="D162" s="182">
        <v>2009</v>
      </c>
      <c r="E162" s="161">
        <v>5</v>
      </c>
      <c r="F162" s="183"/>
      <c r="G162" s="166" t="s">
        <v>452</v>
      </c>
      <c r="H162" s="156">
        <v>10</v>
      </c>
      <c r="I162" s="182">
        <f t="shared" si="57"/>
        <v>2019</v>
      </c>
      <c r="J162" s="156"/>
      <c r="K162" s="156"/>
      <c r="L162" s="201">
        <v>24560</v>
      </c>
      <c r="M162" s="156"/>
      <c r="N162" s="156">
        <f t="shared" si="58"/>
        <v>24560</v>
      </c>
      <c r="O162" s="156">
        <f t="shared" si="59"/>
        <v>204.66666666666666</v>
      </c>
      <c r="P162" s="156">
        <f t="shared" si="60"/>
        <v>2456</v>
      </c>
      <c r="Q162" s="156">
        <f t="shared" si="61"/>
        <v>0</v>
      </c>
      <c r="R162" s="156">
        <f t="shared" si="62"/>
        <v>2456</v>
      </c>
      <c r="S162" s="156">
        <v>1</v>
      </c>
      <c r="T162" s="156">
        <f t="shared" si="63"/>
        <v>2456</v>
      </c>
      <c r="U162" s="156">
        <f t="shared" si="64"/>
        <v>15759.333333333519</v>
      </c>
      <c r="V162" s="156">
        <f t="shared" si="65"/>
        <v>15759.333333333519</v>
      </c>
      <c r="W162" s="156">
        <v>1</v>
      </c>
      <c r="X162" s="156">
        <f t="shared" si="66"/>
        <v>15759.333333333519</v>
      </c>
      <c r="Y162" s="156">
        <f t="shared" si="67"/>
        <v>18215.333333333518</v>
      </c>
      <c r="Z162" s="156">
        <f t="shared" si="68"/>
        <v>7572.6666666664814</v>
      </c>
      <c r="AA162" s="181">
        <f t="shared" si="69"/>
        <v>2009.3333333333333</v>
      </c>
      <c r="AB162" s="181">
        <f t="shared" si="70"/>
        <v>2016.75</v>
      </c>
      <c r="AC162" s="156">
        <f t="shared" si="71"/>
        <v>2019.3333333333333</v>
      </c>
      <c r="AD162" s="181">
        <f t="shared" si="72"/>
        <v>2015.75</v>
      </c>
      <c r="AE162" s="181">
        <f t="shared" si="73"/>
        <v>-8.3333333333333329E-2</v>
      </c>
      <c r="AF162" s="181">
        <f t="shared" si="74"/>
        <v>2019.3333333333333</v>
      </c>
      <c r="AG162" s="181">
        <f t="shared" si="75"/>
        <v>2015.75</v>
      </c>
      <c r="AH162" s="181">
        <f t="shared" si="76"/>
        <v>-8.3333333333333329E-2</v>
      </c>
      <c r="AI162" s="156"/>
      <c r="AJ162" s="156"/>
      <c r="AK162" s="156"/>
      <c r="AL162" s="156"/>
    </row>
    <row r="163" spans="1:38" x14ac:dyDescent="0.25">
      <c r="A163" s="163" t="s">
        <v>689</v>
      </c>
      <c r="B163" s="156" t="s">
        <v>589</v>
      </c>
      <c r="C163" s="222" t="s">
        <v>690</v>
      </c>
      <c r="D163" s="182">
        <v>2009</v>
      </c>
      <c r="E163" s="161">
        <v>8</v>
      </c>
      <c r="F163" s="183"/>
      <c r="G163" s="166" t="s">
        <v>452</v>
      </c>
      <c r="H163" s="156">
        <v>10</v>
      </c>
      <c r="I163" s="182">
        <f t="shared" si="57"/>
        <v>2019</v>
      </c>
      <c r="J163" s="156"/>
      <c r="K163" s="156"/>
      <c r="L163" s="201">
        <v>14966</v>
      </c>
      <c r="M163" s="156"/>
      <c r="N163" s="156">
        <f t="shared" si="58"/>
        <v>14966</v>
      </c>
      <c r="O163" s="156">
        <f t="shared" si="59"/>
        <v>124.71666666666665</v>
      </c>
      <c r="P163" s="156">
        <f t="shared" si="60"/>
        <v>1496.6</v>
      </c>
      <c r="Q163" s="156">
        <f t="shared" si="61"/>
        <v>0</v>
      </c>
      <c r="R163" s="156">
        <f t="shared" si="62"/>
        <v>1496.6</v>
      </c>
      <c r="S163" s="156">
        <v>1</v>
      </c>
      <c r="T163" s="156">
        <f t="shared" si="63"/>
        <v>1496.6</v>
      </c>
      <c r="U163" s="156">
        <f t="shared" si="64"/>
        <v>9229.0333333334456</v>
      </c>
      <c r="V163" s="156">
        <f t="shared" si="65"/>
        <v>9229.0333333334456</v>
      </c>
      <c r="W163" s="156">
        <v>1</v>
      </c>
      <c r="X163" s="156">
        <f t="shared" si="66"/>
        <v>9229.0333333334456</v>
      </c>
      <c r="Y163" s="156">
        <f t="shared" si="67"/>
        <v>10725.633333333446</v>
      </c>
      <c r="Z163" s="156">
        <f t="shared" si="68"/>
        <v>4988.6666666665542</v>
      </c>
      <c r="AA163" s="181">
        <f t="shared" si="69"/>
        <v>2009.5833333333333</v>
      </c>
      <c r="AB163" s="181">
        <f t="shared" si="70"/>
        <v>2016.75</v>
      </c>
      <c r="AC163" s="156">
        <f t="shared" si="71"/>
        <v>2019.5833333333333</v>
      </c>
      <c r="AD163" s="181">
        <f t="shared" si="72"/>
        <v>2015.75</v>
      </c>
      <c r="AE163" s="181">
        <f t="shared" si="73"/>
        <v>-8.3333333333333329E-2</v>
      </c>
      <c r="AF163" s="181">
        <f t="shared" si="74"/>
        <v>2019.5833333333333</v>
      </c>
      <c r="AG163" s="181">
        <f t="shared" si="75"/>
        <v>2015.75</v>
      </c>
      <c r="AH163" s="181">
        <f t="shared" si="76"/>
        <v>-8.3333333333333329E-2</v>
      </c>
      <c r="AI163" s="156"/>
      <c r="AJ163" s="156"/>
      <c r="AK163" s="156"/>
      <c r="AL163" s="156"/>
    </row>
    <row r="164" spans="1:38" x14ac:dyDescent="0.25">
      <c r="A164" s="163" t="s">
        <v>691</v>
      </c>
      <c r="B164" s="156" t="s">
        <v>589</v>
      </c>
      <c r="C164" s="222" t="s">
        <v>692</v>
      </c>
      <c r="D164" s="182">
        <v>2009</v>
      </c>
      <c r="E164" s="161">
        <v>8</v>
      </c>
      <c r="F164" s="183"/>
      <c r="G164" s="166" t="s">
        <v>452</v>
      </c>
      <c r="H164" s="156">
        <v>10</v>
      </c>
      <c r="I164" s="182">
        <f t="shared" si="57"/>
        <v>2019</v>
      </c>
      <c r="J164" s="156"/>
      <c r="K164" s="156"/>
      <c r="L164" s="201">
        <v>680</v>
      </c>
      <c r="M164" s="156"/>
      <c r="N164" s="156">
        <f t="shared" si="58"/>
        <v>680</v>
      </c>
      <c r="O164" s="156">
        <f t="shared" si="59"/>
        <v>5.666666666666667</v>
      </c>
      <c r="P164" s="156">
        <f t="shared" si="60"/>
        <v>68</v>
      </c>
      <c r="Q164" s="156">
        <f t="shared" si="61"/>
        <v>0</v>
      </c>
      <c r="R164" s="156">
        <f t="shared" si="62"/>
        <v>68</v>
      </c>
      <c r="S164" s="156">
        <v>1</v>
      </c>
      <c r="T164" s="156">
        <f t="shared" si="63"/>
        <v>68</v>
      </c>
      <c r="U164" s="156">
        <f t="shared" si="64"/>
        <v>419.33333333333849</v>
      </c>
      <c r="V164" s="156">
        <f t="shared" si="65"/>
        <v>419.33333333333849</v>
      </c>
      <c r="W164" s="156">
        <v>1</v>
      </c>
      <c r="X164" s="156">
        <f t="shared" si="66"/>
        <v>419.33333333333849</v>
      </c>
      <c r="Y164" s="156">
        <f t="shared" si="67"/>
        <v>487.33333333333849</v>
      </c>
      <c r="Z164" s="156">
        <f t="shared" si="68"/>
        <v>226.66666666666151</v>
      </c>
      <c r="AA164" s="181">
        <f t="shared" si="69"/>
        <v>2009.5833333333333</v>
      </c>
      <c r="AB164" s="181">
        <f t="shared" si="70"/>
        <v>2016.75</v>
      </c>
      <c r="AC164" s="156">
        <f t="shared" si="71"/>
        <v>2019.5833333333333</v>
      </c>
      <c r="AD164" s="181">
        <f t="shared" si="72"/>
        <v>2015.75</v>
      </c>
      <c r="AE164" s="181">
        <f t="shared" si="73"/>
        <v>-8.3333333333333329E-2</v>
      </c>
      <c r="AF164" s="181">
        <f t="shared" si="74"/>
        <v>2019.5833333333333</v>
      </c>
      <c r="AG164" s="181">
        <f t="shared" si="75"/>
        <v>2015.75</v>
      </c>
      <c r="AH164" s="181">
        <f t="shared" si="76"/>
        <v>-8.3333333333333329E-2</v>
      </c>
      <c r="AI164" s="156"/>
      <c r="AJ164" s="156"/>
      <c r="AK164" s="156"/>
      <c r="AL164" s="156"/>
    </row>
    <row r="165" spans="1:38" x14ac:dyDescent="0.25">
      <c r="A165" s="163" t="s">
        <v>693</v>
      </c>
      <c r="B165" s="156" t="s">
        <v>589</v>
      </c>
      <c r="C165" s="222" t="s">
        <v>694</v>
      </c>
      <c r="D165" s="182">
        <v>2009</v>
      </c>
      <c r="E165" s="161">
        <v>8</v>
      </c>
      <c r="F165" s="183"/>
      <c r="G165" s="166" t="s">
        <v>452</v>
      </c>
      <c r="H165" s="156">
        <v>10</v>
      </c>
      <c r="I165" s="182">
        <f t="shared" si="57"/>
        <v>2019</v>
      </c>
      <c r="J165" s="156"/>
      <c r="K165" s="156"/>
      <c r="L165" s="201">
        <v>6120</v>
      </c>
      <c r="M165" s="156"/>
      <c r="N165" s="156">
        <f t="shared" si="58"/>
        <v>6120</v>
      </c>
      <c r="O165" s="156">
        <f t="shared" si="59"/>
        <v>51</v>
      </c>
      <c r="P165" s="156">
        <f t="shared" si="60"/>
        <v>612</v>
      </c>
      <c r="Q165" s="156">
        <f t="shared" si="61"/>
        <v>0</v>
      </c>
      <c r="R165" s="156">
        <f t="shared" si="62"/>
        <v>612</v>
      </c>
      <c r="S165" s="156">
        <v>1</v>
      </c>
      <c r="T165" s="156">
        <f t="shared" si="63"/>
        <v>612</v>
      </c>
      <c r="U165" s="156">
        <f t="shared" si="64"/>
        <v>3774.0000000000464</v>
      </c>
      <c r="V165" s="156">
        <f t="shared" si="65"/>
        <v>3774.0000000000464</v>
      </c>
      <c r="W165" s="156">
        <v>1</v>
      </c>
      <c r="X165" s="156">
        <f t="shared" si="66"/>
        <v>3774.0000000000464</v>
      </c>
      <c r="Y165" s="156">
        <f t="shared" si="67"/>
        <v>4386.0000000000464</v>
      </c>
      <c r="Z165" s="156">
        <f t="shared" si="68"/>
        <v>2039.9999999999536</v>
      </c>
      <c r="AA165" s="181">
        <f t="shared" si="69"/>
        <v>2009.5833333333333</v>
      </c>
      <c r="AB165" s="181">
        <f t="shared" si="70"/>
        <v>2016.75</v>
      </c>
      <c r="AC165" s="156">
        <f t="shared" si="71"/>
        <v>2019.5833333333333</v>
      </c>
      <c r="AD165" s="181">
        <f t="shared" si="72"/>
        <v>2015.75</v>
      </c>
      <c r="AE165" s="181">
        <f t="shared" si="73"/>
        <v>-8.3333333333333329E-2</v>
      </c>
      <c r="AF165" s="181">
        <f t="shared" si="74"/>
        <v>2019.5833333333333</v>
      </c>
      <c r="AG165" s="181">
        <f t="shared" si="75"/>
        <v>2015.75</v>
      </c>
      <c r="AH165" s="181">
        <f t="shared" si="76"/>
        <v>-8.3333333333333329E-2</v>
      </c>
      <c r="AI165" s="156"/>
      <c r="AJ165" s="156"/>
      <c r="AK165" s="156"/>
      <c r="AL165" s="156"/>
    </row>
    <row r="166" spans="1:38" x14ac:dyDescent="0.25">
      <c r="A166" s="203" t="s">
        <v>695</v>
      </c>
      <c r="B166" s="156" t="s">
        <v>589</v>
      </c>
      <c r="C166" s="222" t="s">
        <v>696</v>
      </c>
      <c r="D166" s="182">
        <v>2009</v>
      </c>
      <c r="E166" s="161">
        <v>8</v>
      </c>
      <c r="F166" s="183"/>
      <c r="G166" s="166" t="s">
        <v>452</v>
      </c>
      <c r="H166" s="156">
        <v>10</v>
      </c>
      <c r="I166" s="182">
        <f t="shared" si="57"/>
        <v>2019</v>
      </c>
      <c r="J166" s="156"/>
      <c r="K166" s="156"/>
      <c r="L166" s="201">
        <v>4580</v>
      </c>
      <c r="M166" s="156"/>
      <c r="N166" s="156">
        <f t="shared" si="58"/>
        <v>4580</v>
      </c>
      <c r="O166" s="156">
        <f t="shared" si="59"/>
        <v>38.166666666666664</v>
      </c>
      <c r="P166" s="156">
        <f t="shared" si="60"/>
        <v>458</v>
      </c>
      <c r="Q166" s="156">
        <f t="shared" si="61"/>
        <v>0</v>
      </c>
      <c r="R166" s="156">
        <f t="shared" si="62"/>
        <v>458</v>
      </c>
      <c r="S166" s="156">
        <v>1</v>
      </c>
      <c r="T166" s="156">
        <f t="shared" si="63"/>
        <v>458</v>
      </c>
      <c r="U166" s="156">
        <f t="shared" si="64"/>
        <v>2824.333333333368</v>
      </c>
      <c r="V166" s="156">
        <f t="shared" si="65"/>
        <v>2824.333333333368</v>
      </c>
      <c r="W166" s="156">
        <v>1</v>
      </c>
      <c r="X166" s="156">
        <f t="shared" si="66"/>
        <v>2824.333333333368</v>
      </c>
      <c r="Y166" s="156">
        <f t="shared" si="67"/>
        <v>3282.333333333368</v>
      </c>
      <c r="Z166" s="156">
        <f t="shared" si="68"/>
        <v>1526.666666666632</v>
      </c>
      <c r="AA166" s="181">
        <f t="shared" si="69"/>
        <v>2009.5833333333333</v>
      </c>
      <c r="AB166" s="181">
        <f t="shared" si="70"/>
        <v>2016.75</v>
      </c>
      <c r="AC166" s="156">
        <f t="shared" si="71"/>
        <v>2019.5833333333333</v>
      </c>
      <c r="AD166" s="181">
        <f t="shared" si="72"/>
        <v>2015.75</v>
      </c>
      <c r="AE166" s="181">
        <f t="shared" si="73"/>
        <v>-8.3333333333333329E-2</v>
      </c>
      <c r="AF166" s="181">
        <f t="shared" si="74"/>
        <v>2019.5833333333333</v>
      </c>
      <c r="AG166" s="181">
        <f t="shared" si="75"/>
        <v>2015.75</v>
      </c>
      <c r="AH166" s="181">
        <f t="shared" si="76"/>
        <v>-8.3333333333333329E-2</v>
      </c>
      <c r="AI166" s="156"/>
      <c r="AJ166" s="156"/>
      <c r="AK166" s="156"/>
      <c r="AL166" s="156"/>
    </row>
    <row r="167" spans="1:38" x14ac:dyDescent="0.25">
      <c r="A167" s="203" t="s">
        <v>697</v>
      </c>
      <c r="B167" s="156" t="s">
        <v>589</v>
      </c>
      <c r="C167" s="222" t="s">
        <v>698</v>
      </c>
      <c r="D167" s="182">
        <v>2009</v>
      </c>
      <c r="E167" s="161">
        <v>9</v>
      </c>
      <c r="F167" s="183"/>
      <c r="G167" s="166" t="s">
        <v>452</v>
      </c>
      <c r="H167" s="156">
        <v>10</v>
      </c>
      <c r="I167" s="182">
        <f t="shared" si="57"/>
        <v>2019</v>
      </c>
      <c r="J167" s="156"/>
      <c r="K167" s="156"/>
      <c r="L167" s="201">
        <v>14006</v>
      </c>
      <c r="M167" s="156"/>
      <c r="N167" s="156">
        <f t="shared" si="58"/>
        <v>14006</v>
      </c>
      <c r="O167" s="156">
        <f t="shared" si="59"/>
        <v>116.71666666666665</v>
      </c>
      <c r="P167" s="156">
        <f t="shared" si="60"/>
        <v>1400.6</v>
      </c>
      <c r="Q167" s="156">
        <f t="shared" si="61"/>
        <v>0</v>
      </c>
      <c r="R167" s="156">
        <f t="shared" si="62"/>
        <v>1400.6</v>
      </c>
      <c r="S167" s="156">
        <v>1</v>
      </c>
      <c r="T167" s="156">
        <f t="shared" si="63"/>
        <v>1400.6</v>
      </c>
      <c r="U167" s="156">
        <f t="shared" si="64"/>
        <v>8520.3166666665602</v>
      </c>
      <c r="V167" s="156">
        <f t="shared" si="65"/>
        <v>8520.3166666665602</v>
      </c>
      <c r="W167" s="156">
        <v>1</v>
      </c>
      <c r="X167" s="156">
        <f t="shared" si="66"/>
        <v>8520.3166666665602</v>
      </c>
      <c r="Y167" s="156">
        <f t="shared" si="67"/>
        <v>9920.9166666665606</v>
      </c>
      <c r="Z167" s="156">
        <f t="shared" si="68"/>
        <v>4785.3833333334396</v>
      </c>
      <c r="AA167" s="181">
        <f t="shared" si="69"/>
        <v>2009.6666666666667</v>
      </c>
      <c r="AB167" s="181">
        <f t="shared" si="70"/>
        <v>2016.75</v>
      </c>
      <c r="AC167" s="156">
        <f t="shared" si="71"/>
        <v>2019.6666666666667</v>
      </c>
      <c r="AD167" s="181">
        <f t="shared" si="72"/>
        <v>2015.75</v>
      </c>
      <c r="AE167" s="181">
        <f t="shared" si="73"/>
        <v>-8.3333333333333329E-2</v>
      </c>
      <c r="AF167" s="181">
        <f t="shared" si="74"/>
        <v>2019.6666666666667</v>
      </c>
      <c r="AG167" s="181">
        <f t="shared" si="75"/>
        <v>2015.75</v>
      </c>
      <c r="AH167" s="181">
        <f t="shared" si="76"/>
        <v>-8.3333333333333329E-2</v>
      </c>
      <c r="AI167" s="156"/>
      <c r="AJ167" s="156"/>
      <c r="AK167" s="156"/>
      <c r="AL167" s="156"/>
    </row>
    <row r="168" spans="1:38" x14ac:dyDescent="0.25">
      <c r="A168" s="163" t="s">
        <v>699</v>
      </c>
      <c r="B168" s="156" t="s">
        <v>589</v>
      </c>
      <c r="C168" s="222" t="s">
        <v>700</v>
      </c>
      <c r="D168" s="182">
        <v>2010</v>
      </c>
      <c r="E168" s="161">
        <v>4</v>
      </c>
      <c r="F168" s="183"/>
      <c r="G168" s="166" t="s">
        <v>452</v>
      </c>
      <c r="H168" s="156">
        <v>10</v>
      </c>
      <c r="I168" s="182">
        <f t="shared" si="57"/>
        <v>2020</v>
      </c>
      <c r="J168" s="156"/>
      <c r="K168" s="156"/>
      <c r="L168" s="201">
        <v>5200</v>
      </c>
      <c r="M168" s="156"/>
      <c r="N168" s="156">
        <f t="shared" si="58"/>
        <v>5200</v>
      </c>
      <c r="O168" s="156">
        <f t="shared" si="59"/>
        <v>43.333333333333336</v>
      </c>
      <c r="P168" s="156">
        <f t="shared" si="60"/>
        <v>520</v>
      </c>
      <c r="Q168" s="156">
        <f t="shared" si="61"/>
        <v>0</v>
      </c>
      <c r="R168" s="156">
        <f t="shared" si="62"/>
        <v>520</v>
      </c>
      <c r="S168" s="156">
        <v>1</v>
      </c>
      <c r="T168" s="156">
        <f t="shared" si="63"/>
        <v>520</v>
      </c>
      <c r="U168" s="156">
        <f t="shared" si="64"/>
        <v>2860</v>
      </c>
      <c r="V168" s="156">
        <f t="shared" si="65"/>
        <v>2860</v>
      </c>
      <c r="W168" s="156">
        <v>1</v>
      </c>
      <c r="X168" s="156">
        <f t="shared" si="66"/>
        <v>2860</v>
      </c>
      <c r="Y168" s="156">
        <f t="shared" si="67"/>
        <v>3380</v>
      </c>
      <c r="Z168" s="156">
        <f t="shared" si="68"/>
        <v>2080</v>
      </c>
      <c r="AA168" s="181">
        <f t="shared" si="69"/>
        <v>2010.25</v>
      </c>
      <c r="AB168" s="181">
        <f t="shared" si="70"/>
        <v>2016.75</v>
      </c>
      <c r="AC168" s="156">
        <f t="shared" si="71"/>
        <v>2020.25</v>
      </c>
      <c r="AD168" s="181">
        <f t="shared" si="72"/>
        <v>2015.75</v>
      </c>
      <c r="AE168" s="181">
        <f t="shared" si="73"/>
        <v>-8.3333333333333329E-2</v>
      </c>
      <c r="AF168" s="181">
        <f t="shared" si="74"/>
        <v>2020.25</v>
      </c>
      <c r="AG168" s="181">
        <f t="shared" si="75"/>
        <v>2015.75</v>
      </c>
      <c r="AH168" s="181">
        <f t="shared" si="76"/>
        <v>-8.3333333333333329E-2</v>
      </c>
      <c r="AI168" s="156"/>
      <c r="AJ168" s="156"/>
      <c r="AK168" s="156"/>
      <c r="AL168" s="156"/>
    </row>
    <row r="169" spans="1:38" x14ac:dyDescent="0.25">
      <c r="A169" s="163" t="s">
        <v>701</v>
      </c>
      <c r="B169" s="156" t="s">
        <v>589</v>
      </c>
      <c r="C169" s="222" t="s">
        <v>702</v>
      </c>
      <c r="D169" s="182">
        <v>2010</v>
      </c>
      <c r="E169" s="161">
        <v>4</v>
      </c>
      <c r="F169" s="183"/>
      <c r="G169" s="166" t="s">
        <v>452</v>
      </c>
      <c r="H169" s="156">
        <v>10</v>
      </c>
      <c r="I169" s="182">
        <f t="shared" si="57"/>
        <v>2020</v>
      </c>
      <c r="J169" s="156"/>
      <c r="K169" s="156"/>
      <c r="L169" s="201">
        <v>6000</v>
      </c>
      <c r="M169" s="156"/>
      <c r="N169" s="156">
        <f t="shared" si="58"/>
        <v>6000</v>
      </c>
      <c r="O169" s="156">
        <f t="shared" si="59"/>
        <v>50</v>
      </c>
      <c r="P169" s="156">
        <f t="shared" si="60"/>
        <v>600</v>
      </c>
      <c r="Q169" s="156">
        <f t="shared" si="61"/>
        <v>0</v>
      </c>
      <c r="R169" s="156">
        <f t="shared" si="62"/>
        <v>600</v>
      </c>
      <c r="S169" s="156">
        <v>1</v>
      </c>
      <c r="T169" s="156">
        <f t="shared" si="63"/>
        <v>600</v>
      </c>
      <c r="U169" s="156">
        <f t="shared" si="64"/>
        <v>3300</v>
      </c>
      <c r="V169" s="156">
        <f t="shared" si="65"/>
        <v>3300</v>
      </c>
      <c r="W169" s="156">
        <v>1</v>
      </c>
      <c r="X169" s="156">
        <f t="shared" si="66"/>
        <v>3300</v>
      </c>
      <c r="Y169" s="156">
        <f t="shared" si="67"/>
        <v>3900</v>
      </c>
      <c r="Z169" s="156">
        <f t="shared" si="68"/>
        <v>2400</v>
      </c>
      <c r="AA169" s="181">
        <f t="shared" si="69"/>
        <v>2010.25</v>
      </c>
      <c r="AB169" s="181">
        <f t="shared" si="70"/>
        <v>2016.75</v>
      </c>
      <c r="AC169" s="156">
        <f t="shared" si="71"/>
        <v>2020.25</v>
      </c>
      <c r="AD169" s="181">
        <f t="shared" si="72"/>
        <v>2015.75</v>
      </c>
      <c r="AE169" s="181">
        <f t="shared" si="73"/>
        <v>-8.3333333333333329E-2</v>
      </c>
      <c r="AF169" s="181">
        <f t="shared" si="74"/>
        <v>2020.25</v>
      </c>
      <c r="AG169" s="181">
        <f t="shared" si="75"/>
        <v>2015.75</v>
      </c>
      <c r="AH169" s="181">
        <f t="shared" si="76"/>
        <v>-8.3333333333333329E-2</v>
      </c>
      <c r="AI169" s="156"/>
      <c r="AJ169" s="156"/>
      <c r="AK169" s="156"/>
      <c r="AL169" s="156"/>
    </row>
    <row r="170" spans="1:38" x14ac:dyDescent="0.25">
      <c r="A170" s="163" t="s">
        <v>703</v>
      </c>
      <c r="B170" s="156" t="s">
        <v>589</v>
      </c>
      <c r="C170" s="222" t="s">
        <v>704</v>
      </c>
      <c r="D170" s="182">
        <v>2010</v>
      </c>
      <c r="E170" s="161">
        <v>4</v>
      </c>
      <c r="F170" s="183"/>
      <c r="G170" s="166" t="s">
        <v>452</v>
      </c>
      <c r="H170" s="156">
        <v>10</v>
      </c>
      <c r="I170" s="182">
        <f t="shared" si="57"/>
        <v>2020</v>
      </c>
      <c r="J170" s="156"/>
      <c r="K170" s="156"/>
      <c r="L170" s="227">
        <v>19212</v>
      </c>
      <c r="M170" s="221"/>
      <c r="N170" s="221">
        <f t="shared" si="58"/>
        <v>19212</v>
      </c>
      <c r="O170" s="221">
        <f t="shared" si="59"/>
        <v>160.1</v>
      </c>
      <c r="P170" s="221">
        <f t="shared" si="60"/>
        <v>1921.1999999999998</v>
      </c>
      <c r="Q170" s="221">
        <f t="shared" si="61"/>
        <v>0</v>
      </c>
      <c r="R170" s="221">
        <f t="shared" si="62"/>
        <v>1921.1999999999998</v>
      </c>
      <c r="S170" s="221">
        <v>1</v>
      </c>
      <c r="T170" s="221">
        <f t="shared" si="63"/>
        <v>1921.1999999999998</v>
      </c>
      <c r="U170" s="221">
        <f t="shared" si="64"/>
        <v>10566.6</v>
      </c>
      <c r="V170" s="221">
        <f t="shared" si="65"/>
        <v>10566.6</v>
      </c>
      <c r="W170" s="221">
        <v>1</v>
      </c>
      <c r="X170" s="221">
        <f t="shared" si="66"/>
        <v>10566.6</v>
      </c>
      <c r="Y170" s="221">
        <f t="shared" si="67"/>
        <v>12487.8</v>
      </c>
      <c r="Z170" s="221">
        <f t="shared" si="68"/>
        <v>7684.8</v>
      </c>
      <c r="AA170" s="181">
        <f t="shared" si="69"/>
        <v>2010.25</v>
      </c>
      <c r="AB170" s="181">
        <f t="shared" si="70"/>
        <v>2016.75</v>
      </c>
      <c r="AC170" s="156">
        <f t="shared" si="71"/>
        <v>2020.25</v>
      </c>
      <c r="AD170" s="181">
        <f t="shared" si="72"/>
        <v>2015.75</v>
      </c>
      <c r="AE170" s="181">
        <f t="shared" si="73"/>
        <v>-8.3333333333333329E-2</v>
      </c>
      <c r="AF170" s="181">
        <f t="shared" si="74"/>
        <v>2020.25</v>
      </c>
      <c r="AG170" s="181">
        <f t="shared" si="75"/>
        <v>2015.75</v>
      </c>
      <c r="AH170" s="181">
        <f t="shared" si="76"/>
        <v>-8.3333333333333329E-2</v>
      </c>
      <c r="AI170" s="156"/>
      <c r="AJ170" s="156"/>
      <c r="AK170" s="156"/>
      <c r="AL170" s="156"/>
    </row>
    <row r="171" spans="1:38" x14ac:dyDescent="0.25">
      <c r="A171" s="163" t="s">
        <v>705</v>
      </c>
      <c r="B171" s="156" t="s">
        <v>589</v>
      </c>
      <c r="C171" s="222" t="s">
        <v>706</v>
      </c>
      <c r="D171" s="182">
        <v>2010</v>
      </c>
      <c r="E171" s="161">
        <v>4</v>
      </c>
      <c r="F171" s="183"/>
      <c r="G171" s="166" t="s">
        <v>452</v>
      </c>
      <c r="H171" s="156">
        <v>10</v>
      </c>
      <c r="I171" s="182">
        <f t="shared" si="57"/>
        <v>2020</v>
      </c>
      <c r="J171" s="156"/>
      <c r="K171" s="156"/>
      <c r="L171" s="227">
        <v>31914</v>
      </c>
      <c r="M171" s="221"/>
      <c r="N171" s="221">
        <f t="shared" si="58"/>
        <v>31914</v>
      </c>
      <c r="O171" s="221">
        <f t="shared" si="59"/>
        <v>265.95</v>
      </c>
      <c r="P171" s="221">
        <f t="shared" si="60"/>
        <v>3191.3999999999996</v>
      </c>
      <c r="Q171" s="221">
        <f t="shared" si="61"/>
        <v>0</v>
      </c>
      <c r="R171" s="221">
        <f t="shared" si="62"/>
        <v>3191.3999999999996</v>
      </c>
      <c r="S171" s="221">
        <v>1</v>
      </c>
      <c r="T171" s="221">
        <f t="shared" si="63"/>
        <v>3191.3999999999996</v>
      </c>
      <c r="U171" s="221">
        <f t="shared" si="64"/>
        <v>17552.7</v>
      </c>
      <c r="V171" s="221">
        <f t="shared" si="65"/>
        <v>17552.7</v>
      </c>
      <c r="W171" s="221">
        <v>1</v>
      </c>
      <c r="X171" s="221">
        <f t="shared" si="66"/>
        <v>17552.7</v>
      </c>
      <c r="Y171" s="221">
        <f t="shared" si="67"/>
        <v>20744.099999999999</v>
      </c>
      <c r="Z171" s="221">
        <f t="shared" si="68"/>
        <v>12765.6</v>
      </c>
      <c r="AA171" s="181">
        <f t="shared" si="69"/>
        <v>2010.25</v>
      </c>
      <c r="AB171" s="181">
        <f t="shared" si="70"/>
        <v>2016.75</v>
      </c>
      <c r="AC171" s="156">
        <f t="shared" si="71"/>
        <v>2020.25</v>
      </c>
      <c r="AD171" s="181">
        <f t="shared" si="72"/>
        <v>2015.75</v>
      </c>
      <c r="AE171" s="181">
        <f t="shared" si="73"/>
        <v>-8.3333333333333329E-2</v>
      </c>
      <c r="AF171" s="181">
        <f t="shared" si="74"/>
        <v>2020.25</v>
      </c>
      <c r="AG171" s="181">
        <f t="shared" si="75"/>
        <v>2015.75</v>
      </c>
      <c r="AH171" s="181">
        <f t="shared" si="76"/>
        <v>-8.3333333333333329E-2</v>
      </c>
      <c r="AI171" s="156"/>
      <c r="AJ171" s="156"/>
      <c r="AK171" s="156"/>
      <c r="AL171" s="156"/>
    </row>
    <row r="172" spans="1:38" x14ac:dyDescent="0.25">
      <c r="A172" s="163" t="s">
        <v>707</v>
      </c>
      <c r="B172" s="156" t="s">
        <v>589</v>
      </c>
      <c r="C172" s="222" t="s">
        <v>708</v>
      </c>
      <c r="D172" s="182">
        <v>2010</v>
      </c>
      <c r="E172" s="161">
        <v>5</v>
      </c>
      <c r="F172" s="183"/>
      <c r="G172" s="166" t="s">
        <v>452</v>
      </c>
      <c r="H172" s="156">
        <v>10</v>
      </c>
      <c r="I172" s="182">
        <f t="shared" si="57"/>
        <v>2020</v>
      </c>
      <c r="J172" s="156"/>
      <c r="K172" s="156"/>
      <c r="L172" s="201">
        <v>7680</v>
      </c>
      <c r="M172" s="156"/>
      <c r="N172" s="156">
        <f t="shared" si="58"/>
        <v>7680</v>
      </c>
      <c r="O172" s="156">
        <f t="shared" si="59"/>
        <v>64</v>
      </c>
      <c r="P172" s="156">
        <f t="shared" si="60"/>
        <v>768</v>
      </c>
      <c r="Q172" s="156">
        <f t="shared" si="61"/>
        <v>0</v>
      </c>
      <c r="R172" s="156">
        <f t="shared" si="62"/>
        <v>768</v>
      </c>
      <c r="S172" s="156">
        <v>1</v>
      </c>
      <c r="T172" s="156">
        <f t="shared" si="63"/>
        <v>768</v>
      </c>
      <c r="U172" s="156">
        <f t="shared" si="64"/>
        <v>4160.0000000000582</v>
      </c>
      <c r="V172" s="156">
        <f t="shared" si="65"/>
        <v>4160.0000000000582</v>
      </c>
      <c r="W172" s="156">
        <v>1</v>
      </c>
      <c r="X172" s="156">
        <f t="shared" si="66"/>
        <v>4160.0000000000582</v>
      </c>
      <c r="Y172" s="156">
        <f t="shared" si="67"/>
        <v>4928.0000000000582</v>
      </c>
      <c r="Z172" s="156">
        <f t="shared" si="68"/>
        <v>3135.9999999999418</v>
      </c>
      <c r="AA172" s="181">
        <f t="shared" si="69"/>
        <v>2010.3333333333333</v>
      </c>
      <c r="AB172" s="181">
        <f t="shared" si="70"/>
        <v>2016.75</v>
      </c>
      <c r="AC172" s="156">
        <f t="shared" si="71"/>
        <v>2020.3333333333333</v>
      </c>
      <c r="AD172" s="181">
        <f t="shared" si="72"/>
        <v>2015.75</v>
      </c>
      <c r="AE172" s="181">
        <f t="shared" si="73"/>
        <v>-8.3333333333333329E-2</v>
      </c>
      <c r="AF172" s="181">
        <f t="shared" si="74"/>
        <v>2020.3333333333333</v>
      </c>
      <c r="AG172" s="181">
        <f t="shared" si="75"/>
        <v>2015.75</v>
      </c>
      <c r="AH172" s="181">
        <f t="shared" si="76"/>
        <v>-8.3333333333333329E-2</v>
      </c>
      <c r="AI172" s="156"/>
      <c r="AJ172" s="156"/>
      <c r="AK172" s="156"/>
      <c r="AL172" s="156"/>
    </row>
    <row r="173" spans="1:38" x14ac:dyDescent="0.25">
      <c r="A173" s="163" t="s">
        <v>709</v>
      </c>
      <c r="B173" s="156" t="s">
        <v>589</v>
      </c>
      <c r="C173" s="222" t="s">
        <v>710</v>
      </c>
      <c r="D173" s="182">
        <v>2010</v>
      </c>
      <c r="E173" s="161">
        <v>5</v>
      </c>
      <c r="F173" s="183"/>
      <c r="G173" s="166" t="s">
        <v>452</v>
      </c>
      <c r="H173" s="156">
        <v>10</v>
      </c>
      <c r="I173" s="182">
        <f t="shared" ref="I173:I236" si="77">D173+H173</f>
        <v>2020</v>
      </c>
      <c r="J173" s="156"/>
      <c r="K173" s="156"/>
      <c r="L173" s="201">
        <v>7020</v>
      </c>
      <c r="M173" s="156"/>
      <c r="N173" s="156">
        <f t="shared" ref="N173:N236" si="78">L173-L173*F173</f>
        <v>7020</v>
      </c>
      <c r="O173" s="156">
        <f t="shared" ref="O173:O236" si="79">N173/H173/12</f>
        <v>58.5</v>
      </c>
      <c r="P173" s="156">
        <f t="shared" ref="P173:P236" si="80">IF(M173&gt;0,0,IF((OR((AA173&gt;AB173),(AC173&lt;AD173))),0,IF((AND((AC173&gt;=AD173),(AC173&lt;=AB173))),O173*((AC173-AD173)*12),IF((AND((AD173&lt;=AA173),(AB173&gt;=AA173))),((AB173-AA173)*12)*O173,IF(AC173&gt;AB173,12*O173,0)))))</f>
        <v>702</v>
      </c>
      <c r="Q173" s="156">
        <f t="shared" ref="Q173:Q236" si="81">IF(M173=0,0,IF((AND((AE173&gt;=AD173),(AE173&lt;=AC173))),((AE173-AD173)*12)*O173,0))</f>
        <v>0</v>
      </c>
      <c r="R173" s="156">
        <f t="shared" ref="R173:R236" si="82">IF(Q173&gt;0,Q173,P173)</f>
        <v>702</v>
      </c>
      <c r="S173" s="156">
        <v>1</v>
      </c>
      <c r="T173" s="156">
        <f t="shared" ref="T173:T236" si="83">S173*SUM(P173:Q173)</f>
        <v>702</v>
      </c>
      <c r="U173" s="156">
        <f t="shared" ref="U173:U236" si="84">IF(AA173&gt;AB173,0,IF(AC173&lt;AD173,N173,IF((AND((AC173&gt;=AD173),(AC173&lt;=AB173))),(N173-R173),IF((AND((AD173&lt;=AA173),(AB173&gt;=AA173))),0,IF(AC173&gt;AB173,((AD173-AA173)*12)*O173,0)))))</f>
        <v>3802.5000000000532</v>
      </c>
      <c r="V173" s="156">
        <f t="shared" ref="V173:V236" si="85">U173*S173</f>
        <v>3802.5000000000532</v>
      </c>
      <c r="W173" s="156">
        <v>1</v>
      </c>
      <c r="X173" s="156">
        <f t="shared" ref="X173:X236" si="86">V173*W173</f>
        <v>3802.5000000000532</v>
      </c>
      <c r="Y173" s="156">
        <f t="shared" ref="Y173:Y236" si="87">IF(M173&gt;0,0,X173+T173*W173)*W173</f>
        <v>4504.5000000000528</v>
      </c>
      <c r="Z173" s="156">
        <f t="shared" ref="Z173:Z236" si="88">IF(M173&gt;0,(L173-X173)/2,IF(AA173&gt;=AD173,(((L173*S173)*W173)-Y173)/2,((((L173*S173)*W173)-X173)+(((L173*S173)*W173)-Y173))/2))</f>
        <v>2866.4999999999472</v>
      </c>
      <c r="AA173" s="181">
        <f t="shared" ref="AA173:AA198" si="89">$D173+(($E173-1)/12)</f>
        <v>2010.3333333333333</v>
      </c>
      <c r="AB173" s="181">
        <f t="shared" ref="AB173:AB236" si="90">($N$5+1)-($N$2/12)</f>
        <v>2016.75</v>
      </c>
      <c r="AC173" s="156">
        <f t="shared" ref="AC173:AC236" si="91">$I173+(($E173-1)/12)</f>
        <v>2020.3333333333333</v>
      </c>
      <c r="AD173" s="181">
        <f t="shared" ref="AD173:AD236" si="92">$N$4+($N$3/12)</f>
        <v>2015.75</v>
      </c>
      <c r="AE173" s="181">
        <f t="shared" ref="AE173:AE236" si="93">$J173+(($K173-1)/12)</f>
        <v>-8.3333333333333329E-2</v>
      </c>
      <c r="AF173" s="181">
        <f t="shared" ref="AF173:AF198" si="94">$I173+(($E173-1)/12)</f>
        <v>2020.3333333333333</v>
      </c>
      <c r="AG173" s="181">
        <f t="shared" ref="AG173:AG236" si="95">$N$4+($N$3/12)</f>
        <v>2015.75</v>
      </c>
      <c r="AH173" s="181">
        <f t="shared" ref="AH173:AH236" si="96">$J173+(($K173-1)/12)</f>
        <v>-8.3333333333333329E-2</v>
      </c>
      <c r="AI173" s="156"/>
      <c r="AJ173" s="156"/>
      <c r="AK173" s="156"/>
      <c r="AL173" s="156"/>
    </row>
    <row r="174" spans="1:38" x14ac:dyDescent="0.25">
      <c r="A174" s="203" t="s">
        <v>711</v>
      </c>
      <c r="B174" s="156" t="s">
        <v>589</v>
      </c>
      <c r="C174" s="222" t="s">
        <v>712</v>
      </c>
      <c r="D174" s="182">
        <v>2010</v>
      </c>
      <c r="E174" s="161">
        <v>5</v>
      </c>
      <c r="F174" s="183"/>
      <c r="G174" s="166" t="s">
        <v>452</v>
      </c>
      <c r="H174" s="156">
        <v>10</v>
      </c>
      <c r="I174" s="182">
        <f t="shared" si="77"/>
        <v>2020</v>
      </c>
      <c r="J174" s="156"/>
      <c r="K174" s="156"/>
      <c r="L174" s="201">
        <v>5340</v>
      </c>
      <c r="M174" s="156"/>
      <c r="N174" s="156">
        <f t="shared" si="78"/>
        <v>5340</v>
      </c>
      <c r="O174" s="156">
        <f t="shared" si="79"/>
        <v>44.5</v>
      </c>
      <c r="P174" s="156">
        <f t="shared" si="80"/>
        <v>534</v>
      </c>
      <c r="Q174" s="156">
        <f t="shared" si="81"/>
        <v>0</v>
      </c>
      <c r="R174" s="156">
        <f t="shared" si="82"/>
        <v>534</v>
      </c>
      <c r="S174" s="156">
        <v>1</v>
      </c>
      <c r="T174" s="156">
        <f t="shared" si="83"/>
        <v>534</v>
      </c>
      <c r="U174" s="156">
        <f t="shared" si="84"/>
        <v>2892.5000000000405</v>
      </c>
      <c r="V174" s="156">
        <f t="shared" si="85"/>
        <v>2892.5000000000405</v>
      </c>
      <c r="W174" s="156">
        <v>1</v>
      </c>
      <c r="X174" s="156">
        <f t="shared" si="86"/>
        <v>2892.5000000000405</v>
      </c>
      <c r="Y174" s="156">
        <f t="shared" si="87"/>
        <v>3426.5000000000405</v>
      </c>
      <c r="Z174" s="156">
        <f t="shared" si="88"/>
        <v>2180.4999999999595</v>
      </c>
      <c r="AA174" s="181">
        <f t="shared" si="89"/>
        <v>2010.3333333333333</v>
      </c>
      <c r="AB174" s="181">
        <f t="shared" si="90"/>
        <v>2016.75</v>
      </c>
      <c r="AC174" s="156">
        <f t="shared" si="91"/>
        <v>2020.3333333333333</v>
      </c>
      <c r="AD174" s="181">
        <f t="shared" si="92"/>
        <v>2015.75</v>
      </c>
      <c r="AE174" s="181">
        <f t="shared" si="93"/>
        <v>-8.3333333333333329E-2</v>
      </c>
      <c r="AF174" s="181">
        <f t="shared" si="94"/>
        <v>2020.3333333333333</v>
      </c>
      <c r="AG174" s="181">
        <f t="shared" si="95"/>
        <v>2015.75</v>
      </c>
      <c r="AH174" s="181">
        <f t="shared" si="96"/>
        <v>-8.3333333333333329E-2</v>
      </c>
      <c r="AI174" s="156"/>
      <c r="AJ174" s="156"/>
      <c r="AK174" s="156"/>
      <c r="AL174" s="156"/>
    </row>
    <row r="175" spans="1:38" x14ac:dyDescent="0.25">
      <c r="A175" s="163" t="s">
        <v>713</v>
      </c>
      <c r="B175" s="156" t="s">
        <v>589</v>
      </c>
      <c r="C175" s="222" t="s">
        <v>714</v>
      </c>
      <c r="D175" s="182">
        <v>2010</v>
      </c>
      <c r="E175" s="161">
        <v>4</v>
      </c>
      <c r="F175" s="183"/>
      <c r="G175" s="166" t="s">
        <v>452</v>
      </c>
      <c r="H175" s="156">
        <v>10</v>
      </c>
      <c r="I175" s="182">
        <f t="shared" si="77"/>
        <v>2020</v>
      </c>
      <c r="J175" s="156"/>
      <c r="K175" s="156"/>
      <c r="L175" s="227">
        <v>18835.349999999999</v>
      </c>
      <c r="M175" s="221"/>
      <c r="N175" s="221">
        <f t="shared" si="78"/>
        <v>18835.349999999999</v>
      </c>
      <c r="O175" s="221">
        <f t="shared" si="79"/>
        <v>156.96124999999998</v>
      </c>
      <c r="P175" s="221">
        <f t="shared" si="80"/>
        <v>1883.5349999999999</v>
      </c>
      <c r="Q175" s="221">
        <f t="shared" si="81"/>
        <v>0</v>
      </c>
      <c r="R175" s="221">
        <f t="shared" si="82"/>
        <v>1883.5349999999999</v>
      </c>
      <c r="S175" s="221">
        <v>1</v>
      </c>
      <c r="T175" s="221">
        <f t="shared" si="83"/>
        <v>1883.5349999999999</v>
      </c>
      <c r="U175" s="221">
        <f t="shared" si="84"/>
        <v>10359.442499999999</v>
      </c>
      <c r="V175" s="221">
        <f t="shared" si="85"/>
        <v>10359.442499999999</v>
      </c>
      <c r="W175" s="221">
        <v>1</v>
      </c>
      <c r="X175" s="221">
        <f t="shared" si="86"/>
        <v>10359.442499999999</v>
      </c>
      <c r="Y175" s="221">
        <f t="shared" si="87"/>
        <v>12242.977499999999</v>
      </c>
      <c r="Z175" s="221">
        <f t="shared" si="88"/>
        <v>7534.1399999999994</v>
      </c>
      <c r="AA175" s="181">
        <f t="shared" si="89"/>
        <v>2010.25</v>
      </c>
      <c r="AB175" s="181">
        <f t="shared" si="90"/>
        <v>2016.75</v>
      </c>
      <c r="AC175" s="156">
        <f t="shared" si="91"/>
        <v>2020.25</v>
      </c>
      <c r="AD175" s="181">
        <f t="shared" si="92"/>
        <v>2015.75</v>
      </c>
      <c r="AE175" s="181">
        <f t="shared" si="93"/>
        <v>-8.3333333333333329E-2</v>
      </c>
      <c r="AF175" s="181">
        <f t="shared" si="94"/>
        <v>2020.25</v>
      </c>
      <c r="AG175" s="181">
        <f t="shared" si="95"/>
        <v>2015.75</v>
      </c>
      <c r="AH175" s="181">
        <f t="shared" si="96"/>
        <v>-8.3333333333333329E-2</v>
      </c>
      <c r="AI175" s="156"/>
      <c r="AJ175" s="156"/>
      <c r="AK175" s="156"/>
      <c r="AL175" s="156"/>
    </row>
    <row r="176" spans="1:38" x14ac:dyDescent="0.25">
      <c r="A176" s="163" t="s">
        <v>715</v>
      </c>
      <c r="B176" s="156" t="s">
        <v>589</v>
      </c>
      <c r="C176" s="222" t="s">
        <v>716</v>
      </c>
      <c r="D176" s="182">
        <v>2010</v>
      </c>
      <c r="E176" s="161">
        <v>6</v>
      </c>
      <c r="F176" s="183"/>
      <c r="G176" s="166" t="s">
        <v>452</v>
      </c>
      <c r="H176" s="156">
        <v>10</v>
      </c>
      <c r="I176" s="182">
        <f t="shared" si="77"/>
        <v>2020</v>
      </c>
      <c r="J176" s="156"/>
      <c r="K176" s="156"/>
      <c r="L176" s="201">
        <v>16755</v>
      </c>
      <c r="M176" s="156"/>
      <c r="N176" s="156">
        <f t="shared" si="78"/>
        <v>16755</v>
      </c>
      <c r="O176" s="156">
        <f t="shared" si="79"/>
        <v>139.625</v>
      </c>
      <c r="P176" s="156">
        <f t="shared" si="80"/>
        <v>1675.5</v>
      </c>
      <c r="Q176" s="156">
        <f t="shared" si="81"/>
        <v>0</v>
      </c>
      <c r="R176" s="156">
        <f t="shared" si="82"/>
        <v>1675.5</v>
      </c>
      <c r="S176" s="156">
        <v>1</v>
      </c>
      <c r="T176" s="156">
        <f t="shared" si="83"/>
        <v>1675.5</v>
      </c>
      <c r="U176" s="156">
        <f t="shared" si="84"/>
        <v>8935.9999999998727</v>
      </c>
      <c r="V176" s="156">
        <f t="shared" si="85"/>
        <v>8935.9999999998727</v>
      </c>
      <c r="W176" s="156">
        <v>1</v>
      </c>
      <c r="X176" s="156">
        <f t="shared" si="86"/>
        <v>8935.9999999998727</v>
      </c>
      <c r="Y176" s="156">
        <f t="shared" si="87"/>
        <v>10611.499999999873</v>
      </c>
      <c r="Z176" s="156">
        <f t="shared" si="88"/>
        <v>6981.2500000001273</v>
      </c>
      <c r="AA176" s="181">
        <f t="shared" si="89"/>
        <v>2010.4166666666667</v>
      </c>
      <c r="AB176" s="181">
        <f t="shared" si="90"/>
        <v>2016.75</v>
      </c>
      <c r="AC176" s="156">
        <f t="shared" si="91"/>
        <v>2020.4166666666667</v>
      </c>
      <c r="AD176" s="181">
        <f t="shared" si="92"/>
        <v>2015.75</v>
      </c>
      <c r="AE176" s="181">
        <f t="shared" si="93"/>
        <v>-8.3333333333333329E-2</v>
      </c>
      <c r="AF176" s="181">
        <f t="shared" si="94"/>
        <v>2020.4166666666667</v>
      </c>
      <c r="AG176" s="181">
        <f t="shared" si="95"/>
        <v>2015.75</v>
      </c>
      <c r="AH176" s="181">
        <f t="shared" si="96"/>
        <v>-8.3333333333333329E-2</v>
      </c>
      <c r="AI176" s="156"/>
      <c r="AJ176" s="156"/>
      <c r="AK176" s="156"/>
      <c r="AL176" s="156"/>
    </row>
    <row r="177" spans="1:38" x14ac:dyDescent="0.25">
      <c r="A177" s="163" t="s">
        <v>717</v>
      </c>
      <c r="B177" s="156" t="s">
        <v>589</v>
      </c>
      <c r="C177" s="222" t="s">
        <v>718</v>
      </c>
      <c r="D177" s="182">
        <v>2010</v>
      </c>
      <c r="E177" s="161">
        <v>6</v>
      </c>
      <c r="F177" s="183"/>
      <c r="G177" s="166" t="s">
        <v>452</v>
      </c>
      <c r="H177" s="156">
        <v>10</v>
      </c>
      <c r="I177" s="182">
        <f t="shared" si="77"/>
        <v>2020</v>
      </c>
      <c r="J177" s="156"/>
      <c r="K177" s="156"/>
      <c r="L177" s="201">
        <v>11008</v>
      </c>
      <c r="M177" s="156"/>
      <c r="N177" s="156">
        <f t="shared" si="78"/>
        <v>11008</v>
      </c>
      <c r="O177" s="156">
        <f t="shared" si="79"/>
        <v>91.733333333333334</v>
      </c>
      <c r="P177" s="156">
        <f t="shared" si="80"/>
        <v>1100.8</v>
      </c>
      <c r="Q177" s="156">
        <f t="shared" si="81"/>
        <v>0</v>
      </c>
      <c r="R177" s="156">
        <f t="shared" si="82"/>
        <v>1100.8</v>
      </c>
      <c r="S177" s="156">
        <v>1</v>
      </c>
      <c r="T177" s="156">
        <f t="shared" si="83"/>
        <v>1100.8</v>
      </c>
      <c r="U177" s="156">
        <f t="shared" si="84"/>
        <v>5870.9333333332497</v>
      </c>
      <c r="V177" s="156">
        <f t="shared" si="85"/>
        <v>5870.9333333332497</v>
      </c>
      <c r="W177" s="156">
        <v>1</v>
      </c>
      <c r="X177" s="156">
        <f t="shared" si="86"/>
        <v>5870.9333333332497</v>
      </c>
      <c r="Y177" s="156">
        <f t="shared" si="87"/>
        <v>6971.7333333332499</v>
      </c>
      <c r="Z177" s="156">
        <f t="shared" si="88"/>
        <v>4586.6666666667497</v>
      </c>
      <c r="AA177" s="181">
        <f t="shared" si="89"/>
        <v>2010.4166666666667</v>
      </c>
      <c r="AB177" s="181">
        <f t="shared" si="90"/>
        <v>2016.75</v>
      </c>
      <c r="AC177" s="156">
        <f t="shared" si="91"/>
        <v>2020.4166666666667</v>
      </c>
      <c r="AD177" s="181">
        <f t="shared" si="92"/>
        <v>2015.75</v>
      </c>
      <c r="AE177" s="181">
        <f t="shared" si="93"/>
        <v>-8.3333333333333329E-2</v>
      </c>
      <c r="AF177" s="181">
        <f t="shared" si="94"/>
        <v>2020.4166666666667</v>
      </c>
      <c r="AG177" s="181">
        <f t="shared" si="95"/>
        <v>2015.75</v>
      </c>
      <c r="AH177" s="181">
        <f t="shared" si="96"/>
        <v>-8.3333333333333329E-2</v>
      </c>
      <c r="AI177" s="156"/>
      <c r="AJ177" s="156"/>
      <c r="AK177" s="156"/>
      <c r="AL177" s="156"/>
    </row>
    <row r="178" spans="1:38" x14ac:dyDescent="0.25">
      <c r="A178" s="163" t="s">
        <v>719</v>
      </c>
      <c r="B178" s="156" t="s">
        <v>589</v>
      </c>
      <c r="C178" s="222" t="s">
        <v>720</v>
      </c>
      <c r="D178" s="182">
        <v>2010</v>
      </c>
      <c r="E178" s="161">
        <v>6</v>
      </c>
      <c r="F178" s="183"/>
      <c r="G178" s="166" t="s">
        <v>452</v>
      </c>
      <c r="H178" s="156">
        <v>10</v>
      </c>
      <c r="I178" s="182">
        <f t="shared" si="77"/>
        <v>2020</v>
      </c>
      <c r="J178" s="156"/>
      <c r="K178" s="156"/>
      <c r="L178" s="201">
        <v>4680</v>
      </c>
      <c r="M178" s="156"/>
      <c r="N178" s="156">
        <f t="shared" si="78"/>
        <v>4680</v>
      </c>
      <c r="O178" s="156">
        <f t="shared" si="79"/>
        <v>39</v>
      </c>
      <c r="P178" s="156">
        <f t="shared" si="80"/>
        <v>468</v>
      </c>
      <c r="Q178" s="156">
        <f t="shared" si="81"/>
        <v>0</v>
      </c>
      <c r="R178" s="156">
        <f t="shared" si="82"/>
        <v>468</v>
      </c>
      <c r="S178" s="156">
        <v>1</v>
      </c>
      <c r="T178" s="156">
        <f t="shared" si="83"/>
        <v>468</v>
      </c>
      <c r="U178" s="156">
        <f t="shared" si="84"/>
        <v>2495.9999999999645</v>
      </c>
      <c r="V178" s="156">
        <f t="shared" si="85"/>
        <v>2495.9999999999645</v>
      </c>
      <c r="W178" s="156">
        <v>1</v>
      </c>
      <c r="X178" s="156">
        <f t="shared" si="86"/>
        <v>2495.9999999999645</v>
      </c>
      <c r="Y178" s="156">
        <f t="shared" si="87"/>
        <v>2963.9999999999645</v>
      </c>
      <c r="Z178" s="156">
        <f t="shared" si="88"/>
        <v>1950.0000000000355</v>
      </c>
      <c r="AA178" s="181">
        <f t="shared" si="89"/>
        <v>2010.4166666666667</v>
      </c>
      <c r="AB178" s="181">
        <f t="shared" si="90"/>
        <v>2016.75</v>
      </c>
      <c r="AC178" s="156">
        <f t="shared" si="91"/>
        <v>2020.4166666666667</v>
      </c>
      <c r="AD178" s="181">
        <f t="shared" si="92"/>
        <v>2015.75</v>
      </c>
      <c r="AE178" s="181">
        <f t="shared" si="93"/>
        <v>-8.3333333333333329E-2</v>
      </c>
      <c r="AF178" s="181">
        <f t="shared" si="94"/>
        <v>2020.4166666666667</v>
      </c>
      <c r="AG178" s="181">
        <f t="shared" si="95"/>
        <v>2015.75</v>
      </c>
      <c r="AH178" s="181">
        <f t="shared" si="96"/>
        <v>-8.3333333333333329E-2</v>
      </c>
      <c r="AI178" s="156"/>
      <c r="AJ178" s="156"/>
      <c r="AK178" s="156"/>
      <c r="AL178" s="156"/>
    </row>
    <row r="179" spans="1:38" x14ac:dyDescent="0.25">
      <c r="A179" s="163" t="s">
        <v>721</v>
      </c>
      <c r="B179" s="156" t="s">
        <v>589</v>
      </c>
      <c r="C179" s="222" t="s">
        <v>722</v>
      </c>
      <c r="D179" s="182">
        <v>2010</v>
      </c>
      <c r="E179" s="161">
        <v>9</v>
      </c>
      <c r="F179" s="183"/>
      <c r="G179" s="166" t="s">
        <v>452</v>
      </c>
      <c r="H179" s="156">
        <v>10</v>
      </c>
      <c r="I179" s="182">
        <f t="shared" si="77"/>
        <v>2020</v>
      </c>
      <c r="J179" s="156"/>
      <c r="K179" s="156"/>
      <c r="L179" s="227">
        <v>20043</v>
      </c>
      <c r="M179" s="156"/>
      <c r="N179" s="156">
        <f t="shared" si="78"/>
        <v>20043</v>
      </c>
      <c r="O179" s="156">
        <f t="shared" si="79"/>
        <v>167.02500000000001</v>
      </c>
      <c r="P179" s="156">
        <f t="shared" si="80"/>
        <v>2004.3000000000002</v>
      </c>
      <c r="Q179" s="156">
        <f t="shared" si="81"/>
        <v>0</v>
      </c>
      <c r="R179" s="156">
        <f t="shared" si="82"/>
        <v>2004.3000000000002</v>
      </c>
      <c r="S179" s="156">
        <v>1</v>
      </c>
      <c r="T179" s="156">
        <f t="shared" si="83"/>
        <v>2004.3000000000002</v>
      </c>
      <c r="U179" s="156">
        <f t="shared" si="84"/>
        <v>10188.524999999849</v>
      </c>
      <c r="V179" s="156">
        <f t="shared" si="85"/>
        <v>10188.524999999849</v>
      </c>
      <c r="W179" s="156">
        <v>1</v>
      </c>
      <c r="X179" s="156">
        <f t="shared" si="86"/>
        <v>10188.524999999849</v>
      </c>
      <c r="Y179" s="156">
        <f t="shared" si="87"/>
        <v>12192.824999999848</v>
      </c>
      <c r="Z179" s="156">
        <f t="shared" si="88"/>
        <v>8852.3250000001517</v>
      </c>
      <c r="AA179" s="181">
        <f t="shared" si="89"/>
        <v>2010.6666666666667</v>
      </c>
      <c r="AB179" s="181">
        <f t="shared" si="90"/>
        <v>2016.75</v>
      </c>
      <c r="AC179" s="156">
        <f t="shared" si="91"/>
        <v>2020.6666666666667</v>
      </c>
      <c r="AD179" s="181">
        <f t="shared" si="92"/>
        <v>2015.75</v>
      </c>
      <c r="AE179" s="181">
        <f t="shared" si="93"/>
        <v>-8.3333333333333329E-2</v>
      </c>
      <c r="AF179" s="181">
        <f t="shared" si="94"/>
        <v>2020.6666666666667</v>
      </c>
      <c r="AG179" s="181">
        <f t="shared" si="95"/>
        <v>2015.75</v>
      </c>
      <c r="AH179" s="181">
        <f t="shared" si="96"/>
        <v>-8.3333333333333329E-2</v>
      </c>
      <c r="AI179" s="156"/>
      <c r="AJ179" s="156"/>
      <c r="AK179" s="156"/>
      <c r="AL179" s="156"/>
    </row>
    <row r="180" spans="1:38" x14ac:dyDescent="0.25">
      <c r="A180" s="203" t="s">
        <v>723</v>
      </c>
      <c r="B180" s="156" t="s">
        <v>589</v>
      </c>
      <c r="C180" s="228" t="s">
        <v>724</v>
      </c>
      <c r="D180" s="182">
        <v>2011</v>
      </c>
      <c r="E180" s="161">
        <v>5</v>
      </c>
      <c r="F180" s="183"/>
      <c r="G180" s="166" t="s">
        <v>452</v>
      </c>
      <c r="H180" s="156">
        <v>10</v>
      </c>
      <c r="I180" s="182">
        <f t="shared" si="77"/>
        <v>2021</v>
      </c>
      <c r="J180" s="156"/>
      <c r="K180" s="156"/>
      <c r="L180" s="227">
        <f>1185.89+5929.43</f>
        <v>7115.3200000000006</v>
      </c>
      <c r="M180" s="156"/>
      <c r="N180" s="156">
        <f t="shared" si="78"/>
        <v>7115.3200000000006</v>
      </c>
      <c r="O180" s="156">
        <f t="shared" si="79"/>
        <v>59.294333333333334</v>
      </c>
      <c r="P180" s="156">
        <f t="shared" si="80"/>
        <v>711.53200000000004</v>
      </c>
      <c r="Q180" s="156">
        <f t="shared" si="81"/>
        <v>0</v>
      </c>
      <c r="R180" s="156">
        <f t="shared" si="82"/>
        <v>711.53200000000004</v>
      </c>
      <c r="S180" s="156">
        <v>1</v>
      </c>
      <c r="T180" s="156">
        <f t="shared" si="83"/>
        <v>711.53200000000004</v>
      </c>
      <c r="U180" s="156">
        <f t="shared" si="84"/>
        <v>3142.5996666667206</v>
      </c>
      <c r="V180" s="156">
        <f t="shared" si="85"/>
        <v>3142.5996666667206</v>
      </c>
      <c r="W180" s="156">
        <v>1</v>
      </c>
      <c r="X180" s="156">
        <f t="shared" si="86"/>
        <v>3142.5996666667206</v>
      </c>
      <c r="Y180" s="156">
        <f t="shared" si="87"/>
        <v>3854.1316666667208</v>
      </c>
      <c r="Z180" s="156">
        <f t="shared" si="88"/>
        <v>3616.9543333332799</v>
      </c>
      <c r="AA180" s="181">
        <f t="shared" si="89"/>
        <v>2011.3333333333333</v>
      </c>
      <c r="AB180" s="181">
        <f t="shared" si="90"/>
        <v>2016.75</v>
      </c>
      <c r="AC180" s="156">
        <f t="shared" si="91"/>
        <v>2021.3333333333333</v>
      </c>
      <c r="AD180" s="181">
        <f t="shared" si="92"/>
        <v>2015.75</v>
      </c>
      <c r="AE180" s="181">
        <f t="shared" si="93"/>
        <v>-8.3333333333333329E-2</v>
      </c>
      <c r="AF180" s="181">
        <f t="shared" si="94"/>
        <v>2021.3333333333333</v>
      </c>
      <c r="AG180" s="181">
        <f t="shared" si="95"/>
        <v>2015.75</v>
      </c>
      <c r="AH180" s="181">
        <f t="shared" si="96"/>
        <v>-8.3333333333333329E-2</v>
      </c>
      <c r="AI180" s="156"/>
      <c r="AJ180" s="156"/>
      <c r="AK180" s="156"/>
      <c r="AL180" s="156"/>
    </row>
    <row r="181" spans="1:38" x14ac:dyDescent="0.25">
      <c r="A181" s="203" t="s">
        <v>725</v>
      </c>
      <c r="B181" s="156" t="s">
        <v>589</v>
      </c>
      <c r="C181" s="222" t="s">
        <v>726</v>
      </c>
      <c r="D181" s="182">
        <v>2011</v>
      </c>
      <c r="E181" s="161">
        <v>5</v>
      </c>
      <c r="F181" s="183"/>
      <c r="G181" s="166" t="s">
        <v>452</v>
      </c>
      <c r="H181" s="156">
        <v>10</v>
      </c>
      <c r="I181" s="182">
        <f t="shared" si="77"/>
        <v>2021</v>
      </c>
      <c r="J181" s="156"/>
      <c r="K181" s="156"/>
      <c r="L181" s="227">
        <v>9617.0400000000009</v>
      </c>
      <c r="M181" s="156"/>
      <c r="N181" s="156">
        <f t="shared" si="78"/>
        <v>9617.0400000000009</v>
      </c>
      <c r="O181" s="156">
        <f t="shared" si="79"/>
        <v>80.14200000000001</v>
      </c>
      <c r="P181" s="156">
        <f t="shared" si="80"/>
        <v>961.70400000000018</v>
      </c>
      <c r="Q181" s="156">
        <f t="shared" si="81"/>
        <v>0</v>
      </c>
      <c r="R181" s="156">
        <f t="shared" si="82"/>
        <v>961.70400000000018</v>
      </c>
      <c r="S181" s="156">
        <v>1</v>
      </c>
      <c r="T181" s="156">
        <f t="shared" si="83"/>
        <v>961.70400000000018</v>
      </c>
      <c r="U181" s="156">
        <f t="shared" si="84"/>
        <v>4247.5260000000735</v>
      </c>
      <c r="V181" s="156">
        <f t="shared" si="85"/>
        <v>4247.5260000000735</v>
      </c>
      <c r="W181" s="156">
        <v>1</v>
      </c>
      <c r="X181" s="156">
        <f t="shared" si="86"/>
        <v>4247.5260000000735</v>
      </c>
      <c r="Y181" s="156">
        <f t="shared" si="87"/>
        <v>5209.2300000000741</v>
      </c>
      <c r="Z181" s="156">
        <f t="shared" si="88"/>
        <v>4888.6619999999275</v>
      </c>
      <c r="AA181" s="181">
        <f t="shared" si="89"/>
        <v>2011.3333333333333</v>
      </c>
      <c r="AB181" s="181">
        <f t="shared" si="90"/>
        <v>2016.75</v>
      </c>
      <c r="AC181" s="156">
        <f t="shared" si="91"/>
        <v>2021.3333333333333</v>
      </c>
      <c r="AD181" s="181">
        <f t="shared" si="92"/>
        <v>2015.75</v>
      </c>
      <c r="AE181" s="181">
        <f t="shared" si="93"/>
        <v>-8.3333333333333329E-2</v>
      </c>
      <c r="AF181" s="181">
        <f t="shared" si="94"/>
        <v>2021.3333333333333</v>
      </c>
      <c r="AG181" s="181">
        <f t="shared" si="95"/>
        <v>2015.75</v>
      </c>
      <c r="AH181" s="181">
        <f t="shared" si="96"/>
        <v>-8.3333333333333329E-2</v>
      </c>
      <c r="AI181" s="156"/>
      <c r="AJ181" s="156"/>
      <c r="AK181" s="156"/>
      <c r="AL181" s="156"/>
    </row>
    <row r="182" spans="1:38" x14ac:dyDescent="0.25">
      <c r="A182" s="203" t="s">
        <v>727</v>
      </c>
      <c r="B182" s="156" t="s">
        <v>589</v>
      </c>
      <c r="C182" s="222" t="s">
        <v>728</v>
      </c>
      <c r="D182" s="182">
        <v>2011</v>
      </c>
      <c r="E182" s="161">
        <v>5</v>
      </c>
      <c r="F182" s="183"/>
      <c r="G182" s="166" t="s">
        <v>452</v>
      </c>
      <c r="H182" s="156">
        <v>10</v>
      </c>
      <c r="I182" s="182">
        <f t="shared" si="77"/>
        <v>2021</v>
      </c>
      <c r="J182" s="156"/>
      <c r="K182" s="156"/>
      <c r="L182" s="227">
        <v>8707.32</v>
      </c>
      <c r="M182" s="156"/>
      <c r="N182" s="156">
        <f t="shared" si="78"/>
        <v>8707.32</v>
      </c>
      <c r="O182" s="156">
        <f t="shared" si="79"/>
        <v>72.560999999999993</v>
      </c>
      <c r="P182" s="156">
        <f t="shared" si="80"/>
        <v>870.73199999999997</v>
      </c>
      <c r="Q182" s="156">
        <f t="shared" si="81"/>
        <v>0</v>
      </c>
      <c r="R182" s="156">
        <f t="shared" si="82"/>
        <v>870.73199999999997</v>
      </c>
      <c r="S182" s="156">
        <v>1</v>
      </c>
      <c r="T182" s="156">
        <f t="shared" si="83"/>
        <v>870.73199999999997</v>
      </c>
      <c r="U182" s="156">
        <f t="shared" si="84"/>
        <v>3845.7330000000657</v>
      </c>
      <c r="V182" s="156">
        <f t="shared" si="85"/>
        <v>3845.7330000000657</v>
      </c>
      <c r="W182" s="156">
        <v>1</v>
      </c>
      <c r="X182" s="156">
        <f t="shared" si="86"/>
        <v>3845.7330000000657</v>
      </c>
      <c r="Y182" s="156">
        <f t="shared" si="87"/>
        <v>4716.4650000000656</v>
      </c>
      <c r="Z182" s="156">
        <f t="shared" si="88"/>
        <v>4426.2209999999341</v>
      </c>
      <c r="AA182" s="181">
        <f t="shared" si="89"/>
        <v>2011.3333333333333</v>
      </c>
      <c r="AB182" s="181">
        <f t="shared" si="90"/>
        <v>2016.75</v>
      </c>
      <c r="AC182" s="156">
        <f t="shared" si="91"/>
        <v>2021.3333333333333</v>
      </c>
      <c r="AD182" s="181">
        <f t="shared" si="92"/>
        <v>2015.75</v>
      </c>
      <c r="AE182" s="181">
        <f t="shared" si="93"/>
        <v>-8.3333333333333329E-2</v>
      </c>
      <c r="AF182" s="181">
        <f t="shared" si="94"/>
        <v>2021.3333333333333</v>
      </c>
      <c r="AG182" s="181">
        <f t="shared" si="95"/>
        <v>2015.75</v>
      </c>
      <c r="AH182" s="181">
        <f t="shared" si="96"/>
        <v>-8.3333333333333329E-2</v>
      </c>
      <c r="AI182" s="156"/>
      <c r="AJ182" s="156"/>
      <c r="AK182" s="156"/>
      <c r="AL182" s="156"/>
    </row>
    <row r="183" spans="1:38" x14ac:dyDescent="0.25">
      <c r="A183" s="163" t="s">
        <v>729</v>
      </c>
      <c r="B183" s="156" t="s">
        <v>589</v>
      </c>
      <c r="C183" s="222" t="s">
        <v>730</v>
      </c>
      <c r="D183" s="182">
        <v>2011</v>
      </c>
      <c r="E183" s="161">
        <v>6</v>
      </c>
      <c r="F183" s="183"/>
      <c r="G183" s="166" t="s">
        <v>452</v>
      </c>
      <c r="H183" s="156">
        <v>10</v>
      </c>
      <c r="I183" s="182">
        <f t="shared" si="77"/>
        <v>2021</v>
      </c>
      <c r="J183" s="156"/>
      <c r="K183" s="156"/>
      <c r="L183" s="227">
        <v>6118.95</v>
      </c>
      <c r="M183" s="156"/>
      <c r="N183" s="156">
        <f t="shared" si="78"/>
        <v>6118.95</v>
      </c>
      <c r="O183" s="156">
        <f t="shared" si="79"/>
        <v>50.991250000000001</v>
      </c>
      <c r="P183" s="156">
        <f t="shared" si="80"/>
        <v>611.89499999999998</v>
      </c>
      <c r="Q183" s="156">
        <f t="shared" si="81"/>
        <v>0</v>
      </c>
      <c r="R183" s="156">
        <f t="shared" si="82"/>
        <v>611.89499999999998</v>
      </c>
      <c r="S183" s="156">
        <v>1</v>
      </c>
      <c r="T183" s="156">
        <f t="shared" si="83"/>
        <v>611.89499999999998</v>
      </c>
      <c r="U183" s="156">
        <f t="shared" si="84"/>
        <v>2651.5449999999537</v>
      </c>
      <c r="V183" s="156">
        <f t="shared" si="85"/>
        <v>2651.5449999999537</v>
      </c>
      <c r="W183" s="156">
        <v>1</v>
      </c>
      <c r="X183" s="156">
        <f t="shared" si="86"/>
        <v>2651.5449999999537</v>
      </c>
      <c r="Y183" s="156">
        <f t="shared" si="87"/>
        <v>3263.4399999999537</v>
      </c>
      <c r="Z183" s="156">
        <f t="shared" si="88"/>
        <v>3161.4575000000459</v>
      </c>
      <c r="AA183" s="181">
        <f t="shared" si="89"/>
        <v>2011.4166666666667</v>
      </c>
      <c r="AB183" s="181">
        <f t="shared" si="90"/>
        <v>2016.75</v>
      </c>
      <c r="AC183" s="156">
        <f t="shared" si="91"/>
        <v>2021.4166666666667</v>
      </c>
      <c r="AD183" s="181">
        <f t="shared" si="92"/>
        <v>2015.75</v>
      </c>
      <c r="AE183" s="181">
        <f t="shared" si="93"/>
        <v>-8.3333333333333329E-2</v>
      </c>
      <c r="AF183" s="181">
        <f t="shared" si="94"/>
        <v>2021.4166666666667</v>
      </c>
      <c r="AG183" s="181">
        <f t="shared" si="95"/>
        <v>2015.75</v>
      </c>
      <c r="AH183" s="181">
        <f t="shared" si="96"/>
        <v>-8.3333333333333329E-2</v>
      </c>
      <c r="AI183" s="156"/>
      <c r="AJ183" s="156"/>
      <c r="AK183" s="156"/>
      <c r="AL183" s="156"/>
    </row>
    <row r="184" spans="1:38" x14ac:dyDescent="0.25">
      <c r="A184" s="163" t="s">
        <v>731</v>
      </c>
      <c r="B184" s="156" t="s">
        <v>589</v>
      </c>
      <c r="C184" s="222" t="s">
        <v>732</v>
      </c>
      <c r="D184" s="182">
        <v>2011</v>
      </c>
      <c r="E184" s="161">
        <v>6</v>
      </c>
      <c r="F184" s="183"/>
      <c r="G184" s="166" t="s">
        <v>452</v>
      </c>
      <c r="H184" s="156">
        <v>10</v>
      </c>
      <c r="I184" s="182">
        <f t="shared" si="77"/>
        <v>2021</v>
      </c>
      <c r="J184" s="156"/>
      <c r="K184" s="156"/>
      <c r="L184" s="227">
        <f>1554.11+12514.07+1028.85</f>
        <v>15097.03</v>
      </c>
      <c r="M184" s="156"/>
      <c r="N184" s="156">
        <f t="shared" si="78"/>
        <v>15097.03</v>
      </c>
      <c r="O184" s="156">
        <f t="shared" si="79"/>
        <v>125.80858333333333</v>
      </c>
      <c r="P184" s="156">
        <f t="shared" si="80"/>
        <v>1509.703</v>
      </c>
      <c r="Q184" s="156">
        <f t="shared" si="81"/>
        <v>0</v>
      </c>
      <c r="R184" s="156">
        <f t="shared" si="82"/>
        <v>1509.703</v>
      </c>
      <c r="S184" s="156">
        <v>1</v>
      </c>
      <c r="T184" s="156">
        <f t="shared" si="83"/>
        <v>1509.703</v>
      </c>
      <c r="U184" s="156">
        <f t="shared" si="84"/>
        <v>6542.0463333332191</v>
      </c>
      <c r="V184" s="156">
        <f t="shared" si="85"/>
        <v>6542.0463333332191</v>
      </c>
      <c r="W184" s="156">
        <v>1</v>
      </c>
      <c r="X184" s="156">
        <f t="shared" si="86"/>
        <v>6542.0463333332191</v>
      </c>
      <c r="Y184" s="156">
        <f t="shared" si="87"/>
        <v>8051.7493333332186</v>
      </c>
      <c r="Z184" s="156">
        <f t="shared" si="88"/>
        <v>7800.1321666667818</v>
      </c>
      <c r="AA184" s="181">
        <f t="shared" si="89"/>
        <v>2011.4166666666667</v>
      </c>
      <c r="AB184" s="181">
        <f t="shared" si="90"/>
        <v>2016.75</v>
      </c>
      <c r="AC184" s="156">
        <f t="shared" si="91"/>
        <v>2021.4166666666667</v>
      </c>
      <c r="AD184" s="181">
        <f t="shared" si="92"/>
        <v>2015.75</v>
      </c>
      <c r="AE184" s="181">
        <f t="shared" si="93"/>
        <v>-8.3333333333333329E-2</v>
      </c>
      <c r="AF184" s="181">
        <f t="shared" si="94"/>
        <v>2021.4166666666667</v>
      </c>
      <c r="AG184" s="181">
        <f t="shared" si="95"/>
        <v>2015.75</v>
      </c>
      <c r="AH184" s="181">
        <f t="shared" si="96"/>
        <v>-8.3333333333333329E-2</v>
      </c>
      <c r="AI184" s="156"/>
      <c r="AJ184" s="156"/>
      <c r="AK184" s="156"/>
      <c r="AL184" s="156"/>
    </row>
    <row r="185" spans="1:38" x14ac:dyDescent="0.25">
      <c r="A185" s="203" t="s">
        <v>733</v>
      </c>
      <c r="B185" s="156" t="s">
        <v>589</v>
      </c>
      <c r="C185" s="222" t="s">
        <v>734</v>
      </c>
      <c r="D185" s="182">
        <v>2011</v>
      </c>
      <c r="E185" s="161">
        <v>6</v>
      </c>
      <c r="F185" s="183"/>
      <c r="G185" s="166" t="s">
        <v>452</v>
      </c>
      <c r="H185" s="156">
        <v>10</v>
      </c>
      <c r="I185" s="182">
        <f t="shared" si="77"/>
        <v>2021</v>
      </c>
      <c r="J185" s="156"/>
      <c r="K185" s="156"/>
      <c r="L185" s="227">
        <v>11252.67</v>
      </c>
      <c r="M185" s="156"/>
      <c r="N185" s="156">
        <f t="shared" si="78"/>
        <v>11252.67</v>
      </c>
      <c r="O185" s="156">
        <f t="shared" si="79"/>
        <v>93.77225</v>
      </c>
      <c r="P185" s="156">
        <f t="shared" si="80"/>
        <v>1125.2670000000001</v>
      </c>
      <c r="Q185" s="156">
        <f t="shared" si="81"/>
        <v>0</v>
      </c>
      <c r="R185" s="156">
        <f t="shared" si="82"/>
        <v>1125.2670000000001</v>
      </c>
      <c r="S185" s="156">
        <v>1</v>
      </c>
      <c r="T185" s="156">
        <f t="shared" si="83"/>
        <v>1125.2670000000001</v>
      </c>
      <c r="U185" s="156">
        <f t="shared" si="84"/>
        <v>4876.1569999999147</v>
      </c>
      <c r="V185" s="156">
        <f t="shared" si="85"/>
        <v>4876.1569999999147</v>
      </c>
      <c r="W185" s="156">
        <v>1</v>
      </c>
      <c r="X185" s="156">
        <f t="shared" si="86"/>
        <v>4876.1569999999147</v>
      </c>
      <c r="Y185" s="156">
        <f t="shared" si="87"/>
        <v>6001.4239999999145</v>
      </c>
      <c r="Z185" s="156">
        <f t="shared" si="88"/>
        <v>5813.8795000000855</v>
      </c>
      <c r="AA185" s="181">
        <f t="shared" si="89"/>
        <v>2011.4166666666667</v>
      </c>
      <c r="AB185" s="181">
        <f t="shared" si="90"/>
        <v>2016.75</v>
      </c>
      <c r="AC185" s="156">
        <f t="shared" si="91"/>
        <v>2021.4166666666667</v>
      </c>
      <c r="AD185" s="181">
        <f t="shared" si="92"/>
        <v>2015.75</v>
      </c>
      <c r="AE185" s="181">
        <f t="shared" si="93"/>
        <v>-8.3333333333333329E-2</v>
      </c>
      <c r="AF185" s="181">
        <f t="shared" si="94"/>
        <v>2021.4166666666667</v>
      </c>
      <c r="AG185" s="181">
        <f t="shared" si="95"/>
        <v>2015.75</v>
      </c>
      <c r="AH185" s="181">
        <f t="shared" si="96"/>
        <v>-8.3333333333333329E-2</v>
      </c>
      <c r="AI185" s="156"/>
      <c r="AJ185" s="156"/>
      <c r="AK185" s="156"/>
      <c r="AL185" s="156"/>
    </row>
    <row r="186" spans="1:38" x14ac:dyDescent="0.25">
      <c r="A186" s="163" t="s">
        <v>735</v>
      </c>
      <c r="B186" s="156" t="s">
        <v>589</v>
      </c>
      <c r="C186" s="222" t="s">
        <v>736</v>
      </c>
      <c r="D186" s="182">
        <v>2011</v>
      </c>
      <c r="E186" s="161">
        <v>6</v>
      </c>
      <c r="F186" s="183"/>
      <c r="G186" s="166" t="s">
        <v>452</v>
      </c>
      <c r="H186" s="156">
        <v>10</v>
      </c>
      <c r="I186" s="182">
        <f t="shared" si="77"/>
        <v>2021</v>
      </c>
      <c r="J186" s="156"/>
      <c r="K186" s="156"/>
      <c r="L186" s="227">
        <v>28201.32</v>
      </c>
      <c r="M186" s="156"/>
      <c r="N186" s="156">
        <f t="shared" si="78"/>
        <v>28201.32</v>
      </c>
      <c r="O186" s="156">
        <f t="shared" si="79"/>
        <v>235.011</v>
      </c>
      <c r="P186" s="156">
        <f t="shared" si="80"/>
        <v>2820.1320000000001</v>
      </c>
      <c r="Q186" s="156">
        <f t="shared" si="81"/>
        <v>0</v>
      </c>
      <c r="R186" s="156">
        <f t="shared" si="82"/>
        <v>2820.1320000000001</v>
      </c>
      <c r="S186" s="156">
        <v>1</v>
      </c>
      <c r="T186" s="156">
        <f t="shared" si="83"/>
        <v>2820.1320000000001</v>
      </c>
      <c r="U186" s="156">
        <f t="shared" si="84"/>
        <v>12220.571999999785</v>
      </c>
      <c r="V186" s="156">
        <f t="shared" si="85"/>
        <v>12220.571999999785</v>
      </c>
      <c r="W186" s="156">
        <v>1</v>
      </c>
      <c r="X186" s="156">
        <f t="shared" si="86"/>
        <v>12220.571999999785</v>
      </c>
      <c r="Y186" s="156">
        <f t="shared" si="87"/>
        <v>15040.703999999785</v>
      </c>
      <c r="Z186" s="156">
        <f t="shared" si="88"/>
        <v>14570.682000000215</v>
      </c>
      <c r="AA186" s="181">
        <f t="shared" si="89"/>
        <v>2011.4166666666667</v>
      </c>
      <c r="AB186" s="181">
        <f t="shared" si="90"/>
        <v>2016.75</v>
      </c>
      <c r="AC186" s="156">
        <f t="shared" si="91"/>
        <v>2021.4166666666667</v>
      </c>
      <c r="AD186" s="181">
        <f t="shared" si="92"/>
        <v>2015.75</v>
      </c>
      <c r="AE186" s="181">
        <f t="shared" si="93"/>
        <v>-8.3333333333333329E-2</v>
      </c>
      <c r="AF186" s="181">
        <f t="shared" si="94"/>
        <v>2021.4166666666667</v>
      </c>
      <c r="AG186" s="181">
        <f t="shared" si="95"/>
        <v>2015.75</v>
      </c>
      <c r="AH186" s="181">
        <f t="shared" si="96"/>
        <v>-8.3333333333333329E-2</v>
      </c>
      <c r="AI186" s="156"/>
      <c r="AJ186" s="156"/>
      <c r="AK186" s="156"/>
      <c r="AL186" s="156"/>
    </row>
    <row r="187" spans="1:38" x14ac:dyDescent="0.25">
      <c r="A187" s="163" t="s">
        <v>737</v>
      </c>
      <c r="B187" s="156" t="s">
        <v>589</v>
      </c>
      <c r="C187" s="222" t="s">
        <v>738</v>
      </c>
      <c r="D187" s="182">
        <v>2011</v>
      </c>
      <c r="E187" s="161">
        <v>7</v>
      </c>
      <c r="F187" s="183"/>
      <c r="G187" s="166" t="s">
        <v>452</v>
      </c>
      <c r="H187" s="156">
        <v>10</v>
      </c>
      <c r="I187" s="182">
        <f t="shared" si="77"/>
        <v>2021</v>
      </c>
      <c r="J187" s="156"/>
      <c r="K187" s="156"/>
      <c r="L187" s="227">
        <v>29629</v>
      </c>
      <c r="M187" s="156"/>
      <c r="N187" s="156">
        <f t="shared" si="78"/>
        <v>29629</v>
      </c>
      <c r="O187" s="156">
        <f t="shared" si="79"/>
        <v>246.90833333333333</v>
      </c>
      <c r="P187" s="156">
        <f t="shared" si="80"/>
        <v>2962.9</v>
      </c>
      <c r="Q187" s="156">
        <f t="shared" si="81"/>
        <v>0</v>
      </c>
      <c r="R187" s="156">
        <f t="shared" si="82"/>
        <v>2962.9</v>
      </c>
      <c r="S187" s="156">
        <v>1</v>
      </c>
      <c r="T187" s="156">
        <f t="shared" si="83"/>
        <v>2962.9</v>
      </c>
      <c r="U187" s="156">
        <f t="shared" si="84"/>
        <v>12592.325000000001</v>
      </c>
      <c r="V187" s="156">
        <f t="shared" si="85"/>
        <v>12592.325000000001</v>
      </c>
      <c r="W187" s="156">
        <v>1</v>
      </c>
      <c r="X187" s="156">
        <f t="shared" si="86"/>
        <v>12592.325000000001</v>
      </c>
      <c r="Y187" s="156">
        <f t="shared" si="87"/>
        <v>15555.225</v>
      </c>
      <c r="Z187" s="156">
        <f t="shared" si="88"/>
        <v>15555.224999999999</v>
      </c>
      <c r="AA187" s="181">
        <f t="shared" si="89"/>
        <v>2011.5</v>
      </c>
      <c r="AB187" s="181">
        <f t="shared" si="90"/>
        <v>2016.75</v>
      </c>
      <c r="AC187" s="156">
        <f t="shared" si="91"/>
        <v>2021.5</v>
      </c>
      <c r="AD187" s="181">
        <f t="shared" si="92"/>
        <v>2015.75</v>
      </c>
      <c r="AE187" s="181">
        <f t="shared" si="93"/>
        <v>-8.3333333333333329E-2</v>
      </c>
      <c r="AF187" s="181">
        <f t="shared" si="94"/>
        <v>2021.5</v>
      </c>
      <c r="AG187" s="181">
        <f t="shared" si="95"/>
        <v>2015.75</v>
      </c>
      <c r="AH187" s="181">
        <f t="shared" si="96"/>
        <v>-8.3333333333333329E-2</v>
      </c>
      <c r="AI187" s="156"/>
      <c r="AJ187" s="156"/>
      <c r="AK187" s="156"/>
      <c r="AL187" s="156"/>
    </row>
    <row r="188" spans="1:38" x14ac:dyDescent="0.25">
      <c r="A188" s="203" t="s">
        <v>739</v>
      </c>
      <c r="B188" s="156" t="s">
        <v>589</v>
      </c>
      <c r="C188" s="222" t="s">
        <v>740</v>
      </c>
      <c r="D188" s="182">
        <v>2011</v>
      </c>
      <c r="E188" s="161">
        <v>9</v>
      </c>
      <c r="F188" s="183"/>
      <c r="G188" s="166" t="s">
        <v>452</v>
      </c>
      <c r="H188" s="156">
        <v>10</v>
      </c>
      <c r="I188" s="182">
        <f t="shared" si="77"/>
        <v>2021</v>
      </c>
      <c r="J188" s="156"/>
      <c r="K188" s="156"/>
      <c r="L188" s="227">
        <v>7256</v>
      </c>
      <c r="M188" s="156"/>
      <c r="N188" s="156">
        <f t="shared" si="78"/>
        <v>7256</v>
      </c>
      <c r="O188" s="156">
        <f t="shared" si="79"/>
        <v>60.466666666666669</v>
      </c>
      <c r="P188" s="156">
        <f t="shared" si="80"/>
        <v>725.6</v>
      </c>
      <c r="Q188" s="156">
        <f t="shared" si="81"/>
        <v>0</v>
      </c>
      <c r="R188" s="156">
        <f t="shared" si="82"/>
        <v>725.6</v>
      </c>
      <c r="S188" s="156">
        <v>1</v>
      </c>
      <c r="T188" s="156">
        <f t="shared" si="83"/>
        <v>725.6</v>
      </c>
      <c r="U188" s="156">
        <f t="shared" si="84"/>
        <v>2962.8666666666118</v>
      </c>
      <c r="V188" s="156">
        <f t="shared" si="85"/>
        <v>2962.8666666666118</v>
      </c>
      <c r="W188" s="156">
        <v>1</v>
      </c>
      <c r="X188" s="156">
        <f t="shared" si="86"/>
        <v>2962.8666666666118</v>
      </c>
      <c r="Y188" s="156">
        <f t="shared" si="87"/>
        <v>3688.4666666666117</v>
      </c>
      <c r="Z188" s="156">
        <f t="shared" si="88"/>
        <v>3930.3333333333881</v>
      </c>
      <c r="AA188" s="181">
        <f t="shared" si="89"/>
        <v>2011.6666666666667</v>
      </c>
      <c r="AB188" s="181">
        <f t="shared" si="90"/>
        <v>2016.75</v>
      </c>
      <c r="AC188" s="156">
        <f t="shared" si="91"/>
        <v>2021.6666666666667</v>
      </c>
      <c r="AD188" s="181">
        <f t="shared" si="92"/>
        <v>2015.75</v>
      </c>
      <c r="AE188" s="181">
        <f t="shared" si="93"/>
        <v>-8.3333333333333329E-2</v>
      </c>
      <c r="AF188" s="181">
        <f t="shared" si="94"/>
        <v>2021.6666666666667</v>
      </c>
      <c r="AG188" s="181">
        <f t="shared" si="95"/>
        <v>2015.75</v>
      </c>
      <c r="AH188" s="181">
        <f t="shared" si="96"/>
        <v>-8.3333333333333329E-2</v>
      </c>
      <c r="AI188" s="156"/>
      <c r="AJ188" s="156"/>
      <c r="AK188" s="156"/>
      <c r="AL188" s="156"/>
    </row>
    <row r="189" spans="1:38" x14ac:dyDescent="0.25">
      <c r="A189" s="203" t="s">
        <v>741</v>
      </c>
      <c r="B189" s="156" t="s">
        <v>589</v>
      </c>
      <c r="C189" s="222" t="s">
        <v>742</v>
      </c>
      <c r="D189" s="182">
        <v>2011</v>
      </c>
      <c r="E189" s="161">
        <v>9</v>
      </c>
      <c r="F189" s="183"/>
      <c r="G189" s="166" t="s">
        <v>452</v>
      </c>
      <c r="H189" s="156">
        <v>10</v>
      </c>
      <c r="I189" s="182">
        <f t="shared" si="77"/>
        <v>2021</v>
      </c>
      <c r="J189" s="156"/>
      <c r="K189" s="156"/>
      <c r="L189" s="227">
        <v>8718</v>
      </c>
      <c r="M189" s="156"/>
      <c r="N189" s="156">
        <f t="shared" si="78"/>
        <v>8718</v>
      </c>
      <c r="O189" s="156">
        <f t="shared" si="79"/>
        <v>72.649999999999991</v>
      </c>
      <c r="P189" s="156">
        <f t="shared" si="80"/>
        <v>871.8</v>
      </c>
      <c r="Q189" s="156">
        <f t="shared" si="81"/>
        <v>0</v>
      </c>
      <c r="R189" s="156">
        <f t="shared" si="82"/>
        <v>871.8</v>
      </c>
      <c r="S189" s="156">
        <v>1</v>
      </c>
      <c r="T189" s="156">
        <f t="shared" si="83"/>
        <v>871.8</v>
      </c>
      <c r="U189" s="156">
        <f t="shared" si="84"/>
        <v>3559.8499999999335</v>
      </c>
      <c r="V189" s="156">
        <f t="shared" si="85"/>
        <v>3559.8499999999335</v>
      </c>
      <c r="W189" s="156">
        <v>1</v>
      </c>
      <c r="X189" s="156">
        <f t="shared" si="86"/>
        <v>3559.8499999999335</v>
      </c>
      <c r="Y189" s="156">
        <f t="shared" si="87"/>
        <v>4431.6499999999332</v>
      </c>
      <c r="Z189" s="156">
        <f t="shared" si="88"/>
        <v>4722.2500000000673</v>
      </c>
      <c r="AA189" s="181">
        <f t="shared" si="89"/>
        <v>2011.6666666666667</v>
      </c>
      <c r="AB189" s="181">
        <f t="shared" si="90"/>
        <v>2016.75</v>
      </c>
      <c r="AC189" s="156">
        <f t="shared" si="91"/>
        <v>2021.6666666666667</v>
      </c>
      <c r="AD189" s="181">
        <f t="shared" si="92"/>
        <v>2015.75</v>
      </c>
      <c r="AE189" s="181">
        <f t="shared" si="93"/>
        <v>-8.3333333333333329E-2</v>
      </c>
      <c r="AF189" s="181">
        <f t="shared" si="94"/>
        <v>2021.6666666666667</v>
      </c>
      <c r="AG189" s="181">
        <f t="shared" si="95"/>
        <v>2015.75</v>
      </c>
      <c r="AH189" s="181">
        <f t="shared" si="96"/>
        <v>-8.3333333333333329E-2</v>
      </c>
      <c r="AI189" s="156"/>
      <c r="AJ189" s="156"/>
      <c r="AK189" s="156"/>
      <c r="AL189" s="156"/>
    </row>
    <row r="190" spans="1:38" x14ac:dyDescent="0.25">
      <c r="A190" s="163" t="s">
        <v>743</v>
      </c>
      <c r="B190" s="156" t="s">
        <v>589</v>
      </c>
      <c r="C190" s="222" t="s">
        <v>744</v>
      </c>
      <c r="D190" s="182">
        <v>2011</v>
      </c>
      <c r="E190" s="161">
        <v>9</v>
      </c>
      <c r="F190" s="183"/>
      <c r="G190" s="166" t="s">
        <v>452</v>
      </c>
      <c r="H190" s="156">
        <v>10</v>
      </c>
      <c r="I190" s="182">
        <f t="shared" si="77"/>
        <v>2021</v>
      </c>
      <c r="J190" s="156"/>
      <c r="K190" s="156"/>
      <c r="L190" s="227">
        <v>7115</v>
      </c>
      <c r="M190" s="156"/>
      <c r="N190" s="156">
        <f t="shared" si="78"/>
        <v>7115</v>
      </c>
      <c r="O190" s="156">
        <f t="shared" si="79"/>
        <v>59.291666666666664</v>
      </c>
      <c r="P190" s="156">
        <f t="shared" si="80"/>
        <v>711.5</v>
      </c>
      <c r="Q190" s="156">
        <f t="shared" si="81"/>
        <v>0</v>
      </c>
      <c r="R190" s="156">
        <f t="shared" si="82"/>
        <v>711.5</v>
      </c>
      <c r="S190" s="156">
        <v>1</v>
      </c>
      <c r="T190" s="156">
        <f t="shared" si="83"/>
        <v>711.5</v>
      </c>
      <c r="U190" s="156">
        <f t="shared" si="84"/>
        <v>2905.2916666666124</v>
      </c>
      <c r="V190" s="156">
        <f t="shared" si="85"/>
        <v>2905.2916666666124</v>
      </c>
      <c r="W190" s="156">
        <v>1</v>
      </c>
      <c r="X190" s="156">
        <f t="shared" si="86"/>
        <v>2905.2916666666124</v>
      </c>
      <c r="Y190" s="156">
        <f t="shared" si="87"/>
        <v>3616.7916666666124</v>
      </c>
      <c r="Z190" s="156">
        <f t="shared" si="88"/>
        <v>3853.9583333333876</v>
      </c>
      <c r="AA190" s="181">
        <f t="shared" si="89"/>
        <v>2011.6666666666667</v>
      </c>
      <c r="AB190" s="181">
        <f t="shared" si="90"/>
        <v>2016.75</v>
      </c>
      <c r="AC190" s="156">
        <f t="shared" si="91"/>
        <v>2021.6666666666667</v>
      </c>
      <c r="AD190" s="181">
        <f t="shared" si="92"/>
        <v>2015.75</v>
      </c>
      <c r="AE190" s="181">
        <f t="shared" si="93"/>
        <v>-8.3333333333333329E-2</v>
      </c>
      <c r="AF190" s="181">
        <f t="shared" si="94"/>
        <v>2021.6666666666667</v>
      </c>
      <c r="AG190" s="181">
        <f t="shared" si="95"/>
        <v>2015.75</v>
      </c>
      <c r="AH190" s="181">
        <f t="shared" si="96"/>
        <v>-8.3333333333333329E-2</v>
      </c>
      <c r="AI190" s="156"/>
      <c r="AJ190" s="156"/>
      <c r="AK190" s="156"/>
      <c r="AL190" s="156"/>
    </row>
    <row r="191" spans="1:38" x14ac:dyDescent="0.25">
      <c r="A191" s="203" t="s">
        <v>745</v>
      </c>
      <c r="B191" s="156" t="s">
        <v>589</v>
      </c>
      <c r="C191" s="222" t="s">
        <v>746</v>
      </c>
      <c r="D191" s="182">
        <v>2011</v>
      </c>
      <c r="E191" s="161">
        <v>9</v>
      </c>
      <c r="F191" s="183"/>
      <c r="G191" s="166" t="s">
        <v>452</v>
      </c>
      <c r="H191" s="156">
        <v>10</v>
      </c>
      <c r="I191" s="182">
        <f t="shared" si="77"/>
        <v>2021</v>
      </c>
      <c r="J191" s="156"/>
      <c r="K191" s="156"/>
      <c r="L191" s="227">
        <v>6141</v>
      </c>
      <c r="M191" s="156"/>
      <c r="N191" s="156">
        <f t="shared" si="78"/>
        <v>6141</v>
      </c>
      <c r="O191" s="156">
        <f t="shared" si="79"/>
        <v>51.175000000000004</v>
      </c>
      <c r="P191" s="156">
        <f t="shared" si="80"/>
        <v>614.1</v>
      </c>
      <c r="Q191" s="156">
        <f t="shared" si="81"/>
        <v>0</v>
      </c>
      <c r="R191" s="156">
        <f t="shared" si="82"/>
        <v>614.1</v>
      </c>
      <c r="S191" s="156">
        <v>1</v>
      </c>
      <c r="T191" s="156">
        <f t="shared" si="83"/>
        <v>614.1</v>
      </c>
      <c r="U191" s="156">
        <f t="shared" si="84"/>
        <v>2507.5749999999539</v>
      </c>
      <c r="V191" s="156">
        <f t="shared" si="85"/>
        <v>2507.5749999999539</v>
      </c>
      <c r="W191" s="156">
        <v>1</v>
      </c>
      <c r="X191" s="156">
        <f t="shared" si="86"/>
        <v>2507.5749999999539</v>
      </c>
      <c r="Y191" s="156">
        <f t="shared" si="87"/>
        <v>3121.6749999999538</v>
      </c>
      <c r="Z191" s="156">
        <f t="shared" si="88"/>
        <v>3326.3750000000464</v>
      </c>
      <c r="AA191" s="181">
        <f t="shared" si="89"/>
        <v>2011.6666666666667</v>
      </c>
      <c r="AB191" s="181">
        <f t="shared" si="90"/>
        <v>2016.75</v>
      </c>
      <c r="AC191" s="156">
        <f t="shared" si="91"/>
        <v>2021.6666666666667</v>
      </c>
      <c r="AD191" s="181">
        <f t="shared" si="92"/>
        <v>2015.75</v>
      </c>
      <c r="AE191" s="181">
        <f t="shared" si="93"/>
        <v>-8.3333333333333329E-2</v>
      </c>
      <c r="AF191" s="181">
        <f t="shared" si="94"/>
        <v>2021.6666666666667</v>
      </c>
      <c r="AG191" s="181">
        <f t="shared" si="95"/>
        <v>2015.75</v>
      </c>
      <c r="AH191" s="181">
        <f t="shared" si="96"/>
        <v>-8.3333333333333329E-2</v>
      </c>
      <c r="AI191" s="156"/>
      <c r="AJ191" s="156"/>
      <c r="AK191" s="156"/>
      <c r="AL191" s="156"/>
    </row>
    <row r="192" spans="1:38" x14ac:dyDescent="0.25">
      <c r="A192" s="203" t="s">
        <v>747</v>
      </c>
      <c r="B192" s="156" t="s">
        <v>589</v>
      </c>
      <c r="C192" s="162" t="s">
        <v>748</v>
      </c>
      <c r="D192" s="182">
        <v>2011</v>
      </c>
      <c r="E192" s="161">
        <v>11</v>
      </c>
      <c r="F192" s="183"/>
      <c r="G192" s="166" t="s">
        <v>452</v>
      </c>
      <c r="H192" s="156">
        <v>10</v>
      </c>
      <c r="I192" s="182">
        <f t="shared" si="77"/>
        <v>2021</v>
      </c>
      <c r="J192" s="156"/>
      <c r="K192" s="156"/>
      <c r="L192" s="191">
        <v>4113</v>
      </c>
      <c r="M192" s="156"/>
      <c r="N192" s="156">
        <f t="shared" si="78"/>
        <v>4113</v>
      </c>
      <c r="O192" s="156">
        <f t="shared" si="79"/>
        <v>34.274999999999999</v>
      </c>
      <c r="P192" s="156">
        <f t="shared" si="80"/>
        <v>411.29999999999995</v>
      </c>
      <c r="Q192" s="156">
        <f t="shared" si="81"/>
        <v>0</v>
      </c>
      <c r="R192" s="156">
        <f t="shared" si="82"/>
        <v>411.29999999999995</v>
      </c>
      <c r="S192" s="156">
        <v>1</v>
      </c>
      <c r="T192" s="156">
        <f t="shared" si="83"/>
        <v>411.29999999999995</v>
      </c>
      <c r="U192" s="156">
        <f t="shared" si="84"/>
        <v>1610.9250000000311</v>
      </c>
      <c r="V192" s="156">
        <f t="shared" si="85"/>
        <v>1610.9250000000311</v>
      </c>
      <c r="W192" s="156">
        <v>1</v>
      </c>
      <c r="X192" s="156">
        <f t="shared" si="86"/>
        <v>1610.9250000000311</v>
      </c>
      <c r="Y192" s="156">
        <f t="shared" si="87"/>
        <v>2022.2250000000311</v>
      </c>
      <c r="Z192" s="156">
        <f t="shared" si="88"/>
        <v>2296.4249999999688</v>
      </c>
      <c r="AA192" s="181">
        <f t="shared" si="89"/>
        <v>2011.8333333333333</v>
      </c>
      <c r="AB192" s="181">
        <f t="shared" si="90"/>
        <v>2016.75</v>
      </c>
      <c r="AC192" s="156">
        <f t="shared" si="91"/>
        <v>2021.8333333333333</v>
      </c>
      <c r="AD192" s="181">
        <f t="shared" si="92"/>
        <v>2015.75</v>
      </c>
      <c r="AE192" s="181">
        <f t="shared" si="93"/>
        <v>-8.3333333333333329E-2</v>
      </c>
      <c r="AF192" s="181">
        <f t="shared" si="94"/>
        <v>2021.8333333333333</v>
      </c>
      <c r="AG192" s="181">
        <f t="shared" si="95"/>
        <v>2015.75</v>
      </c>
      <c r="AH192" s="181">
        <f t="shared" si="96"/>
        <v>-8.3333333333333329E-2</v>
      </c>
      <c r="AI192" s="156"/>
      <c r="AJ192" s="156"/>
      <c r="AK192" s="156"/>
      <c r="AL192" s="156"/>
    </row>
    <row r="193" spans="1:38" x14ac:dyDescent="0.25">
      <c r="A193" s="203" t="s">
        <v>749</v>
      </c>
      <c r="B193" s="156" t="s">
        <v>589</v>
      </c>
      <c r="C193" s="162" t="s">
        <v>750</v>
      </c>
      <c r="D193" s="182">
        <v>2011</v>
      </c>
      <c r="E193" s="161">
        <v>11</v>
      </c>
      <c r="F193" s="183"/>
      <c r="G193" s="166" t="s">
        <v>452</v>
      </c>
      <c r="H193" s="156">
        <v>10</v>
      </c>
      <c r="I193" s="182">
        <f t="shared" si="77"/>
        <v>2021</v>
      </c>
      <c r="J193" s="156"/>
      <c r="K193" s="156"/>
      <c r="L193" s="191">
        <v>6958</v>
      </c>
      <c r="M193" s="156"/>
      <c r="N193" s="156">
        <f t="shared" si="78"/>
        <v>6958</v>
      </c>
      <c r="O193" s="156">
        <f t="shared" si="79"/>
        <v>57.983333333333327</v>
      </c>
      <c r="P193" s="156">
        <f t="shared" si="80"/>
        <v>695.8</v>
      </c>
      <c r="Q193" s="156">
        <f t="shared" si="81"/>
        <v>0</v>
      </c>
      <c r="R193" s="156">
        <f t="shared" si="82"/>
        <v>695.8</v>
      </c>
      <c r="S193" s="156">
        <v>1</v>
      </c>
      <c r="T193" s="156">
        <f t="shared" si="83"/>
        <v>695.8</v>
      </c>
      <c r="U193" s="156">
        <f t="shared" si="84"/>
        <v>2725.216666666719</v>
      </c>
      <c r="V193" s="156">
        <f t="shared" si="85"/>
        <v>2725.216666666719</v>
      </c>
      <c r="W193" s="156">
        <v>1</v>
      </c>
      <c r="X193" s="156">
        <f t="shared" si="86"/>
        <v>2725.216666666719</v>
      </c>
      <c r="Y193" s="156">
        <f t="shared" si="87"/>
        <v>3421.0166666667192</v>
      </c>
      <c r="Z193" s="156">
        <f t="shared" si="88"/>
        <v>3884.8833333332809</v>
      </c>
      <c r="AA193" s="181">
        <f t="shared" si="89"/>
        <v>2011.8333333333333</v>
      </c>
      <c r="AB193" s="181">
        <f t="shared" si="90"/>
        <v>2016.75</v>
      </c>
      <c r="AC193" s="156">
        <f t="shared" si="91"/>
        <v>2021.8333333333333</v>
      </c>
      <c r="AD193" s="181">
        <f t="shared" si="92"/>
        <v>2015.75</v>
      </c>
      <c r="AE193" s="181">
        <f t="shared" si="93"/>
        <v>-8.3333333333333329E-2</v>
      </c>
      <c r="AF193" s="181">
        <f t="shared" si="94"/>
        <v>2021.8333333333333</v>
      </c>
      <c r="AG193" s="181">
        <f t="shared" si="95"/>
        <v>2015.75</v>
      </c>
      <c r="AH193" s="181">
        <f t="shared" si="96"/>
        <v>-8.3333333333333329E-2</v>
      </c>
      <c r="AI193" s="156"/>
      <c r="AJ193" s="156"/>
      <c r="AK193" s="156"/>
      <c r="AL193" s="156"/>
    </row>
    <row r="194" spans="1:38" x14ac:dyDescent="0.25">
      <c r="A194" s="163" t="s">
        <v>751</v>
      </c>
      <c r="B194" s="156" t="s">
        <v>589</v>
      </c>
      <c r="C194" s="193" t="s">
        <v>752</v>
      </c>
      <c r="D194" s="182">
        <v>2014</v>
      </c>
      <c r="E194" s="161">
        <v>5</v>
      </c>
      <c r="F194" s="183"/>
      <c r="G194" s="166" t="s">
        <v>452</v>
      </c>
      <c r="H194" s="156">
        <v>10</v>
      </c>
      <c r="I194" s="182">
        <f t="shared" si="77"/>
        <v>2024</v>
      </c>
      <c r="J194" s="156"/>
      <c r="K194" s="156"/>
      <c r="L194" s="229">
        <v>7276.2</v>
      </c>
      <c r="M194" s="156"/>
      <c r="N194" s="156">
        <f t="shared" si="78"/>
        <v>7276.2</v>
      </c>
      <c r="O194" s="156">
        <f t="shared" si="79"/>
        <v>60.634999999999998</v>
      </c>
      <c r="P194" s="156">
        <f t="shared" si="80"/>
        <v>727.62</v>
      </c>
      <c r="Q194" s="156">
        <f t="shared" si="81"/>
        <v>0</v>
      </c>
      <c r="R194" s="156">
        <f t="shared" si="82"/>
        <v>727.62</v>
      </c>
      <c r="S194" s="156">
        <v>1</v>
      </c>
      <c r="T194" s="156">
        <f t="shared" si="83"/>
        <v>727.62</v>
      </c>
      <c r="U194" s="156">
        <f t="shared" si="84"/>
        <v>1030.7950000000551</v>
      </c>
      <c r="V194" s="156">
        <f t="shared" si="85"/>
        <v>1030.7950000000551</v>
      </c>
      <c r="W194" s="156">
        <v>1</v>
      </c>
      <c r="X194" s="156">
        <f t="shared" si="86"/>
        <v>1030.7950000000551</v>
      </c>
      <c r="Y194" s="156">
        <f t="shared" si="87"/>
        <v>1758.415000000055</v>
      </c>
      <c r="Z194" s="156">
        <f t="shared" si="88"/>
        <v>5881.5949999999448</v>
      </c>
      <c r="AA194" s="181">
        <f t="shared" si="89"/>
        <v>2014.3333333333333</v>
      </c>
      <c r="AB194" s="181">
        <f t="shared" si="90"/>
        <v>2016.75</v>
      </c>
      <c r="AC194" s="156">
        <f t="shared" si="91"/>
        <v>2024.3333333333333</v>
      </c>
      <c r="AD194" s="181">
        <f t="shared" si="92"/>
        <v>2015.75</v>
      </c>
      <c r="AE194" s="181">
        <f t="shared" si="93"/>
        <v>-8.3333333333333329E-2</v>
      </c>
      <c r="AF194" s="181">
        <f t="shared" si="94"/>
        <v>2024.3333333333333</v>
      </c>
      <c r="AG194" s="181">
        <f t="shared" si="95"/>
        <v>2015.75</v>
      </c>
      <c r="AH194" s="181">
        <f t="shared" si="96"/>
        <v>-8.3333333333333329E-2</v>
      </c>
      <c r="AI194" s="156"/>
      <c r="AJ194" s="156"/>
      <c r="AK194" s="156"/>
      <c r="AL194" s="156"/>
    </row>
    <row r="195" spans="1:38" x14ac:dyDescent="0.25">
      <c r="A195" s="203" t="s">
        <v>753</v>
      </c>
      <c r="B195" s="156" t="s">
        <v>589</v>
      </c>
      <c r="C195" s="193" t="s">
        <v>754</v>
      </c>
      <c r="D195" s="182">
        <v>2014</v>
      </c>
      <c r="E195" s="161">
        <v>5</v>
      </c>
      <c r="F195" s="183"/>
      <c r="G195" s="166" t="s">
        <v>452</v>
      </c>
      <c r="H195" s="156">
        <v>10</v>
      </c>
      <c r="I195" s="182">
        <f t="shared" si="77"/>
        <v>2024</v>
      </c>
      <c r="J195" s="156"/>
      <c r="K195" s="156"/>
      <c r="L195" s="229">
        <v>17614.919999999998</v>
      </c>
      <c r="M195" s="156"/>
      <c r="N195" s="156">
        <f t="shared" si="78"/>
        <v>17614.919999999998</v>
      </c>
      <c r="O195" s="156">
        <f t="shared" si="79"/>
        <v>146.79099999999997</v>
      </c>
      <c r="P195" s="156">
        <f t="shared" si="80"/>
        <v>1761.4919999999997</v>
      </c>
      <c r="Q195" s="156">
        <f t="shared" si="81"/>
        <v>0</v>
      </c>
      <c r="R195" s="156">
        <f t="shared" si="82"/>
        <v>1761.4919999999997</v>
      </c>
      <c r="S195" s="156">
        <v>1</v>
      </c>
      <c r="T195" s="156">
        <f t="shared" si="83"/>
        <v>1761.4919999999997</v>
      </c>
      <c r="U195" s="156">
        <f t="shared" si="84"/>
        <v>2495.4470000001329</v>
      </c>
      <c r="V195" s="156">
        <f t="shared" si="85"/>
        <v>2495.4470000001329</v>
      </c>
      <c r="W195" s="156">
        <v>1</v>
      </c>
      <c r="X195" s="156">
        <f t="shared" si="86"/>
        <v>2495.4470000001329</v>
      </c>
      <c r="Y195" s="156">
        <f t="shared" si="87"/>
        <v>4256.9390000001331</v>
      </c>
      <c r="Z195" s="156">
        <f t="shared" si="88"/>
        <v>14238.726999999864</v>
      </c>
      <c r="AA195" s="181">
        <f t="shared" si="89"/>
        <v>2014.3333333333333</v>
      </c>
      <c r="AB195" s="181">
        <f t="shared" si="90"/>
        <v>2016.75</v>
      </c>
      <c r="AC195" s="156">
        <f t="shared" si="91"/>
        <v>2024.3333333333333</v>
      </c>
      <c r="AD195" s="181">
        <f t="shared" si="92"/>
        <v>2015.75</v>
      </c>
      <c r="AE195" s="181">
        <f t="shared" si="93"/>
        <v>-8.3333333333333329E-2</v>
      </c>
      <c r="AF195" s="181">
        <f t="shared" si="94"/>
        <v>2024.3333333333333</v>
      </c>
      <c r="AG195" s="181">
        <f t="shared" si="95"/>
        <v>2015.75</v>
      </c>
      <c r="AH195" s="181">
        <f t="shared" si="96"/>
        <v>-8.3333333333333329E-2</v>
      </c>
      <c r="AI195" s="156"/>
      <c r="AJ195" s="156"/>
      <c r="AK195" s="156"/>
      <c r="AL195" s="156"/>
    </row>
    <row r="196" spans="1:38" x14ac:dyDescent="0.25">
      <c r="A196" s="203" t="s">
        <v>755</v>
      </c>
      <c r="B196" s="156" t="s">
        <v>589</v>
      </c>
      <c r="C196" s="193" t="s">
        <v>756</v>
      </c>
      <c r="D196" s="182">
        <v>2014</v>
      </c>
      <c r="E196" s="161">
        <v>5</v>
      </c>
      <c r="F196" s="183"/>
      <c r="G196" s="166" t="s">
        <v>452</v>
      </c>
      <c r="H196" s="156">
        <v>10</v>
      </c>
      <c r="I196" s="182">
        <f t="shared" si="77"/>
        <v>2024</v>
      </c>
      <c r="J196" s="156"/>
      <c r="K196" s="156"/>
      <c r="L196" s="229">
        <v>11837.4</v>
      </c>
      <c r="M196" s="156"/>
      <c r="N196" s="156">
        <f t="shared" si="78"/>
        <v>11837.4</v>
      </c>
      <c r="O196" s="156">
        <f t="shared" si="79"/>
        <v>98.644999999999996</v>
      </c>
      <c r="P196" s="156">
        <f t="shared" si="80"/>
        <v>1183.74</v>
      </c>
      <c r="Q196" s="156">
        <f t="shared" si="81"/>
        <v>0</v>
      </c>
      <c r="R196" s="156">
        <f t="shared" si="82"/>
        <v>1183.74</v>
      </c>
      <c r="S196" s="156">
        <v>1</v>
      </c>
      <c r="T196" s="156">
        <f t="shared" si="83"/>
        <v>1183.74</v>
      </c>
      <c r="U196" s="156">
        <f t="shared" si="84"/>
        <v>1676.9650000000897</v>
      </c>
      <c r="V196" s="156">
        <f t="shared" si="85"/>
        <v>1676.9650000000897</v>
      </c>
      <c r="W196" s="156">
        <v>1</v>
      </c>
      <c r="X196" s="156">
        <f t="shared" si="86"/>
        <v>1676.9650000000897</v>
      </c>
      <c r="Y196" s="156">
        <f t="shared" si="87"/>
        <v>2860.70500000009</v>
      </c>
      <c r="Z196" s="156">
        <f t="shared" si="88"/>
        <v>9568.5649999999096</v>
      </c>
      <c r="AA196" s="181">
        <f t="shared" si="89"/>
        <v>2014.3333333333333</v>
      </c>
      <c r="AB196" s="181">
        <f t="shared" si="90"/>
        <v>2016.75</v>
      </c>
      <c r="AC196" s="156">
        <f t="shared" si="91"/>
        <v>2024.3333333333333</v>
      </c>
      <c r="AD196" s="181">
        <f t="shared" si="92"/>
        <v>2015.75</v>
      </c>
      <c r="AE196" s="181">
        <f t="shared" si="93"/>
        <v>-8.3333333333333329E-2</v>
      </c>
      <c r="AF196" s="181">
        <f t="shared" si="94"/>
        <v>2024.3333333333333</v>
      </c>
      <c r="AG196" s="181">
        <f t="shared" si="95"/>
        <v>2015.75</v>
      </c>
      <c r="AH196" s="181">
        <f t="shared" si="96"/>
        <v>-8.3333333333333329E-2</v>
      </c>
      <c r="AI196" s="156"/>
      <c r="AJ196" s="156"/>
      <c r="AK196" s="156"/>
      <c r="AL196" s="156"/>
    </row>
    <row r="197" spans="1:38" x14ac:dyDescent="0.25">
      <c r="A197" s="163" t="s">
        <v>757</v>
      </c>
      <c r="B197" s="156" t="s">
        <v>589</v>
      </c>
      <c r="C197" s="193" t="s">
        <v>758</v>
      </c>
      <c r="D197" s="182">
        <v>2014</v>
      </c>
      <c r="E197" s="161">
        <v>8</v>
      </c>
      <c r="F197" s="183"/>
      <c r="G197" s="166" t="s">
        <v>452</v>
      </c>
      <c r="H197" s="156">
        <v>10</v>
      </c>
      <c r="I197" s="182">
        <f t="shared" si="77"/>
        <v>2024</v>
      </c>
      <c r="J197" s="156"/>
      <c r="K197" s="156"/>
      <c r="L197" s="229">
        <v>13287.57</v>
      </c>
      <c r="M197" s="156"/>
      <c r="N197" s="156">
        <f t="shared" si="78"/>
        <v>13287.57</v>
      </c>
      <c r="O197" s="156">
        <f t="shared" si="79"/>
        <v>110.72975000000001</v>
      </c>
      <c r="P197" s="156">
        <f t="shared" si="80"/>
        <v>1328.7570000000001</v>
      </c>
      <c r="Q197" s="156">
        <f t="shared" si="81"/>
        <v>0</v>
      </c>
      <c r="R197" s="156">
        <f t="shared" si="82"/>
        <v>1328.7570000000001</v>
      </c>
      <c r="S197" s="156">
        <v>1</v>
      </c>
      <c r="T197" s="156">
        <f t="shared" si="83"/>
        <v>1328.7570000000001</v>
      </c>
      <c r="U197" s="156">
        <f t="shared" si="84"/>
        <v>1550.216500000101</v>
      </c>
      <c r="V197" s="156">
        <f t="shared" si="85"/>
        <v>1550.216500000101</v>
      </c>
      <c r="W197" s="156">
        <v>1</v>
      </c>
      <c r="X197" s="156">
        <f t="shared" si="86"/>
        <v>1550.216500000101</v>
      </c>
      <c r="Y197" s="156">
        <f t="shared" si="87"/>
        <v>2878.973500000101</v>
      </c>
      <c r="Z197" s="156">
        <f t="shared" si="88"/>
        <v>11072.974999999899</v>
      </c>
      <c r="AA197" s="181">
        <f t="shared" si="89"/>
        <v>2014.5833333333333</v>
      </c>
      <c r="AB197" s="181">
        <f t="shared" si="90"/>
        <v>2016.75</v>
      </c>
      <c r="AC197" s="156">
        <f t="shared" si="91"/>
        <v>2024.5833333333333</v>
      </c>
      <c r="AD197" s="181">
        <f t="shared" si="92"/>
        <v>2015.75</v>
      </c>
      <c r="AE197" s="181">
        <f t="shared" si="93"/>
        <v>-8.3333333333333329E-2</v>
      </c>
      <c r="AF197" s="181">
        <f t="shared" si="94"/>
        <v>2024.5833333333333</v>
      </c>
      <c r="AG197" s="181">
        <f t="shared" si="95"/>
        <v>2015.75</v>
      </c>
      <c r="AH197" s="181">
        <f t="shared" si="96"/>
        <v>-8.3333333333333329E-2</v>
      </c>
      <c r="AI197" s="156"/>
      <c r="AJ197" s="156"/>
      <c r="AK197" s="156"/>
      <c r="AL197" s="156"/>
    </row>
    <row r="198" spans="1:38" x14ac:dyDescent="0.25">
      <c r="A198" s="203" t="s">
        <v>759</v>
      </c>
      <c r="B198" s="156" t="s">
        <v>589</v>
      </c>
      <c r="C198" s="193" t="s">
        <v>760</v>
      </c>
      <c r="D198" s="182">
        <v>2014</v>
      </c>
      <c r="E198" s="161">
        <v>9</v>
      </c>
      <c r="F198" s="183"/>
      <c r="G198" s="166" t="s">
        <v>452</v>
      </c>
      <c r="H198" s="156">
        <v>10</v>
      </c>
      <c r="I198" s="182">
        <f t="shared" si="77"/>
        <v>2024</v>
      </c>
      <c r="J198" s="156"/>
      <c r="K198" s="156"/>
      <c r="L198" s="229">
        <v>17832.12</v>
      </c>
      <c r="M198" s="156"/>
      <c r="N198" s="156">
        <f t="shared" si="78"/>
        <v>17832.12</v>
      </c>
      <c r="O198" s="156">
        <f t="shared" si="79"/>
        <v>148.601</v>
      </c>
      <c r="P198" s="156">
        <f t="shared" si="80"/>
        <v>1783.212</v>
      </c>
      <c r="Q198" s="156">
        <f t="shared" si="81"/>
        <v>0</v>
      </c>
      <c r="R198" s="156">
        <f t="shared" si="82"/>
        <v>1783.212</v>
      </c>
      <c r="S198" s="156">
        <v>1</v>
      </c>
      <c r="T198" s="156">
        <f t="shared" si="83"/>
        <v>1783.212</v>
      </c>
      <c r="U198" s="156">
        <f t="shared" si="84"/>
        <v>1931.8129999998648</v>
      </c>
      <c r="V198" s="156">
        <f t="shared" si="85"/>
        <v>1931.8129999998648</v>
      </c>
      <c r="W198" s="156">
        <v>1</v>
      </c>
      <c r="X198" s="156">
        <f t="shared" si="86"/>
        <v>1931.8129999998648</v>
      </c>
      <c r="Y198" s="156">
        <f t="shared" si="87"/>
        <v>3715.024999999865</v>
      </c>
      <c r="Z198" s="156">
        <f t="shared" si="88"/>
        <v>15008.701000000134</v>
      </c>
      <c r="AA198" s="181">
        <f t="shared" si="89"/>
        <v>2014.6666666666667</v>
      </c>
      <c r="AB198" s="181">
        <f t="shared" si="90"/>
        <v>2016.75</v>
      </c>
      <c r="AC198" s="156">
        <f t="shared" si="91"/>
        <v>2024.6666666666667</v>
      </c>
      <c r="AD198" s="181">
        <f t="shared" si="92"/>
        <v>2015.75</v>
      </c>
      <c r="AE198" s="181">
        <f t="shared" si="93"/>
        <v>-8.3333333333333329E-2</v>
      </c>
      <c r="AF198" s="181">
        <f t="shared" si="94"/>
        <v>2024.6666666666667</v>
      </c>
      <c r="AG198" s="181">
        <f t="shared" si="95"/>
        <v>2015.75</v>
      </c>
      <c r="AH198" s="181">
        <f t="shared" si="96"/>
        <v>-8.3333333333333329E-2</v>
      </c>
      <c r="AI198" s="156"/>
      <c r="AJ198" s="156"/>
      <c r="AK198" s="156"/>
      <c r="AL198" s="156"/>
    </row>
    <row r="199" spans="1:38" x14ac:dyDescent="0.25">
      <c r="A199" s="163" t="s">
        <v>761</v>
      </c>
      <c r="B199" s="156" t="s">
        <v>589</v>
      </c>
      <c r="C199" s="193" t="s">
        <v>762</v>
      </c>
      <c r="D199" s="182">
        <v>2015</v>
      </c>
      <c r="E199" s="161">
        <v>2</v>
      </c>
      <c r="F199" s="183"/>
      <c r="G199" s="166" t="s">
        <v>452</v>
      </c>
      <c r="H199" s="156">
        <v>10</v>
      </c>
      <c r="I199" s="182">
        <f t="shared" si="77"/>
        <v>2025</v>
      </c>
      <c r="J199" s="156"/>
      <c r="K199" s="156"/>
      <c r="L199" s="229">
        <v>20348.93</v>
      </c>
      <c r="M199" s="156"/>
      <c r="N199" s="156">
        <f t="shared" si="78"/>
        <v>20348.93</v>
      </c>
      <c r="O199" s="156">
        <f t="shared" si="79"/>
        <v>169.57441666666668</v>
      </c>
      <c r="P199" s="156">
        <f t="shared" si="80"/>
        <v>2034.893</v>
      </c>
      <c r="Q199" s="156">
        <f t="shared" si="81"/>
        <v>0</v>
      </c>
      <c r="R199" s="156">
        <f t="shared" si="82"/>
        <v>2034.893</v>
      </c>
      <c r="S199" s="156">
        <v>1</v>
      </c>
      <c r="T199" s="156">
        <f t="shared" si="83"/>
        <v>2034.893</v>
      </c>
      <c r="U199" s="156">
        <f t="shared" si="84"/>
        <v>3391.4883333334878</v>
      </c>
      <c r="V199" s="156">
        <f t="shared" si="85"/>
        <v>3391.4883333334878</v>
      </c>
      <c r="W199" s="156">
        <v>1</v>
      </c>
      <c r="X199" s="156">
        <f t="shared" si="86"/>
        <v>3391.4883333334878</v>
      </c>
      <c r="Y199" s="156">
        <f t="shared" si="87"/>
        <v>5426.3813333334874</v>
      </c>
      <c r="Z199" s="156">
        <f t="shared" si="88"/>
        <v>15939.995166666513</v>
      </c>
      <c r="AA199" s="197">
        <f t="shared" ref="AA199:AA216" si="97">2014+(($E199-1)/12)</f>
        <v>2014.0833333333333</v>
      </c>
      <c r="AB199" s="197">
        <f t="shared" si="90"/>
        <v>2016.75</v>
      </c>
      <c r="AC199" s="161">
        <f t="shared" si="91"/>
        <v>2025.0833333333333</v>
      </c>
      <c r="AD199" s="197">
        <f t="shared" si="92"/>
        <v>2015.75</v>
      </c>
      <c r="AE199" s="197">
        <f t="shared" si="93"/>
        <v>-8.3333333333333329E-2</v>
      </c>
      <c r="AF199" s="197">
        <f t="shared" ref="AF199:AF216" si="98">2024+(($E199-1)/12)</f>
        <v>2024.0833333333333</v>
      </c>
      <c r="AG199" s="181">
        <f t="shared" si="95"/>
        <v>2015.75</v>
      </c>
      <c r="AH199" s="181">
        <f t="shared" si="96"/>
        <v>-8.3333333333333329E-2</v>
      </c>
      <c r="AI199" s="156"/>
      <c r="AJ199" s="156"/>
      <c r="AK199" s="156"/>
      <c r="AL199" s="156"/>
    </row>
    <row r="200" spans="1:38" x14ac:dyDescent="0.25">
      <c r="A200" s="163" t="s">
        <v>763</v>
      </c>
      <c r="B200" s="156" t="s">
        <v>589</v>
      </c>
      <c r="C200" s="193" t="s">
        <v>754</v>
      </c>
      <c r="D200" s="182">
        <v>2015</v>
      </c>
      <c r="E200" s="161">
        <v>3</v>
      </c>
      <c r="F200" s="183"/>
      <c r="G200" s="166" t="s">
        <v>452</v>
      </c>
      <c r="H200" s="156">
        <v>10</v>
      </c>
      <c r="I200" s="182">
        <f t="shared" si="77"/>
        <v>2025</v>
      </c>
      <c r="J200" s="156"/>
      <c r="K200" s="156"/>
      <c r="L200" s="229">
        <v>14121</v>
      </c>
      <c r="M200" s="156"/>
      <c r="N200" s="156">
        <f t="shared" si="78"/>
        <v>14121</v>
      </c>
      <c r="O200" s="156">
        <f t="shared" si="79"/>
        <v>117.675</v>
      </c>
      <c r="P200" s="156">
        <f t="shared" si="80"/>
        <v>1412.1</v>
      </c>
      <c r="Q200" s="156">
        <f t="shared" si="81"/>
        <v>0</v>
      </c>
      <c r="R200" s="156">
        <f t="shared" si="82"/>
        <v>1412.1</v>
      </c>
      <c r="S200" s="156">
        <v>1</v>
      </c>
      <c r="T200" s="156">
        <f t="shared" si="83"/>
        <v>1412.1</v>
      </c>
      <c r="U200" s="156">
        <f t="shared" si="84"/>
        <v>2235.824999999893</v>
      </c>
      <c r="V200" s="156">
        <f t="shared" si="85"/>
        <v>2235.824999999893</v>
      </c>
      <c r="W200" s="156">
        <v>1</v>
      </c>
      <c r="X200" s="156">
        <f t="shared" si="86"/>
        <v>2235.824999999893</v>
      </c>
      <c r="Y200" s="156">
        <f t="shared" si="87"/>
        <v>3647.9249999998929</v>
      </c>
      <c r="Z200" s="156">
        <f t="shared" si="88"/>
        <v>11179.125000000106</v>
      </c>
      <c r="AA200" s="197">
        <f t="shared" si="97"/>
        <v>2014.1666666666667</v>
      </c>
      <c r="AB200" s="197">
        <f t="shared" si="90"/>
        <v>2016.75</v>
      </c>
      <c r="AC200" s="161">
        <f t="shared" si="91"/>
        <v>2025.1666666666667</v>
      </c>
      <c r="AD200" s="197">
        <f t="shared" si="92"/>
        <v>2015.75</v>
      </c>
      <c r="AE200" s="197">
        <f t="shared" si="93"/>
        <v>-8.3333333333333329E-2</v>
      </c>
      <c r="AF200" s="197">
        <f t="shared" si="98"/>
        <v>2024.1666666666667</v>
      </c>
      <c r="AG200" s="181">
        <f t="shared" si="95"/>
        <v>2015.75</v>
      </c>
      <c r="AH200" s="181">
        <f t="shared" si="96"/>
        <v>-8.3333333333333329E-2</v>
      </c>
      <c r="AI200" s="156"/>
      <c r="AJ200" s="156"/>
      <c r="AK200" s="156"/>
      <c r="AL200" s="156"/>
    </row>
    <row r="201" spans="1:38" x14ac:dyDescent="0.25">
      <c r="A201" s="203" t="s">
        <v>764</v>
      </c>
      <c r="B201" s="156" t="s">
        <v>589</v>
      </c>
      <c r="C201" s="193" t="s">
        <v>765</v>
      </c>
      <c r="D201" s="182">
        <v>2015</v>
      </c>
      <c r="E201" s="161">
        <v>2</v>
      </c>
      <c r="F201" s="183"/>
      <c r="G201" s="166" t="s">
        <v>452</v>
      </c>
      <c r="H201" s="156">
        <v>10</v>
      </c>
      <c r="I201" s="182">
        <f t="shared" si="77"/>
        <v>2025</v>
      </c>
      <c r="J201" s="156"/>
      <c r="K201" s="156"/>
      <c r="L201" s="229">
        <v>13522.87</v>
      </c>
      <c r="M201" s="156"/>
      <c r="N201" s="156">
        <f t="shared" si="78"/>
        <v>13522.87</v>
      </c>
      <c r="O201" s="156">
        <f t="shared" si="79"/>
        <v>112.69058333333334</v>
      </c>
      <c r="P201" s="156">
        <f t="shared" si="80"/>
        <v>1352.287</v>
      </c>
      <c r="Q201" s="156">
        <f t="shared" si="81"/>
        <v>0</v>
      </c>
      <c r="R201" s="156">
        <f t="shared" si="82"/>
        <v>1352.287</v>
      </c>
      <c r="S201" s="156">
        <v>1</v>
      </c>
      <c r="T201" s="156">
        <f t="shared" si="83"/>
        <v>1352.287</v>
      </c>
      <c r="U201" s="156">
        <f t="shared" si="84"/>
        <v>2253.8116666667693</v>
      </c>
      <c r="V201" s="156">
        <f t="shared" si="85"/>
        <v>2253.8116666667693</v>
      </c>
      <c r="W201" s="156">
        <v>1</v>
      </c>
      <c r="X201" s="156">
        <f t="shared" si="86"/>
        <v>2253.8116666667693</v>
      </c>
      <c r="Y201" s="156">
        <f t="shared" si="87"/>
        <v>3606.0986666667695</v>
      </c>
      <c r="Z201" s="156">
        <f t="shared" si="88"/>
        <v>10592.914833333232</v>
      </c>
      <c r="AA201" s="197">
        <f t="shared" si="97"/>
        <v>2014.0833333333333</v>
      </c>
      <c r="AB201" s="197">
        <f t="shared" si="90"/>
        <v>2016.75</v>
      </c>
      <c r="AC201" s="161">
        <f t="shared" si="91"/>
        <v>2025.0833333333333</v>
      </c>
      <c r="AD201" s="197">
        <f t="shared" si="92"/>
        <v>2015.75</v>
      </c>
      <c r="AE201" s="197">
        <f t="shared" si="93"/>
        <v>-8.3333333333333329E-2</v>
      </c>
      <c r="AF201" s="197">
        <f t="shared" si="98"/>
        <v>2024.0833333333333</v>
      </c>
      <c r="AG201" s="181">
        <f t="shared" si="95"/>
        <v>2015.75</v>
      </c>
      <c r="AH201" s="181">
        <f t="shared" si="96"/>
        <v>-8.3333333333333329E-2</v>
      </c>
      <c r="AI201" s="156"/>
      <c r="AJ201" s="156"/>
      <c r="AK201" s="156"/>
      <c r="AL201" s="156"/>
    </row>
    <row r="202" spans="1:38" x14ac:dyDescent="0.25">
      <c r="A202" s="203" t="s">
        <v>766</v>
      </c>
      <c r="B202" s="156" t="s">
        <v>589</v>
      </c>
      <c r="C202" s="193" t="s">
        <v>767</v>
      </c>
      <c r="D202" s="182">
        <v>2015</v>
      </c>
      <c r="E202" s="161">
        <v>2</v>
      </c>
      <c r="F202" s="183"/>
      <c r="G202" s="166" t="s">
        <v>452</v>
      </c>
      <c r="H202" s="156">
        <v>10</v>
      </c>
      <c r="I202" s="182">
        <f t="shared" si="77"/>
        <v>2025</v>
      </c>
      <c r="J202" s="156"/>
      <c r="K202" s="156"/>
      <c r="L202" s="229">
        <v>6408.49</v>
      </c>
      <c r="M202" s="156"/>
      <c r="N202" s="156">
        <f t="shared" si="78"/>
        <v>6408.49</v>
      </c>
      <c r="O202" s="156">
        <f t="shared" si="79"/>
        <v>53.404083333333325</v>
      </c>
      <c r="P202" s="156">
        <f t="shared" si="80"/>
        <v>640.84899999999993</v>
      </c>
      <c r="Q202" s="156">
        <f t="shared" si="81"/>
        <v>0</v>
      </c>
      <c r="R202" s="156">
        <f t="shared" si="82"/>
        <v>640.84899999999993</v>
      </c>
      <c r="S202" s="156">
        <v>1</v>
      </c>
      <c r="T202" s="156">
        <f t="shared" si="83"/>
        <v>640.84899999999993</v>
      </c>
      <c r="U202" s="156">
        <f t="shared" si="84"/>
        <v>1068.0816666667151</v>
      </c>
      <c r="V202" s="156">
        <f t="shared" si="85"/>
        <v>1068.0816666667151</v>
      </c>
      <c r="W202" s="156">
        <v>1</v>
      </c>
      <c r="X202" s="156">
        <f t="shared" si="86"/>
        <v>1068.0816666667151</v>
      </c>
      <c r="Y202" s="156">
        <f t="shared" si="87"/>
        <v>1708.9306666667151</v>
      </c>
      <c r="Z202" s="156">
        <f t="shared" si="88"/>
        <v>5019.9838333332846</v>
      </c>
      <c r="AA202" s="197">
        <f t="shared" si="97"/>
        <v>2014.0833333333333</v>
      </c>
      <c r="AB202" s="197">
        <f t="shared" si="90"/>
        <v>2016.75</v>
      </c>
      <c r="AC202" s="161">
        <f t="shared" si="91"/>
        <v>2025.0833333333333</v>
      </c>
      <c r="AD202" s="197">
        <f t="shared" si="92"/>
        <v>2015.75</v>
      </c>
      <c r="AE202" s="197">
        <f t="shared" si="93"/>
        <v>-8.3333333333333329E-2</v>
      </c>
      <c r="AF202" s="197">
        <f t="shared" si="98"/>
        <v>2024.0833333333333</v>
      </c>
      <c r="AG202" s="181">
        <f t="shared" si="95"/>
        <v>2015.75</v>
      </c>
      <c r="AH202" s="181">
        <f t="shared" si="96"/>
        <v>-8.3333333333333329E-2</v>
      </c>
      <c r="AI202" s="156"/>
      <c r="AJ202" s="156"/>
      <c r="AK202" s="156"/>
      <c r="AL202" s="156"/>
    </row>
    <row r="203" spans="1:38" x14ac:dyDescent="0.25">
      <c r="A203" s="163" t="s">
        <v>768</v>
      </c>
      <c r="B203" s="156" t="s">
        <v>589</v>
      </c>
      <c r="C203" s="193" t="s">
        <v>769</v>
      </c>
      <c r="D203" s="182">
        <v>2015</v>
      </c>
      <c r="E203" s="161">
        <v>4</v>
      </c>
      <c r="F203" s="183"/>
      <c r="G203" s="166" t="s">
        <v>452</v>
      </c>
      <c r="H203" s="156">
        <v>10</v>
      </c>
      <c r="I203" s="182">
        <f t="shared" si="77"/>
        <v>2025</v>
      </c>
      <c r="J203" s="156"/>
      <c r="K203" s="156"/>
      <c r="L203" s="229">
        <v>5418.05</v>
      </c>
      <c r="M203" s="156"/>
      <c r="N203" s="156">
        <f t="shared" si="78"/>
        <v>5418.05</v>
      </c>
      <c r="O203" s="156">
        <f t="shared" si="79"/>
        <v>45.150416666666672</v>
      </c>
      <c r="P203" s="156">
        <f t="shared" si="80"/>
        <v>541.80500000000006</v>
      </c>
      <c r="Q203" s="156">
        <f t="shared" si="81"/>
        <v>0</v>
      </c>
      <c r="R203" s="156">
        <f t="shared" si="82"/>
        <v>541.80500000000006</v>
      </c>
      <c r="S203" s="156">
        <v>1</v>
      </c>
      <c r="T203" s="156">
        <f t="shared" si="83"/>
        <v>541.80500000000006</v>
      </c>
      <c r="U203" s="156">
        <f t="shared" si="84"/>
        <v>812.7075000000001</v>
      </c>
      <c r="V203" s="156">
        <f t="shared" si="85"/>
        <v>812.7075000000001</v>
      </c>
      <c r="W203" s="156">
        <v>1</v>
      </c>
      <c r="X203" s="156">
        <f t="shared" si="86"/>
        <v>812.7075000000001</v>
      </c>
      <c r="Y203" s="156">
        <f t="shared" si="87"/>
        <v>1354.5125000000003</v>
      </c>
      <c r="Z203" s="156">
        <f t="shared" si="88"/>
        <v>4334.4399999999996</v>
      </c>
      <c r="AA203" s="197">
        <f t="shared" si="97"/>
        <v>2014.25</v>
      </c>
      <c r="AB203" s="197">
        <f t="shared" si="90"/>
        <v>2016.75</v>
      </c>
      <c r="AC203" s="161">
        <f t="shared" si="91"/>
        <v>2025.25</v>
      </c>
      <c r="AD203" s="197">
        <f t="shared" si="92"/>
        <v>2015.75</v>
      </c>
      <c r="AE203" s="197">
        <f t="shared" si="93"/>
        <v>-8.3333333333333329E-2</v>
      </c>
      <c r="AF203" s="197">
        <f t="shared" si="98"/>
        <v>2024.25</v>
      </c>
      <c r="AG203" s="181">
        <f t="shared" si="95"/>
        <v>2015.75</v>
      </c>
      <c r="AH203" s="181">
        <f t="shared" si="96"/>
        <v>-8.3333333333333329E-2</v>
      </c>
      <c r="AI203" s="156"/>
      <c r="AJ203" s="156"/>
      <c r="AK203" s="156"/>
      <c r="AL203" s="156"/>
    </row>
    <row r="204" spans="1:38" x14ac:dyDescent="0.25">
      <c r="A204" s="203" t="s">
        <v>770</v>
      </c>
      <c r="B204" s="156" t="s">
        <v>589</v>
      </c>
      <c r="C204" s="193" t="s">
        <v>771</v>
      </c>
      <c r="D204" s="182">
        <v>2015</v>
      </c>
      <c r="E204" s="161">
        <v>4</v>
      </c>
      <c r="F204" s="183"/>
      <c r="G204" s="166" t="s">
        <v>452</v>
      </c>
      <c r="H204" s="156">
        <v>10</v>
      </c>
      <c r="I204" s="182">
        <f t="shared" si="77"/>
        <v>2025</v>
      </c>
      <c r="J204" s="156"/>
      <c r="K204" s="156"/>
      <c r="L204" s="229">
        <v>7114.39</v>
      </c>
      <c r="M204" s="156"/>
      <c r="N204" s="156">
        <f t="shared" si="78"/>
        <v>7114.39</v>
      </c>
      <c r="O204" s="156">
        <f t="shared" si="79"/>
        <v>59.28658333333334</v>
      </c>
      <c r="P204" s="156">
        <f t="shared" si="80"/>
        <v>711.43900000000008</v>
      </c>
      <c r="Q204" s="156">
        <f t="shared" si="81"/>
        <v>0</v>
      </c>
      <c r="R204" s="156">
        <f t="shared" si="82"/>
        <v>711.43900000000008</v>
      </c>
      <c r="S204" s="156">
        <v>1</v>
      </c>
      <c r="T204" s="156">
        <f t="shared" si="83"/>
        <v>711.43900000000008</v>
      </c>
      <c r="U204" s="156">
        <f t="shared" si="84"/>
        <v>1067.1585</v>
      </c>
      <c r="V204" s="156">
        <f t="shared" si="85"/>
        <v>1067.1585</v>
      </c>
      <c r="W204" s="156">
        <v>1</v>
      </c>
      <c r="X204" s="156">
        <f t="shared" si="86"/>
        <v>1067.1585</v>
      </c>
      <c r="Y204" s="156">
        <f t="shared" si="87"/>
        <v>1778.5975000000001</v>
      </c>
      <c r="Z204" s="156">
        <f t="shared" si="88"/>
        <v>5691.5120000000006</v>
      </c>
      <c r="AA204" s="197">
        <f t="shared" si="97"/>
        <v>2014.25</v>
      </c>
      <c r="AB204" s="197">
        <f t="shared" si="90"/>
        <v>2016.75</v>
      </c>
      <c r="AC204" s="161">
        <f t="shared" si="91"/>
        <v>2025.25</v>
      </c>
      <c r="AD204" s="197">
        <f t="shared" si="92"/>
        <v>2015.75</v>
      </c>
      <c r="AE204" s="197">
        <f t="shared" si="93"/>
        <v>-8.3333333333333329E-2</v>
      </c>
      <c r="AF204" s="197">
        <f t="shared" si="98"/>
        <v>2024.25</v>
      </c>
      <c r="AG204" s="181">
        <f t="shared" si="95"/>
        <v>2015.75</v>
      </c>
      <c r="AH204" s="181">
        <f t="shared" si="96"/>
        <v>-8.3333333333333329E-2</v>
      </c>
      <c r="AI204" s="156"/>
      <c r="AJ204" s="156"/>
      <c r="AK204" s="156"/>
      <c r="AL204" s="156"/>
    </row>
    <row r="205" spans="1:38" x14ac:dyDescent="0.25">
      <c r="A205" s="163" t="s">
        <v>772</v>
      </c>
      <c r="B205" s="156" t="s">
        <v>589</v>
      </c>
      <c r="C205" s="193" t="s">
        <v>773</v>
      </c>
      <c r="D205" s="182">
        <v>2015</v>
      </c>
      <c r="E205" s="161">
        <v>4</v>
      </c>
      <c r="F205" s="183"/>
      <c r="G205" s="166" t="s">
        <v>452</v>
      </c>
      <c r="H205" s="156">
        <v>10</v>
      </c>
      <c r="I205" s="182">
        <f t="shared" si="77"/>
        <v>2025</v>
      </c>
      <c r="J205" s="156"/>
      <c r="K205" s="156"/>
      <c r="L205" s="229">
        <v>6700.62</v>
      </c>
      <c r="M205" s="156"/>
      <c r="N205" s="156">
        <f t="shared" si="78"/>
        <v>6700.62</v>
      </c>
      <c r="O205" s="156">
        <f t="shared" si="79"/>
        <v>55.838500000000003</v>
      </c>
      <c r="P205" s="156">
        <f t="shared" si="80"/>
        <v>670.06200000000001</v>
      </c>
      <c r="Q205" s="156">
        <f t="shared" si="81"/>
        <v>0</v>
      </c>
      <c r="R205" s="156">
        <f t="shared" si="82"/>
        <v>670.06200000000001</v>
      </c>
      <c r="S205" s="156">
        <v>1</v>
      </c>
      <c r="T205" s="156">
        <f t="shared" si="83"/>
        <v>670.06200000000001</v>
      </c>
      <c r="U205" s="156">
        <f t="shared" si="84"/>
        <v>1005.0930000000001</v>
      </c>
      <c r="V205" s="156">
        <f t="shared" si="85"/>
        <v>1005.0930000000001</v>
      </c>
      <c r="W205" s="156">
        <v>1</v>
      </c>
      <c r="X205" s="156">
        <f t="shared" si="86"/>
        <v>1005.0930000000001</v>
      </c>
      <c r="Y205" s="156">
        <f t="shared" si="87"/>
        <v>1675.1550000000002</v>
      </c>
      <c r="Z205" s="156">
        <f t="shared" si="88"/>
        <v>5360.4960000000001</v>
      </c>
      <c r="AA205" s="197">
        <f t="shared" si="97"/>
        <v>2014.25</v>
      </c>
      <c r="AB205" s="197">
        <f t="shared" si="90"/>
        <v>2016.75</v>
      </c>
      <c r="AC205" s="161">
        <f t="shared" si="91"/>
        <v>2025.25</v>
      </c>
      <c r="AD205" s="197">
        <f t="shared" si="92"/>
        <v>2015.75</v>
      </c>
      <c r="AE205" s="197">
        <f t="shared" si="93"/>
        <v>-8.3333333333333329E-2</v>
      </c>
      <c r="AF205" s="197">
        <f t="shared" si="98"/>
        <v>2024.25</v>
      </c>
      <c r="AG205" s="181">
        <f t="shared" si="95"/>
        <v>2015.75</v>
      </c>
      <c r="AH205" s="181">
        <f t="shared" si="96"/>
        <v>-8.3333333333333329E-2</v>
      </c>
      <c r="AI205" s="156"/>
      <c r="AJ205" s="156"/>
      <c r="AK205" s="156"/>
      <c r="AL205" s="156"/>
    </row>
    <row r="206" spans="1:38" x14ac:dyDescent="0.25">
      <c r="A206" s="163" t="s">
        <v>774</v>
      </c>
      <c r="B206" s="156" t="s">
        <v>589</v>
      </c>
      <c r="C206" s="193" t="s">
        <v>775</v>
      </c>
      <c r="D206" s="182">
        <v>2015</v>
      </c>
      <c r="E206" s="161">
        <v>4</v>
      </c>
      <c r="F206" s="183"/>
      <c r="G206" s="166" t="s">
        <v>452</v>
      </c>
      <c r="H206" s="156">
        <v>10</v>
      </c>
      <c r="I206" s="182">
        <f t="shared" si="77"/>
        <v>2025</v>
      </c>
      <c r="J206" s="156"/>
      <c r="K206" s="156"/>
      <c r="L206" s="229">
        <v>4981.4799999999996</v>
      </c>
      <c r="M206" s="156"/>
      <c r="N206" s="156">
        <f t="shared" si="78"/>
        <v>4981.4799999999996</v>
      </c>
      <c r="O206" s="156">
        <f t="shared" si="79"/>
        <v>41.512333333333331</v>
      </c>
      <c r="P206" s="156">
        <f t="shared" si="80"/>
        <v>498.14799999999997</v>
      </c>
      <c r="Q206" s="156">
        <f t="shared" si="81"/>
        <v>0</v>
      </c>
      <c r="R206" s="156">
        <f t="shared" si="82"/>
        <v>498.14799999999997</v>
      </c>
      <c r="S206" s="156">
        <v>1</v>
      </c>
      <c r="T206" s="156">
        <f t="shared" si="83"/>
        <v>498.14799999999997</v>
      </c>
      <c r="U206" s="156">
        <f t="shared" si="84"/>
        <v>747.22199999999998</v>
      </c>
      <c r="V206" s="156">
        <f t="shared" si="85"/>
        <v>747.22199999999998</v>
      </c>
      <c r="W206" s="156">
        <v>1</v>
      </c>
      <c r="X206" s="156">
        <f t="shared" si="86"/>
        <v>747.22199999999998</v>
      </c>
      <c r="Y206" s="156">
        <f t="shared" si="87"/>
        <v>1245.3699999999999</v>
      </c>
      <c r="Z206" s="156">
        <f t="shared" si="88"/>
        <v>3985.1839999999997</v>
      </c>
      <c r="AA206" s="197">
        <f t="shared" si="97"/>
        <v>2014.25</v>
      </c>
      <c r="AB206" s="197">
        <f t="shared" si="90"/>
        <v>2016.75</v>
      </c>
      <c r="AC206" s="161">
        <f t="shared" si="91"/>
        <v>2025.25</v>
      </c>
      <c r="AD206" s="197">
        <f t="shared" si="92"/>
        <v>2015.75</v>
      </c>
      <c r="AE206" s="197">
        <f t="shared" si="93"/>
        <v>-8.3333333333333329E-2</v>
      </c>
      <c r="AF206" s="197">
        <f t="shared" si="98"/>
        <v>2024.25</v>
      </c>
      <c r="AG206" s="181">
        <f t="shared" si="95"/>
        <v>2015.75</v>
      </c>
      <c r="AH206" s="181">
        <f t="shared" si="96"/>
        <v>-8.3333333333333329E-2</v>
      </c>
      <c r="AI206" s="156"/>
      <c r="AJ206" s="156"/>
      <c r="AK206" s="156"/>
      <c r="AL206" s="156"/>
    </row>
    <row r="207" spans="1:38" x14ac:dyDescent="0.25">
      <c r="A207" s="163" t="s">
        <v>776</v>
      </c>
      <c r="B207" s="156" t="s">
        <v>589</v>
      </c>
      <c r="C207" s="193" t="s">
        <v>777</v>
      </c>
      <c r="D207" s="182">
        <v>2015</v>
      </c>
      <c r="E207" s="161">
        <v>4</v>
      </c>
      <c r="F207" s="183"/>
      <c r="G207" s="166" t="s">
        <v>452</v>
      </c>
      <c r="H207" s="156">
        <v>10</v>
      </c>
      <c r="I207" s="182">
        <f t="shared" si="77"/>
        <v>2025</v>
      </c>
      <c r="J207" s="156"/>
      <c r="K207" s="156"/>
      <c r="L207" s="229">
        <v>6179.34</v>
      </c>
      <c r="M207" s="156"/>
      <c r="N207" s="156">
        <f t="shared" si="78"/>
        <v>6179.34</v>
      </c>
      <c r="O207" s="156">
        <f t="shared" si="79"/>
        <v>51.494499999999995</v>
      </c>
      <c r="P207" s="156">
        <f t="shared" si="80"/>
        <v>617.93399999999997</v>
      </c>
      <c r="Q207" s="156">
        <f t="shared" si="81"/>
        <v>0</v>
      </c>
      <c r="R207" s="156">
        <f t="shared" si="82"/>
        <v>617.93399999999997</v>
      </c>
      <c r="S207" s="156">
        <v>1</v>
      </c>
      <c r="T207" s="156">
        <f t="shared" si="83"/>
        <v>617.93399999999997</v>
      </c>
      <c r="U207" s="156">
        <f t="shared" si="84"/>
        <v>926.90099999999995</v>
      </c>
      <c r="V207" s="156">
        <f t="shared" si="85"/>
        <v>926.90099999999995</v>
      </c>
      <c r="W207" s="156">
        <v>1</v>
      </c>
      <c r="X207" s="156">
        <f t="shared" si="86"/>
        <v>926.90099999999995</v>
      </c>
      <c r="Y207" s="156">
        <f t="shared" si="87"/>
        <v>1544.835</v>
      </c>
      <c r="Z207" s="156">
        <f t="shared" si="88"/>
        <v>4943.4719999999998</v>
      </c>
      <c r="AA207" s="197">
        <f t="shared" si="97"/>
        <v>2014.25</v>
      </c>
      <c r="AB207" s="197">
        <f t="shared" si="90"/>
        <v>2016.75</v>
      </c>
      <c r="AC207" s="161">
        <f t="shared" si="91"/>
        <v>2025.25</v>
      </c>
      <c r="AD207" s="197">
        <f t="shared" si="92"/>
        <v>2015.75</v>
      </c>
      <c r="AE207" s="197">
        <f t="shared" si="93"/>
        <v>-8.3333333333333329E-2</v>
      </c>
      <c r="AF207" s="197">
        <f t="shared" si="98"/>
        <v>2024.25</v>
      </c>
      <c r="AG207" s="181">
        <f t="shared" si="95"/>
        <v>2015.75</v>
      </c>
      <c r="AH207" s="181">
        <f t="shared" si="96"/>
        <v>-8.3333333333333329E-2</v>
      </c>
      <c r="AI207" s="156"/>
      <c r="AJ207" s="156"/>
      <c r="AK207" s="156"/>
      <c r="AL207" s="156"/>
    </row>
    <row r="208" spans="1:38" x14ac:dyDescent="0.25">
      <c r="A208" s="203" t="s">
        <v>778</v>
      </c>
      <c r="B208" s="156" t="s">
        <v>589</v>
      </c>
      <c r="C208" s="193" t="s">
        <v>779</v>
      </c>
      <c r="D208" s="182">
        <v>2015</v>
      </c>
      <c r="E208" s="161">
        <v>4</v>
      </c>
      <c r="F208" s="183"/>
      <c r="G208" s="166" t="s">
        <v>452</v>
      </c>
      <c r="H208" s="156">
        <v>10</v>
      </c>
      <c r="I208" s="182">
        <f t="shared" si="77"/>
        <v>2025</v>
      </c>
      <c r="J208" s="156"/>
      <c r="K208" s="156"/>
      <c r="L208" s="229">
        <v>7710.6</v>
      </c>
      <c r="M208" s="156"/>
      <c r="N208" s="156">
        <f t="shared" si="78"/>
        <v>7710.6</v>
      </c>
      <c r="O208" s="156">
        <f t="shared" si="79"/>
        <v>64.25500000000001</v>
      </c>
      <c r="P208" s="156">
        <f t="shared" si="80"/>
        <v>771.06000000000017</v>
      </c>
      <c r="Q208" s="156">
        <f t="shared" si="81"/>
        <v>0</v>
      </c>
      <c r="R208" s="156">
        <f t="shared" si="82"/>
        <v>771.06000000000017</v>
      </c>
      <c r="S208" s="156">
        <v>1</v>
      </c>
      <c r="T208" s="156">
        <f t="shared" si="83"/>
        <v>771.06000000000017</v>
      </c>
      <c r="U208" s="156">
        <f t="shared" si="84"/>
        <v>1156.5900000000001</v>
      </c>
      <c r="V208" s="156">
        <f t="shared" si="85"/>
        <v>1156.5900000000001</v>
      </c>
      <c r="W208" s="156">
        <v>1</v>
      </c>
      <c r="X208" s="156">
        <f t="shared" si="86"/>
        <v>1156.5900000000001</v>
      </c>
      <c r="Y208" s="156">
        <f t="shared" si="87"/>
        <v>1927.6500000000003</v>
      </c>
      <c r="Z208" s="156">
        <f t="shared" si="88"/>
        <v>6168.48</v>
      </c>
      <c r="AA208" s="197">
        <f t="shared" si="97"/>
        <v>2014.25</v>
      </c>
      <c r="AB208" s="197">
        <f t="shared" si="90"/>
        <v>2016.75</v>
      </c>
      <c r="AC208" s="161">
        <f t="shared" si="91"/>
        <v>2025.25</v>
      </c>
      <c r="AD208" s="197">
        <f t="shared" si="92"/>
        <v>2015.75</v>
      </c>
      <c r="AE208" s="197">
        <f t="shared" si="93"/>
        <v>-8.3333333333333329E-2</v>
      </c>
      <c r="AF208" s="197">
        <f t="shared" si="98"/>
        <v>2024.25</v>
      </c>
      <c r="AG208" s="181">
        <f t="shared" si="95"/>
        <v>2015.75</v>
      </c>
      <c r="AH208" s="181">
        <f t="shared" si="96"/>
        <v>-8.3333333333333329E-2</v>
      </c>
      <c r="AI208" s="156"/>
      <c r="AJ208" s="156"/>
      <c r="AK208" s="156"/>
      <c r="AL208" s="156"/>
    </row>
    <row r="209" spans="1:38" x14ac:dyDescent="0.25">
      <c r="A209" s="163" t="s">
        <v>780</v>
      </c>
      <c r="B209" s="156" t="s">
        <v>589</v>
      </c>
      <c r="C209" s="193" t="s">
        <v>781</v>
      </c>
      <c r="D209" s="182">
        <v>2015</v>
      </c>
      <c r="E209" s="161">
        <v>4</v>
      </c>
      <c r="F209" s="183"/>
      <c r="G209" s="166" t="s">
        <v>452</v>
      </c>
      <c r="H209" s="156">
        <v>10</v>
      </c>
      <c r="I209" s="182">
        <f t="shared" si="77"/>
        <v>2025</v>
      </c>
      <c r="J209" s="156"/>
      <c r="K209" s="156"/>
      <c r="L209" s="229">
        <v>5712.36</v>
      </c>
      <c r="M209" s="156"/>
      <c r="N209" s="156">
        <f t="shared" si="78"/>
        <v>5712.36</v>
      </c>
      <c r="O209" s="156">
        <f t="shared" si="79"/>
        <v>47.603000000000002</v>
      </c>
      <c r="P209" s="156">
        <f t="shared" si="80"/>
        <v>571.23599999999999</v>
      </c>
      <c r="Q209" s="156">
        <f t="shared" si="81"/>
        <v>0</v>
      </c>
      <c r="R209" s="156">
        <f t="shared" si="82"/>
        <v>571.23599999999999</v>
      </c>
      <c r="S209" s="156">
        <v>1</v>
      </c>
      <c r="T209" s="156">
        <f t="shared" si="83"/>
        <v>571.23599999999999</v>
      </c>
      <c r="U209" s="156">
        <f t="shared" si="84"/>
        <v>856.85400000000004</v>
      </c>
      <c r="V209" s="156">
        <f t="shared" si="85"/>
        <v>856.85400000000004</v>
      </c>
      <c r="W209" s="156">
        <v>1</v>
      </c>
      <c r="X209" s="156">
        <f t="shared" si="86"/>
        <v>856.85400000000004</v>
      </c>
      <c r="Y209" s="156">
        <f t="shared" si="87"/>
        <v>1428.0900000000001</v>
      </c>
      <c r="Z209" s="156">
        <f t="shared" si="88"/>
        <v>4569.887999999999</v>
      </c>
      <c r="AA209" s="197">
        <f t="shared" si="97"/>
        <v>2014.25</v>
      </c>
      <c r="AB209" s="197">
        <f t="shared" si="90"/>
        <v>2016.75</v>
      </c>
      <c r="AC209" s="161">
        <f t="shared" si="91"/>
        <v>2025.25</v>
      </c>
      <c r="AD209" s="197">
        <f t="shared" si="92"/>
        <v>2015.75</v>
      </c>
      <c r="AE209" s="197">
        <f t="shared" si="93"/>
        <v>-8.3333333333333329E-2</v>
      </c>
      <c r="AF209" s="197">
        <f t="shared" si="98"/>
        <v>2024.25</v>
      </c>
      <c r="AG209" s="181">
        <f t="shared" si="95"/>
        <v>2015.75</v>
      </c>
      <c r="AH209" s="181">
        <f t="shared" si="96"/>
        <v>-8.3333333333333329E-2</v>
      </c>
      <c r="AI209" s="156"/>
      <c r="AJ209" s="156"/>
      <c r="AK209" s="156"/>
      <c r="AL209" s="156"/>
    </row>
    <row r="210" spans="1:38" x14ac:dyDescent="0.25">
      <c r="A210" s="203" t="s">
        <v>782</v>
      </c>
      <c r="B210" s="156" t="s">
        <v>589</v>
      </c>
      <c r="C210" s="193" t="s">
        <v>773</v>
      </c>
      <c r="D210" s="182">
        <v>2015</v>
      </c>
      <c r="E210" s="161">
        <v>4</v>
      </c>
      <c r="F210" s="183"/>
      <c r="G210" s="166" t="s">
        <v>452</v>
      </c>
      <c r="H210" s="156">
        <v>10</v>
      </c>
      <c r="I210" s="182">
        <f t="shared" si="77"/>
        <v>2025</v>
      </c>
      <c r="J210" s="156"/>
      <c r="K210" s="156"/>
      <c r="L210" s="229">
        <v>1303.2</v>
      </c>
      <c r="M210" s="156"/>
      <c r="N210" s="156">
        <f t="shared" si="78"/>
        <v>1303.2</v>
      </c>
      <c r="O210" s="156">
        <f t="shared" si="79"/>
        <v>10.86</v>
      </c>
      <c r="P210" s="156">
        <f t="shared" si="80"/>
        <v>130.32</v>
      </c>
      <c r="Q210" s="156">
        <f t="shared" si="81"/>
        <v>0</v>
      </c>
      <c r="R210" s="156">
        <f t="shared" si="82"/>
        <v>130.32</v>
      </c>
      <c r="S210" s="156">
        <v>1</v>
      </c>
      <c r="T210" s="156">
        <f t="shared" si="83"/>
        <v>130.32</v>
      </c>
      <c r="U210" s="156">
        <f t="shared" si="84"/>
        <v>195.48</v>
      </c>
      <c r="V210" s="156">
        <f t="shared" si="85"/>
        <v>195.48</v>
      </c>
      <c r="W210" s="156">
        <v>1</v>
      </c>
      <c r="X210" s="156">
        <f t="shared" si="86"/>
        <v>195.48</v>
      </c>
      <c r="Y210" s="156">
        <f t="shared" si="87"/>
        <v>325.79999999999995</v>
      </c>
      <c r="Z210" s="156">
        <f t="shared" si="88"/>
        <v>1042.56</v>
      </c>
      <c r="AA210" s="197">
        <f t="shared" si="97"/>
        <v>2014.25</v>
      </c>
      <c r="AB210" s="197">
        <f t="shared" si="90"/>
        <v>2016.75</v>
      </c>
      <c r="AC210" s="161">
        <f t="shared" si="91"/>
        <v>2025.25</v>
      </c>
      <c r="AD210" s="197">
        <f t="shared" si="92"/>
        <v>2015.75</v>
      </c>
      <c r="AE210" s="197">
        <f t="shared" si="93"/>
        <v>-8.3333333333333329E-2</v>
      </c>
      <c r="AF210" s="197">
        <f t="shared" si="98"/>
        <v>2024.25</v>
      </c>
      <c r="AG210" s="181">
        <f t="shared" si="95"/>
        <v>2015.75</v>
      </c>
      <c r="AH210" s="181">
        <f t="shared" si="96"/>
        <v>-8.3333333333333329E-2</v>
      </c>
      <c r="AI210" s="156"/>
      <c r="AJ210" s="156"/>
      <c r="AK210" s="156"/>
      <c r="AL210" s="156"/>
    </row>
    <row r="211" spans="1:38" x14ac:dyDescent="0.25">
      <c r="A211" s="203" t="s">
        <v>783</v>
      </c>
      <c r="B211" s="156" t="s">
        <v>589</v>
      </c>
      <c r="C211" s="193" t="s">
        <v>784</v>
      </c>
      <c r="D211" s="182">
        <v>2015</v>
      </c>
      <c r="E211" s="161">
        <v>4</v>
      </c>
      <c r="F211" s="183"/>
      <c r="G211" s="166" t="s">
        <v>452</v>
      </c>
      <c r="H211" s="156">
        <v>10</v>
      </c>
      <c r="I211" s="182">
        <f t="shared" si="77"/>
        <v>2025</v>
      </c>
      <c r="J211" s="156"/>
      <c r="K211" s="156"/>
      <c r="L211" s="229">
        <v>10860</v>
      </c>
      <c r="M211" s="156"/>
      <c r="N211" s="156">
        <f t="shared" si="78"/>
        <v>10860</v>
      </c>
      <c r="O211" s="156">
        <f t="shared" si="79"/>
        <v>90.5</v>
      </c>
      <c r="P211" s="156">
        <f t="shared" si="80"/>
        <v>1086</v>
      </c>
      <c r="Q211" s="156">
        <f t="shared" si="81"/>
        <v>0</v>
      </c>
      <c r="R211" s="156">
        <f t="shared" si="82"/>
        <v>1086</v>
      </c>
      <c r="S211" s="156">
        <v>1</v>
      </c>
      <c r="T211" s="156">
        <f t="shared" si="83"/>
        <v>1086</v>
      </c>
      <c r="U211" s="156">
        <f t="shared" si="84"/>
        <v>1629</v>
      </c>
      <c r="V211" s="156">
        <f t="shared" si="85"/>
        <v>1629</v>
      </c>
      <c r="W211" s="156">
        <v>1</v>
      </c>
      <c r="X211" s="156">
        <f t="shared" si="86"/>
        <v>1629</v>
      </c>
      <c r="Y211" s="156">
        <f t="shared" si="87"/>
        <v>2715</v>
      </c>
      <c r="Z211" s="156">
        <f t="shared" si="88"/>
        <v>8688</v>
      </c>
      <c r="AA211" s="197">
        <f t="shared" si="97"/>
        <v>2014.25</v>
      </c>
      <c r="AB211" s="197">
        <f t="shared" si="90"/>
        <v>2016.75</v>
      </c>
      <c r="AC211" s="161">
        <f t="shared" si="91"/>
        <v>2025.25</v>
      </c>
      <c r="AD211" s="197">
        <f t="shared" si="92"/>
        <v>2015.75</v>
      </c>
      <c r="AE211" s="197">
        <f t="shared" si="93"/>
        <v>-8.3333333333333329E-2</v>
      </c>
      <c r="AF211" s="197">
        <f t="shared" si="98"/>
        <v>2024.25</v>
      </c>
      <c r="AG211" s="181">
        <f t="shared" si="95"/>
        <v>2015.75</v>
      </c>
      <c r="AH211" s="181">
        <f t="shared" si="96"/>
        <v>-8.3333333333333329E-2</v>
      </c>
      <c r="AI211" s="156"/>
      <c r="AJ211" s="156"/>
      <c r="AK211" s="156"/>
      <c r="AL211" s="156"/>
    </row>
    <row r="212" spans="1:38" x14ac:dyDescent="0.25">
      <c r="A212" s="163" t="s">
        <v>785</v>
      </c>
      <c r="B212" s="156" t="s">
        <v>589</v>
      </c>
      <c r="C212" s="193" t="s">
        <v>775</v>
      </c>
      <c r="D212" s="182">
        <v>2015</v>
      </c>
      <c r="E212" s="161">
        <v>4</v>
      </c>
      <c r="F212" s="183"/>
      <c r="G212" s="166" t="s">
        <v>452</v>
      </c>
      <c r="H212" s="156">
        <v>10</v>
      </c>
      <c r="I212" s="182">
        <f t="shared" si="77"/>
        <v>2025</v>
      </c>
      <c r="J212" s="156"/>
      <c r="K212" s="156"/>
      <c r="L212" s="229">
        <v>2063.4</v>
      </c>
      <c r="M212" s="221"/>
      <c r="N212" s="221">
        <f t="shared" si="78"/>
        <v>2063.4</v>
      </c>
      <c r="O212" s="221">
        <f t="shared" si="79"/>
        <v>17.195</v>
      </c>
      <c r="P212" s="221">
        <f t="shared" si="80"/>
        <v>206.34</v>
      </c>
      <c r="Q212" s="221">
        <f t="shared" si="81"/>
        <v>0</v>
      </c>
      <c r="R212" s="221">
        <f t="shared" si="82"/>
        <v>206.34</v>
      </c>
      <c r="S212" s="221">
        <v>1</v>
      </c>
      <c r="T212" s="221">
        <f t="shared" si="83"/>
        <v>206.34</v>
      </c>
      <c r="U212" s="221">
        <f t="shared" si="84"/>
        <v>309.51</v>
      </c>
      <c r="V212" s="221">
        <f t="shared" si="85"/>
        <v>309.51</v>
      </c>
      <c r="W212" s="221">
        <v>1</v>
      </c>
      <c r="X212" s="221">
        <f t="shared" si="86"/>
        <v>309.51</v>
      </c>
      <c r="Y212" s="221">
        <f t="shared" si="87"/>
        <v>515.85</v>
      </c>
      <c r="Z212" s="221">
        <f t="shared" si="88"/>
        <v>1650.7200000000003</v>
      </c>
      <c r="AA212" s="197">
        <f t="shared" si="97"/>
        <v>2014.25</v>
      </c>
      <c r="AB212" s="197">
        <f t="shared" si="90"/>
        <v>2016.75</v>
      </c>
      <c r="AC212" s="161">
        <f t="shared" si="91"/>
        <v>2025.25</v>
      </c>
      <c r="AD212" s="197">
        <f t="shared" si="92"/>
        <v>2015.75</v>
      </c>
      <c r="AE212" s="197">
        <f t="shared" si="93"/>
        <v>-8.3333333333333329E-2</v>
      </c>
      <c r="AF212" s="197">
        <f t="shared" si="98"/>
        <v>2024.25</v>
      </c>
      <c r="AG212" s="181">
        <f t="shared" si="95"/>
        <v>2015.75</v>
      </c>
      <c r="AH212" s="181">
        <f t="shared" si="96"/>
        <v>-8.3333333333333329E-2</v>
      </c>
      <c r="AI212" s="156"/>
      <c r="AJ212" s="156"/>
      <c r="AK212" s="156"/>
      <c r="AL212" s="156"/>
    </row>
    <row r="213" spans="1:38" x14ac:dyDescent="0.25">
      <c r="A213" s="163" t="s">
        <v>786</v>
      </c>
      <c r="B213" s="156" t="s">
        <v>589</v>
      </c>
      <c r="C213" s="193" t="s">
        <v>777</v>
      </c>
      <c r="D213" s="182">
        <v>2015</v>
      </c>
      <c r="E213" s="161">
        <v>4</v>
      </c>
      <c r="F213" s="183"/>
      <c r="G213" s="166" t="s">
        <v>452</v>
      </c>
      <c r="H213" s="156">
        <v>10</v>
      </c>
      <c r="I213" s="182">
        <f t="shared" si="77"/>
        <v>2025</v>
      </c>
      <c r="J213" s="156"/>
      <c r="K213" s="156"/>
      <c r="L213" s="229">
        <v>6135.9</v>
      </c>
      <c r="M213" s="221"/>
      <c r="N213" s="221">
        <f t="shared" si="78"/>
        <v>6135.9</v>
      </c>
      <c r="O213" s="221">
        <f t="shared" si="79"/>
        <v>51.132499999999993</v>
      </c>
      <c r="P213" s="221">
        <f t="shared" si="80"/>
        <v>613.58999999999992</v>
      </c>
      <c r="Q213" s="221">
        <f t="shared" si="81"/>
        <v>0</v>
      </c>
      <c r="R213" s="221">
        <f t="shared" si="82"/>
        <v>613.58999999999992</v>
      </c>
      <c r="S213" s="221">
        <v>1</v>
      </c>
      <c r="T213" s="221">
        <f t="shared" si="83"/>
        <v>613.58999999999992</v>
      </c>
      <c r="U213" s="221">
        <f t="shared" si="84"/>
        <v>920.38499999999988</v>
      </c>
      <c r="V213" s="221">
        <f t="shared" si="85"/>
        <v>920.38499999999988</v>
      </c>
      <c r="W213" s="221">
        <v>1</v>
      </c>
      <c r="X213" s="221">
        <f t="shared" si="86"/>
        <v>920.38499999999988</v>
      </c>
      <c r="Y213" s="221">
        <f t="shared" si="87"/>
        <v>1533.9749999999999</v>
      </c>
      <c r="Z213" s="221">
        <f t="shared" si="88"/>
        <v>4908.7199999999993</v>
      </c>
      <c r="AA213" s="197">
        <f t="shared" si="97"/>
        <v>2014.25</v>
      </c>
      <c r="AB213" s="197">
        <f t="shared" si="90"/>
        <v>2016.75</v>
      </c>
      <c r="AC213" s="161">
        <f t="shared" si="91"/>
        <v>2025.25</v>
      </c>
      <c r="AD213" s="197">
        <f t="shared" si="92"/>
        <v>2015.75</v>
      </c>
      <c r="AE213" s="197">
        <f t="shared" si="93"/>
        <v>-8.3333333333333329E-2</v>
      </c>
      <c r="AF213" s="197">
        <f t="shared" si="98"/>
        <v>2024.25</v>
      </c>
      <c r="AG213" s="181">
        <f t="shared" si="95"/>
        <v>2015.75</v>
      </c>
      <c r="AH213" s="181">
        <f t="shared" si="96"/>
        <v>-8.3333333333333329E-2</v>
      </c>
      <c r="AI213" s="156"/>
      <c r="AJ213" s="156"/>
      <c r="AK213" s="156"/>
      <c r="AL213" s="156"/>
    </row>
    <row r="214" spans="1:38" x14ac:dyDescent="0.25">
      <c r="A214" s="163" t="s">
        <v>787</v>
      </c>
      <c r="B214" s="156" t="s">
        <v>589</v>
      </c>
      <c r="C214" s="193" t="s">
        <v>788</v>
      </c>
      <c r="D214" s="182">
        <v>2015</v>
      </c>
      <c r="E214" s="161">
        <v>4</v>
      </c>
      <c r="F214" s="183"/>
      <c r="G214" s="166" t="s">
        <v>452</v>
      </c>
      <c r="H214" s="156">
        <v>10</v>
      </c>
      <c r="I214" s="182">
        <f t="shared" si="77"/>
        <v>2025</v>
      </c>
      <c r="J214" s="156"/>
      <c r="K214" s="156"/>
      <c r="L214" s="229">
        <v>8470.7999999999993</v>
      </c>
      <c r="M214" s="156"/>
      <c r="N214" s="156">
        <f t="shared" si="78"/>
        <v>8470.7999999999993</v>
      </c>
      <c r="O214" s="156">
        <f t="shared" si="79"/>
        <v>70.589999999999989</v>
      </c>
      <c r="P214" s="156">
        <f t="shared" si="80"/>
        <v>847.07999999999993</v>
      </c>
      <c r="Q214" s="156">
        <f t="shared" si="81"/>
        <v>0</v>
      </c>
      <c r="R214" s="156">
        <f t="shared" si="82"/>
        <v>847.07999999999993</v>
      </c>
      <c r="S214" s="156">
        <v>1</v>
      </c>
      <c r="T214" s="156">
        <f t="shared" si="83"/>
        <v>847.07999999999993</v>
      </c>
      <c r="U214" s="156">
        <f t="shared" si="84"/>
        <v>1270.6199999999999</v>
      </c>
      <c r="V214" s="156">
        <f t="shared" si="85"/>
        <v>1270.6199999999999</v>
      </c>
      <c r="W214" s="156">
        <v>1</v>
      </c>
      <c r="X214" s="156">
        <f t="shared" si="86"/>
        <v>1270.6199999999999</v>
      </c>
      <c r="Y214" s="156">
        <f t="shared" si="87"/>
        <v>2117.6999999999998</v>
      </c>
      <c r="Z214" s="156">
        <f t="shared" si="88"/>
        <v>6776.6399999999994</v>
      </c>
      <c r="AA214" s="197">
        <f t="shared" si="97"/>
        <v>2014.25</v>
      </c>
      <c r="AB214" s="197">
        <f t="shared" si="90"/>
        <v>2016.75</v>
      </c>
      <c r="AC214" s="161">
        <f t="shared" si="91"/>
        <v>2025.25</v>
      </c>
      <c r="AD214" s="197">
        <f t="shared" si="92"/>
        <v>2015.75</v>
      </c>
      <c r="AE214" s="197">
        <f t="shared" si="93"/>
        <v>-8.3333333333333329E-2</v>
      </c>
      <c r="AF214" s="197">
        <f t="shared" si="98"/>
        <v>2024.25</v>
      </c>
      <c r="AG214" s="181">
        <f t="shared" si="95"/>
        <v>2015.75</v>
      </c>
      <c r="AH214" s="181">
        <f t="shared" si="96"/>
        <v>-8.3333333333333329E-2</v>
      </c>
      <c r="AI214" s="156"/>
      <c r="AJ214" s="156"/>
      <c r="AK214" s="156"/>
      <c r="AL214" s="156"/>
    </row>
    <row r="215" spans="1:38" x14ac:dyDescent="0.25">
      <c r="A215" s="195" t="s">
        <v>789</v>
      </c>
      <c r="B215" s="163" t="s">
        <v>589</v>
      </c>
      <c r="C215" s="209" t="s">
        <v>790</v>
      </c>
      <c r="D215" s="230">
        <v>2015</v>
      </c>
      <c r="E215" s="199">
        <v>10</v>
      </c>
      <c r="F215" s="231"/>
      <c r="G215" s="232" t="s">
        <v>452</v>
      </c>
      <c r="H215" s="163">
        <v>10</v>
      </c>
      <c r="I215" s="230">
        <f t="shared" si="77"/>
        <v>2025</v>
      </c>
      <c r="J215" s="163"/>
      <c r="K215" s="163"/>
      <c r="L215" s="214">
        <v>31782.33</v>
      </c>
      <c r="M215" s="163"/>
      <c r="N215" s="163">
        <f t="shared" si="78"/>
        <v>31782.33</v>
      </c>
      <c r="O215" s="163">
        <f t="shared" si="79"/>
        <v>264.85275000000001</v>
      </c>
      <c r="P215" s="163">
        <f t="shared" si="80"/>
        <v>3178.2330000000002</v>
      </c>
      <c r="Q215" s="163">
        <f t="shared" si="81"/>
        <v>0</v>
      </c>
      <c r="R215" s="163">
        <f t="shared" si="82"/>
        <v>3178.2330000000002</v>
      </c>
      <c r="S215" s="163">
        <v>1</v>
      </c>
      <c r="T215" s="163">
        <f t="shared" si="83"/>
        <v>3178.2330000000002</v>
      </c>
      <c r="U215" s="163">
        <f t="shared" si="84"/>
        <v>3178.2330000000002</v>
      </c>
      <c r="V215" s="163">
        <f t="shared" si="85"/>
        <v>3178.2330000000002</v>
      </c>
      <c r="W215" s="163">
        <v>1</v>
      </c>
      <c r="X215" s="163">
        <f t="shared" si="86"/>
        <v>3178.2330000000002</v>
      </c>
      <c r="Y215" s="163">
        <f t="shared" si="87"/>
        <v>6356.4660000000003</v>
      </c>
      <c r="Z215" s="163">
        <f t="shared" si="88"/>
        <v>27014.980500000001</v>
      </c>
      <c r="AA215" s="215">
        <f t="shared" si="97"/>
        <v>2014.75</v>
      </c>
      <c r="AB215" s="215">
        <f t="shared" si="90"/>
        <v>2016.75</v>
      </c>
      <c r="AC215" s="199">
        <f t="shared" si="91"/>
        <v>2025.75</v>
      </c>
      <c r="AD215" s="215">
        <f t="shared" si="92"/>
        <v>2015.75</v>
      </c>
      <c r="AE215" s="215">
        <f t="shared" si="93"/>
        <v>-8.3333333333333329E-2</v>
      </c>
      <c r="AF215" s="215">
        <f t="shared" si="98"/>
        <v>2024.75</v>
      </c>
      <c r="AG215" s="216">
        <f t="shared" si="95"/>
        <v>2015.75</v>
      </c>
      <c r="AH215" s="216">
        <f t="shared" si="96"/>
        <v>-8.3333333333333329E-2</v>
      </c>
      <c r="AI215" s="163"/>
      <c r="AJ215" s="163"/>
      <c r="AK215" s="163"/>
      <c r="AL215" s="163"/>
    </row>
    <row r="216" spans="1:38" x14ac:dyDescent="0.25">
      <c r="A216" s="195" t="s">
        <v>791</v>
      </c>
      <c r="B216" s="163" t="s">
        <v>589</v>
      </c>
      <c r="C216" s="209" t="s">
        <v>792</v>
      </c>
      <c r="D216" s="230">
        <v>2015</v>
      </c>
      <c r="E216" s="199">
        <v>10</v>
      </c>
      <c r="F216" s="231"/>
      <c r="G216" s="232" t="s">
        <v>452</v>
      </c>
      <c r="H216" s="163">
        <v>10</v>
      </c>
      <c r="I216" s="230">
        <f t="shared" si="77"/>
        <v>2025</v>
      </c>
      <c r="J216" s="163"/>
      <c r="K216" s="163"/>
      <c r="L216" s="214">
        <v>13488.12</v>
      </c>
      <c r="M216" s="163"/>
      <c r="N216" s="163">
        <f t="shared" si="78"/>
        <v>13488.12</v>
      </c>
      <c r="O216" s="163">
        <f t="shared" si="79"/>
        <v>112.40100000000001</v>
      </c>
      <c r="P216" s="163">
        <f t="shared" si="80"/>
        <v>1348.8120000000001</v>
      </c>
      <c r="Q216" s="163">
        <f t="shared" si="81"/>
        <v>0</v>
      </c>
      <c r="R216" s="163">
        <f t="shared" si="82"/>
        <v>1348.8120000000001</v>
      </c>
      <c r="S216" s="163">
        <v>1</v>
      </c>
      <c r="T216" s="163">
        <f t="shared" si="83"/>
        <v>1348.8120000000001</v>
      </c>
      <c r="U216" s="163">
        <f t="shared" si="84"/>
        <v>1348.8120000000001</v>
      </c>
      <c r="V216" s="163">
        <f t="shared" si="85"/>
        <v>1348.8120000000001</v>
      </c>
      <c r="W216" s="163">
        <v>1</v>
      </c>
      <c r="X216" s="163">
        <f t="shared" si="86"/>
        <v>1348.8120000000001</v>
      </c>
      <c r="Y216" s="163">
        <f t="shared" si="87"/>
        <v>2697.6240000000003</v>
      </c>
      <c r="Z216" s="163">
        <f t="shared" si="88"/>
        <v>11464.902000000002</v>
      </c>
      <c r="AA216" s="215">
        <f t="shared" si="97"/>
        <v>2014.75</v>
      </c>
      <c r="AB216" s="215">
        <f t="shared" si="90"/>
        <v>2016.75</v>
      </c>
      <c r="AC216" s="199">
        <f t="shared" si="91"/>
        <v>2025.75</v>
      </c>
      <c r="AD216" s="215">
        <f t="shared" si="92"/>
        <v>2015.75</v>
      </c>
      <c r="AE216" s="215">
        <f t="shared" si="93"/>
        <v>-8.3333333333333329E-2</v>
      </c>
      <c r="AF216" s="215">
        <f t="shared" si="98"/>
        <v>2024.75</v>
      </c>
      <c r="AG216" s="216">
        <f t="shared" si="95"/>
        <v>2015.75</v>
      </c>
      <c r="AH216" s="216">
        <f t="shared" si="96"/>
        <v>-8.3333333333333329E-2</v>
      </c>
      <c r="AI216" s="163"/>
      <c r="AJ216" s="163"/>
      <c r="AK216" s="163"/>
      <c r="AL216" s="163"/>
    </row>
    <row r="217" spans="1:38" x14ac:dyDescent="0.25">
      <c r="A217" s="195" t="s">
        <v>793</v>
      </c>
      <c r="B217" s="163" t="s">
        <v>589</v>
      </c>
      <c r="C217" s="209" t="s">
        <v>794</v>
      </c>
      <c r="D217" s="230">
        <v>2016</v>
      </c>
      <c r="E217" s="199">
        <v>6</v>
      </c>
      <c r="F217" s="231"/>
      <c r="G217" s="232" t="s">
        <v>452</v>
      </c>
      <c r="H217" s="163">
        <v>10</v>
      </c>
      <c r="I217" s="230">
        <f t="shared" si="77"/>
        <v>2026</v>
      </c>
      <c r="J217" s="163"/>
      <c r="K217" s="163"/>
      <c r="L217" s="214">
        <v>32200.44</v>
      </c>
      <c r="M217" s="163"/>
      <c r="N217" s="163">
        <f t="shared" si="78"/>
        <v>32200.44</v>
      </c>
      <c r="O217" s="199">
        <f t="shared" si="79"/>
        <v>268.33699999999999</v>
      </c>
      <c r="P217" s="199">
        <f t="shared" si="80"/>
        <v>1073.347999999756</v>
      </c>
      <c r="Q217" s="199">
        <f t="shared" si="81"/>
        <v>0</v>
      </c>
      <c r="R217" s="199">
        <f t="shared" si="82"/>
        <v>1073.347999999756</v>
      </c>
      <c r="S217" s="199">
        <v>1</v>
      </c>
      <c r="T217" s="199">
        <f t="shared" si="83"/>
        <v>1073.347999999756</v>
      </c>
      <c r="U217" s="199">
        <f t="shared" si="84"/>
        <v>0</v>
      </c>
      <c r="V217" s="199">
        <f t="shared" si="85"/>
        <v>0</v>
      </c>
      <c r="W217" s="199">
        <v>1</v>
      </c>
      <c r="X217" s="199">
        <f t="shared" si="86"/>
        <v>0</v>
      </c>
      <c r="Y217" s="199">
        <f t="shared" si="87"/>
        <v>1073.347999999756</v>
      </c>
      <c r="Z217" s="199">
        <f t="shared" si="88"/>
        <v>15563.546000000122</v>
      </c>
      <c r="AA217" s="215">
        <f t="shared" ref="AA217:AA256" si="99">$D217+(($E217-1)/12)</f>
        <v>2016.4166666666667</v>
      </c>
      <c r="AB217" s="199">
        <f t="shared" si="90"/>
        <v>2016.75</v>
      </c>
      <c r="AC217" s="199">
        <f t="shared" si="91"/>
        <v>2026.4166666666667</v>
      </c>
      <c r="AD217" s="215">
        <f t="shared" si="92"/>
        <v>2015.75</v>
      </c>
      <c r="AE217" s="215">
        <f t="shared" si="93"/>
        <v>-8.3333333333333329E-2</v>
      </c>
      <c r="AF217" s="215">
        <f t="shared" ref="AF217:AF256" si="100">$I217+(($E217-1)/12)</f>
        <v>2026.4166666666667</v>
      </c>
      <c r="AG217" s="215">
        <f t="shared" si="95"/>
        <v>2015.75</v>
      </c>
      <c r="AH217" s="215">
        <f t="shared" si="96"/>
        <v>-8.3333333333333329E-2</v>
      </c>
      <c r="AI217" s="199" t="s">
        <v>471</v>
      </c>
      <c r="AJ217" s="163"/>
      <c r="AK217" s="163"/>
      <c r="AL217" s="163"/>
    </row>
    <row r="218" spans="1:38" x14ac:dyDescent="0.25">
      <c r="A218" s="195" t="s">
        <v>795</v>
      </c>
      <c r="B218" s="163" t="s">
        <v>589</v>
      </c>
      <c r="C218" s="209" t="s">
        <v>796</v>
      </c>
      <c r="D218" s="230">
        <v>2016</v>
      </c>
      <c r="E218" s="199">
        <v>7</v>
      </c>
      <c r="F218" s="231"/>
      <c r="G218" s="232" t="s">
        <v>452</v>
      </c>
      <c r="H218" s="163">
        <v>10</v>
      </c>
      <c r="I218" s="230">
        <f t="shared" si="77"/>
        <v>2026</v>
      </c>
      <c r="J218" s="163"/>
      <c r="K218" s="163"/>
      <c r="L218" s="214">
        <v>7636.98</v>
      </c>
      <c r="M218" s="163"/>
      <c r="N218" s="163">
        <f t="shared" si="78"/>
        <v>7636.98</v>
      </c>
      <c r="O218" s="199">
        <f t="shared" si="79"/>
        <v>63.641500000000001</v>
      </c>
      <c r="P218" s="199">
        <f t="shared" si="80"/>
        <v>190.92449999999999</v>
      </c>
      <c r="Q218" s="199">
        <f t="shared" si="81"/>
        <v>0</v>
      </c>
      <c r="R218" s="199">
        <f t="shared" si="82"/>
        <v>190.92449999999999</v>
      </c>
      <c r="S218" s="199">
        <v>1</v>
      </c>
      <c r="T218" s="199">
        <f t="shared" si="83"/>
        <v>190.92449999999999</v>
      </c>
      <c r="U218" s="199">
        <f t="shared" si="84"/>
        <v>0</v>
      </c>
      <c r="V218" s="199">
        <f t="shared" si="85"/>
        <v>0</v>
      </c>
      <c r="W218" s="199">
        <v>1</v>
      </c>
      <c r="X218" s="199">
        <f t="shared" si="86"/>
        <v>0</v>
      </c>
      <c r="Y218" s="199">
        <f t="shared" si="87"/>
        <v>190.92449999999999</v>
      </c>
      <c r="Z218" s="199">
        <f t="shared" si="88"/>
        <v>3723.0277499999997</v>
      </c>
      <c r="AA218" s="215">
        <f t="shared" si="99"/>
        <v>2016.5</v>
      </c>
      <c r="AB218" s="199">
        <f t="shared" si="90"/>
        <v>2016.75</v>
      </c>
      <c r="AC218" s="199">
        <f t="shared" si="91"/>
        <v>2026.5</v>
      </c>
      <c r="AD218" s="215">
        <f t="shared" si="92"/>
        <v>2015.75</v>
      </c>
      <c r="AE218" s="215">
        <f t="shared" si="93"/>
        <v>-8.3333333333333329E-2</v>
      </c>
      <c r="AF218" s="215">
        <f t="shared" si="100"/>
        <v>2026.5</v>
      </c>
      <c r="AG218" s="215">
        <f t="shared" si="95"/>
        <v>2015.75</v>
      </c>
      <c r="AH218" s="215">
        <f t="shared" si="96"/>
        <v>-8.3333333333333329E-2</v>
      </c>
      <c r="AI218" s="199" t="s">
        <v>471</v>
      </c>
      <c r="AJ218" s="163"/>
      <c r="AK218" s="163"/>
      <c r="AL218" s="163"/>
    </row>
    <row r="219" spans="1:38" x14ac:dyDescent="0.25">
      <c r="A219" s="195" t="s">
        <v>797</v>
      </c>
      <c r="B219" s="163" t="s">
        <v>589</v>
      </c>
      <c r="C219" s="209" t="s">
        <v>794</v>
      </c>
      <c r="D219" s="230">
        <v>2016</v>
      </c>
      <c r="E219" s="199">
        <v>8</v>
      </c>
      <c r="F219" s="231"/>
      <c r="G219" s="232" t="s">
        <v>452</v>
      </c>
      <c r="H219" s="163">
        <v>10</v>
      </c>
      <c r="I219" s="230">
        <f t="shared" si="77"/>
        <v>2026</v>
      </c>
      <c r="J219" s="163"/>
      <c r="K219" s="163"/>
      <c r="L219" s="214">
        <v>32355.74</v>
      </c>
      <c r="M219" s="163"/>
      <c r="N219" s="163">
        <f t="shared" si="78"/>
        <v>32355.74</v>
      </c>
      <c r="O219" s="199">
        <f t="shared" si="79"/>
        <v>269.63116666666667</v>
      </c>
      <c r="P219" s="199">
        <f t="shared" si="80"/>
        <v>539.26233333357857</v>
      </c>
      <c r="Q219" s="199">
        <f t="shared" si="81"/>
        <v>0</v>
      </c>
      <c r="R219" s="199">
        <f t="shared" si="82"/>
        <v>539.26233333357857</v>
      </c>
      <c r="S219" s="199">
        <v>1</v>
      </c>
      <c r="T219" s="199">
        <f t="shared" si="83"/>
        <v>539.26233333357857</v>
      </c>
      <c r="U219" s="199">
        <f t="shared" si="84"/>
        <v>0</v>
      </c>
      <c r="V219" s="199">
        <f t="shared" si="85"/>
        <v>0</v>
      </c>
      <c r="W219" s="199">
        <v>1</v>
      </c>
      <c r="X219" s="199">
        <f t="shared" si="86"/>
        <v>0</v>
      </c>
      <c r="Y219" s="199">
        <f t="shared" si="87"/>
        <v>539.26233333357857</v>
      </c>
      <c r="Z219" s="199">
        <f t="shared" si="88"/>
        <v>15908.238833333211</v>
      </c>
      <c r="AA219" s="215">
        <f t="shared" si="99"/>
        <v>2016.5833333333333</v>
      </c>
      <c r="AB219" s="199">
        <f t="shared" si="90"/>
        <v>2016.75</v>
      </c>
      <c r="AC219" s="199">
        <f t="shared" si="91"/>
        <v>2026.5833333333333</v>
      </c>
      <c r="AD219" s="215">
        <f t="shared" si="92"/>
        <v>2015.75</v>
      </c>
      <c r="AE219" s="215">
        <f t="shared" si="93"/>
        <v>-8.3333333333333329E-2</v>
      </c>
      <c r="AF219" s="215">
        <f t="shared" si="100"/>
        <v>2026.5833333333333</v>
      </c>
      <c r="AG219" s="215">
        <f t="shared" si="95"/>
        <v>2015.75</v>
      </c>
      <c r="AH219" s="215">
        <f t="shared" si="96"/>
        <v>-8.3333333333333329E-2</v>
      </c>
      <c r="AI219" s="199" t="s">
        <v>471</v>
      </c>
      <c r="AJ219" s="163"/>
      <c r="AK219" s="163"/>
      <c r="AL219" s="163"/>
    </row>
    <row r="220" spans="1:38" x14ac:dyDescent="0.25">
      <c r="A220" s="195" t="s">
        <v>798</v>
      </c>
      <c r="B220" s="163" t="s">
        <v>589</v>
      </c>
      <c r="C220" s="209" t="s">
        <v>794</v>
      </c>
      <c r="D220" s="230">
        <v>2016</v>
      </c>
      <c r="E220" s="199">
        <v>8</v>
      </c>
      <c r="F220" s="231"/>
      <c r="G220" s="232" t="s">
        <v>452</v>
      </c>
      <c r="H220" s="163">
        <v>10</v>
      </c>
      <c r="I220" s="230">
        <f t="shared" si="77"/>
        <v>2026</v>
      </c>
      <c r="J220" s="163"/>
      <c r="K220" s="163"/>
      <c r="L220" s="214">
        <v>32205.87</v>
      </c>
      <c r="M220" s="163"/>
      <c r="N220" s="163">
        <f t="shared" si="78"/>
        <v>32205.87</v>
      </c>
      <c r="O220" s="199">
        <f t="shared" si="79"/>
        <v>268.38225</v>
      </c>
      <c r="P220" s="199">
        <f t="shared" si="80"/>
        <v>536.76450000024408</v>
      </c>
      <c r="Q220" s="199">
        <f t="shared" si="81"/>
        <v>0</v>
      </c>
      <c r="R220" s="199">
        <f t="shared" si="82"/>
        <v>536.76450000024408</v>
      </c>
      <c r="S220" s="199">
        <v>1</v>
      </c>
      <c r="T220" s="199">
        <f t="shared" si="83"/>
        <v>536.76450000024408</v>
      </c>
      <c r="U220" s="199">
        <f t="shared" si="84"/>
        <v>0</v>
      </c>
      <c r="V220" s="199">
        <f t="shared" si="85"/>
        <v>0</v>
      </c>
      <c r="W220" s="199">
        <v>1</v>
      </c>
      <c r="X220" s="199">
        <f t="shared" si="86"/>
        <v>0</v>
      </c>
      <c r="Y220" s="199">
        <f t="shared" si="87"/>
        <v>536.76450000024408</v>
      </c>
      <c r="Z220" s="199">
        <f t="shared" si="88"/>
        <v>15834.552749999877</v>
      </c>
      <c r="AA220" s="215">
        <f t="shared" si="99"/>
        <v>2016.5833333333333</v>
      </c>
      <c r="AB220" s="199">
        <f t="shared" si="90"/>
        <v>2016.75</v>
      </c>
      <c r="AC220" s="199">
        <f t="shared" si="91"/>
        <v>2026.5833333333333</v>
      </c>
      <c r="AD220" s="215">
        <f t="shared" si="92"/>
        <v>2015.75</v>
      </c>
      <c r="AE220" s="215">
        <f t="shared" si="93"/>
        <v>-8.3333333333333329E-2</v>
      </c>
      <c r="AF220" s="215">
        <f t="shared" si="100"/>
        <v>2026.5833333333333</v>
      </c>
      <c r="AG220" s="215">
        <f t="shared" si="95"/>
        <v>2015.75</v>
      </c>
      <c r="AH220" s="215">
        <f t="shared" si="96"/>
        <v>-8.3333333333333329E-2</v>
      </c>
      <c r="AI220" s="199" t="s">
        <v>471</v>
      </c>
      <c r="AJ220" s="163"/>
      <c r="AK220" s="163"/>
      <c r="AL220" s="163"/>
    </row>
    <row r="221" spans="1:38" x14ac:dyDescent="0.25">
      <c r="A221" s="195" t="s">
        <v>799</v>
      </c>
      <c r="B221" s="163" t="s">
        <v>589</v>
      </c>
      <c r="C221" s="209" t="s">
        <v>800</v>
      </c>
      <c r="D221" s="233">
        <v>2004</v>
      </c>
      <c r="E221" s="199">
        <v>5</v>
      </c>
      <c r="F221" s="231"/>
      <c r="G221" s="232" t="s">
        <v>452</v>
      </c>
      <c r="H221" s="163">
        <v>10</v>
      </c>
      <c r="I221" s="230">
        <f t="shared" si="77"/>
        <v>2014</v>
      </c>
      <c r="J221" s="163"/>
      <c r="K221" s="163"/>
      <c r="L221" s="214">
        <v>5975</v>
      </c>
      <c r="M221" s="163"/>
      <c r="N221" s="163">
        <f t="shared" si="78"/>
        <v>5975</v>
      </c>
      <c r="O221" s="199">
        <f t="shared" si="79"/>
        <v>49.791666666666664</v>
      </c>
      <c r="P221" s="199">
        <f t="shared" si="80"/>
        <v>0</v>
      </c>
      <c r="Q221" s="199">
        <f t="shared" si="81"/>
        <v>0</v>
      </c>
      <c r="R221" s="199">
        <f t="shared" si="82"/>
        <v>0</v>
      </c>
      <c r="S221" s="199">
        <v>1</v>
      </c>
      <c r="T221" s="199">
        <f t="shared" si="83"/>
        <v>0</v>
      </c>
      <c r="U221" s="199">
        <f t="shared" si="84"/>
        <v>5975</v>
      </c>
      <c r="V221" s="199">
        <f t="shared" si="85"/>
        <v>5975</v>
      </c>
      <c r="W221" s="199">
        <v>1</v>
      </c>
      <c r="X221" s="199">
        <f t="shared" si="86"/>
        <v>5975</v>
      </c>
      <c r="Y221" s="199">
        <f t="shared" si="87"/>
        <v>5975</v>
      </c>
      <c r="Z221" s="199">
        <f t="shared" si="88"/>
        <v>0</v>
      </c>
      <c r="AA221" s="215">
        <f t="shared" si="99"/>
        <v>2004.3333333333333</v>
      </c>
      <c r="AB221" s="199">
        <f t="shared" si="90"/>
        <v>2016.75</v>
      </c>
      <c r="AC221" s="199">
        <f t="shared" si="91"/>
        <v>2014.3333333333333</v>
      </c>
      <c r="AD221" s="215">
        <f t="shared" si="92"/>
        <v>2015.75</v>
      </c>
      <c r="AE221" s="215">
        <f t="shared" si="93"/>
        <v>-8.3333333333333329E-2</v>
      </c>
      <c r="AF221" s="215">
        <f t="shared" si="100"/>
        <v>2014.3333333333333</v>
      </c>
      <c r="AG221" s="215">
        <f t="shared" si="95"/>
        <v>2015.75</v>
      </c>
      <c r="AH221" s="215">
        <f t="shared" si="96"/>
        <v>-8.3333333333333329E-2</v>
      </c>
      <c r="AI221" s="199" t="s">
        <v>471</v>
      </c>
      <c r="AJ221" s="163"/>
      <c r="AK221" s="163"/>
      <c r="AL221" s="163"/>
    </row>
    <row r="222" spans="1:38" x14ac:dyDescent="0.25">
      <c r="A222" s="195" t="s">
        <v>801</v>
      </c>
      <c r="B222" s="163" t="s">
        <v>589</v>
      </c>
      <c r="C222" s="209" t="s">
        <v>802</v>
      </c>
      <c r="D222" s="233">
        <v>2004</v>
      </c>
      <c r="E222" s="199">
        <v>5</v>
      </c>
      <c r="F222" s="231"/>
      <c r="G222" s="232" t="s">
        <v>452</v>
      </c>
      <c r="H222" s="163">
        <v>10</v>
      </c>
      <c r="I222" s="230">
        <f t="shared" si="77"/>
        <v>2014</v>
      </c>
      <c r="J222" s="163"/>
      <c r="K222" s="163"/>
      <c r="L222" s="214">
        <v>2988</v>
      </c>
      <c r="M222" s="163"/>
      <c r="N222" s="163">
        <f t="shared" si="78"/>
        <v>2988</v>
      </c>
      <c r="O222" s="199">
        <f t="shared" si="79"/>
        <v>24.900000000000002</v>
      </c>
      <c r="P222" s="199">
        <f t="shared" si="80"/>
        <v>0</v>
      </c>
      <c r="Q222" s="199">
        <f t="shared" si="81"/>
        <v>0</v>
      </c>
      <c r="R222" s="199">
        <f t="shared" si="82"/>
        <v>0</v>
      </c>
      <c r="S222" s="199">
        <v>1</v>
      </c>
      <c r="T222" s="199">
        <f t="shared" si="83"/>
        <v>0</v>
      </c>
      <c r="U222" s="199">
        <f t="shared" si="84"/>
        <v>2988</v>
      </c>
      <c r="V222" s="199">
        <f t="shared" si="85"/>
        <v>2988</v>
      </c>
      <c r="W222" s="199">
        <v>1</v>
      </c>
      <c r="X222" s="199">
        <f t="shared" si="86"/>
        <v>2988</v>
      </c>
      <c r="Y222" s="199">
        <f t="shared" si="87"/>
        <v>2988</v>
      </c>
      <c r="Z222" s="199">
        <f t="shared" si="88"/>
        <v>0</v>
      </c>
      <c r="AA222" s="215">
        <f t="shared" si="99"/>
        <v>2004.3333333333333</v>
      </c>
      <c r="AB222" s="199">
        <f t="shared" si="90"/>
        <v>2016.75</v>
      </c>
      <c r="AC222" s="199">
        <f t="shared" si="91"/>
        <v>2014.3333333333333</v>
      </c>
      <c r="AD222" s="215">
        <f t="shared" si="92"/>
        <v>2015.75</v>
      </c>
      <c r="AE222" s="215">
        <f t="shared" si="93"/>
        <v>-8.3333333333333329E-2</v>
      </c>
      <c r="AF222" s="215">
        <f t="shared" si="100"/>
        <v>2014.3333333333333</v>
      </c>
      <c r="AG222" s="215">
        <f t="shared" si="95"/>
        <v>2015.75</v>
      </c>
      <c r="AH222" s="215">
        <f t="shared" si="96"/>
        <v>-8.3333333333333329E-2</v>
      </c>
      <c r="AI222" s="199" t="s">
        <v>471</v>
      </c>
      <c r="AJ222" s="163"/>
      <c r="AK222" s="163"/>
      <c r="AL222" s="163"/>
    </row>
    <row r="223" spans="1:38" x14ac:dyDescent="0.25">
      <c r="A223" s="195" t="s">
        <v>803</v>
      </c>
      <c r="B223" s="163" t="s">
        <v>589</v>
      </c>
      <c r="C223" s="209" t="s">
        <v>804</v>
      </c>
      <c r="D223" s="233">
        <v>2006</v>
      </c>
      <c r="E223" s="199">
        <v>7</v>
      </c>
      <c r="F223" s="231"/>
      <c r="G223" s="232" t="s">
        <v>452</v>
      </c>
      <c r="H223" s="163">
        <v>10</v>
      </c>
      <c r="I223" s="230">
        <f t="shared" si="77"/>
        <v>2016</v>
      </c>
      <c r="J223" s="163"/>
      <c r="K223" s="163"/>
      <c r="L223" s="214">
        <v>7712</v>
      </c>
      <c r="M223" s="163"/>
      <c r="N223" s="163">
        <f t="shared" si="78"/>
        <v>7712</v>
      </c>
      <c r="O223" s="199">
        <f t="shared" si="79"/>
        <v>64.266666666666666</v>
      </c>
      <c r="P223" s="199">
        <f t="shared" si="80"/>
        <v>578.4</v>
      </c>
      <c r="Q223" s="199">
        <f t="shared" si="81"/>
        <v>0</v>
      </c>
      <c r="R223" s="199">
        <f t="shared" si="82"/>
        <v>578.4</v>
      </c>
      <c r="S223" s="199">
        <v>1</v>
      </c>
      <c r="T223" s="199">
        <f t="shared" si="83"/>
        <v>578.4</v>
      </c>
      <c r="U223" s="199">
        <f t="shared" si="84"/>
        <v>7133.6</v>
      </c>
      <c r="V223" s="199">
        <f t="shared" si="85"/>
        <v>7133.6</v>
      </c>
      <c r="W223" s="199">
        <v>1</v>
      </c>
      <c r="X223" s="199">
        <f t="shared" si="86"/>
        <v>7133.6</v>
      </c>
      <c r="Y223" s="199">
        <f t="shared" si="87"/>
        <v>7712</v>
      </c>
      <c r="Z223" s="199">
        <f t="shared" si="88"/>
        <v>289.19999999999982</v>
      </c>
      <c r="AA223" s="215">
        <f t="shared" si="99"/>
        <v>2006.5</v>
      </c>
      <c r="AB223" s="199">
        <f t="shared" si="90"/>
        <v>2016.75</v>
      </c>
      <c r="AC223" s="199">
        <f t="shared" si="91"/>
        <v>2016.5</v>
      </c>
      <c r="AD223" s="215">
        <f t="shared" si="92"/>
        <v>2015.75</v>
      </c>
      <c r="AE223" s="215">
        <f t="shared" si="93"/>
        <v>-8.3333333333333329E-2</v>
      </c>
      <c r="AF223" s="215">
        <f t="shared" si="100"/>
        <v>2016.5</v>
      </c>
      <c r="AG223" s="215">
        <f t="shared" si="95"/>
        <v>2015.75</v>
      </c>
      <c r="AH223" s="215">
        <f t="shared" si="96"/>
        <v>-8.3333333333333329E-2</v>
      </c>
      <c r="AI223" s="199" t="s">
        <v>471</v>
      </c>
      <c r="AJ223" s="163"/>
      <c r="AK223" s="163"/>
      <c r="AL223" s="163"/>
    </row>
    <row r="224" spans="1:38" x14ac:dyDescent="0.25">
      <c r="A224" s="195" t="s">
        <v>805</v>
      </c>
      <c r="B224" s="163" t="s">
        <v>589</v>
      </c>
      <c r="C224" s="209" t="s">
        <v>806</v>
      </c>
      <c r="D224" s="233">
        <v>2006</v>
      </c>
      <c r="E224" s="199">
        <v>7</v>
      </c>
      <c r="F224" s="231"/>
      <c r="G224" s="232" t="s">
        <v>452</v>
      </c>
      <c r="H224" s="163">
        <v>10</v>
      </c>
      <c r="I224" s="230">
        <f t="shared" si="77"/>
        <v>2016</v>
      </c>
      <c r="J224" s="163"/>
      <c r="K224" s="163"/>
      <c r="L224" s="214">
        <v>7712</v>
      </c>
      <c r="M224" s="163"/>
      <c r="N224" s="163">
        <f t="shared" si="78"/>
        <v>7712</v>
      </c>
      <c r="O224" s="199">
        <f t="shared" si="79"/>
        <v>64.266666666666666</v>
      </c>
      <c r="P224" s="199">
        <f t="shared" si="80"/>
        <v>578.4</v>
      </c>
      <c r="Q224" s="199">
        <f t="shared" si="81"/>
        <v>0</v>
      </c>
      <c r="R224" s="199">
        <f t="shared" si="82"/>
        <v>578.4</v>
      </c>
      <c r="S224" s="199">
        <v>1</v>
      </c>
      <c r="T224" s="199">
        <f t="shared" si="83"/>
        <v>578.4</v>
      </c>
      <c r="U224" s="199">
        <f t="shared" si="84"/>
        <v>7133.6</v>
      </c>
      <c r="V224" s="199">
        <f t="shared" si="85"/>
        <v>7133.6</v>
      </c>
      <c r="W224" s="199">
        <v>1</v>
      </c>
      <c r="X224" s="199">
        <f t="shared" si="86"/>
        <v>7133.6</v>
      </c>
      <c r="Y224" s="199">
        <f t="shared" si="87"/>
        <v>7712</v>
      </c>
      <c r="Z224" s="199">
        <f t="shared" si="88"/>
        <v>289.19999999999982</v>
      </c>
      <c r="AA224" s="215">
        <f t="shared" si="99"/>
        <v>2006.5</v>
      </c>
      <c r="AB224" s="199">
        <f t="shared" si="90"/>
        <v>2016.75</v>
      </c>
      <c r="AC224" s="199">
        <f t="shared" si="91"/>
        <v>2016.5</v>
      </c>
      <c r="AD224" s="215">
        <f t="shared" si="92"/>
        <v>2015.75</v>
      </c>
      <c r="AE224" s="215">
        <f t="shared" si="93"/>
        <v>-8.3333333333333329E-2</v>
      </c>
      <c r="AF224" s="215">
        <f t="shared" si="100"/>
        <v>2016.5</v>
      </c>
      <c r="AG224" s="215">
        <f t="shared" si="95"/>
        <v>2015.75</v>
      </c>
      <c r="AH224" s="215">
        <f t="shared" si="96"/>
        <v>-8.3333333333333329E-2</v>
      </c>
      <c r="AI224" s="199" t="s">
        <v>471</v>
      </c>
      <c r="AJ224" s="163"/>
      <c r="AK224" s="163"/>
      <c r="AL224" s="163"/>
    </row>
    <row r="225" spans="1:38" x14ac:dyDescent="0.25">
      <c r="A225" s="195" t="s">
        <v>807</v>
      </c>
      <c r="B225" s="163" t="s">
        <v>589</v>
      </c>
      <c r="C225" s="209" t="s">
        <v>808</v>
      </c>
      <c r="D225" s="233">
        <v>2006</v>
      </c>
      <c r="E225" s="199">
        <v>7</v>
      </c>
      <c r="F225" s="231"/>
      <c r="G225" s="232" t="s">
        <v>452</v>
      </c>
      <c r="H225" s="163">
        <v>10</v>
      </c>
      <c r="I225" s="230">
        <f t="shared" si="77"/>
        <v>2016</v>
      </c>
      <c r="J225" s="163"/>
      <c r="K225" s="163"/>
      <c r="L225" s="214">
        <v>1900</v>
      </c>
      <c r="M225" s="163"/>
      <c r="N225" s="163">
        <f t="shared" si="78"/>
        <v>1900</v>
      </c>
      <c r="O225" s="199">
        <f t="shared" si="79"/>
        <v>15.833333333333334</v>
      </c>
      <c r="P225" s="199">
        <f t="shared" si="80"/>
        <v>142.5</v>
      </c>
      <c r="Q225" s="199">
        <f t="shared" si="81"/>
        <v>0</v>
      </c>
      <c r="R225" s="199">
        <f t="shared" si="82"/>
        <v>142.5</v>
      </c>
      <c r="S225" s="199">
        <v>1</v>
      </c>
      <c r="T225" s="199">
        <f t="shared" si="83"/>
        <v>142.5</v>
      </c>
      <c r="U225" s="199">
        <f t="shared" si="84"/>
        <v>1757.5</v>
      </c>
      <c r="V225" s="199">
        <f t="shared" si="85"/>
        <v>1757.5</v>
      </c>
      <c r="W225" s="199">
        <v>1</v>
      </c>
      <c r="X225" s="199">
        <f t="shared" si="86"/>
        <v>1757.5</v>
      </c>
      <c r="Y225" s="199">
        <f t="shared" si="87"/>
        <v>1900</v>
      </c>
      <c r="Z225" s="199">
        <f t="shared" si="88"/>
        <v>71.25</v>
      </c>
      <c r="AA225" s="215">
        <f t="shared" si="99"/>
        <v>2006.5</v>
      </c>
      <c r="AB225" s="199">
        <f t="shared" si="90"/>
        <v>2016.75</v>
      </c>
      <c r="AC225" s="199">
        <f t="shared" si="91"/>
        <v>2016.5</v>
      </c>
      <c r="AD225" s="215">
        <f t="shared" si="92"/>
        <v>2015.75</v>
      </c>
      <c r="AE225" s="215">
        <f t="shared" si="93"/>
        <v>-8.3333333333333329E-2</v>
      </c>
      <c r="AF225" s="215">
        <f t="shared" si="100"/>
        <v>2016.5</v>
      </c>
      <c r="AG225" s="215">
        <f t="shared" si="95"/>
        <v>2015.75</v>
      </c>
      <c r="AH225" s="215">
        <f t="shared" si="96"/>
        <v>-8.3333333333333329E-2</v>
      </c>
      <c r="AI225" s="199" t="s">
        <v>471</v>
      </c>
      <c r="AJ225" s="163"/>
      <c r="AK225" s="163"/>
      <c r="AL225" s="163"/>
    </row>
    <row r="226" spans="1:38" x14ac:dyDescent="0.25">
      <c r="A226" s="195" t="s">
        <v>809</v>
      </c>
      <c r="B226" s="163" t="s">
        <v>589</v>
      </c>
      <c r="C226" s="209" t="s">
        <v>810</v>
      </c>
      <c r="D226" s="233">
        <v>2006</v>
      </c>
      <c r="E226" s="199">
        <v>7</v>
      </c>
      <c r="F226" s="231"/>
      <c r="G226" s="232" t="s">
        <v>452</v>
      </c>
      <c r="H226" s="163">
        <v>10</v>
      </c>
      <c r="I226" s="230">
        <f t="shared" si="77"/>
        <v>2016</v>
      </c>
      <c r="J226" s="163"/>
      <c r="K226" s="163"/>
      <c r="L226" s="214">
        <v>1900</v>
      </c>
      <c r="M226" s="163"/>
      <c r="N226" s="163">
        <f t="shared" si="78"/>
        <v>1900</v>
      </c>
      <c r="O226" s="199">
        <f t="shared" si="79"/>
        <v>15.833333333333334</v>
      </c>
      <c r="P226" s="199">
        <f t="shared" si="80"/>
        <v>142.5</v>
      </c>
      <c r="Q226" s="199">
        <f t="shared" si="81"/>
        <v>0</v>
      </c>
      <c r="R226" s="199">
        <f t="shared" si="82"/>
        <v>142.5</v>
      </c>
      <c r="S226" s="199">
        <v>1</v>
      </c>
      <c r="T226" s="199">
        <f t="shared" si="83"/>
        <v>142.5</v>
      </c>
      <c r="U226" s="199">
        <f t="shared" si="84"/>
        <v>1757.5</v>
      </c>
      <c r="V226" s="199">
        <f t="shared" si="85"/>
        <v>1757.5</v>
      </c>
      <c r="W226" s="199">
        <v>1</v>
      </c>
      <c r="X226" s="199">
        <f t="shared" si="86"/>
        <v>1757.5</v>
      </c>
      <c r="Y226" s="199">
        <f t="shared" si="87"/>
        <v>1900</v>
      </c>
      <c r="Z226" s="199">
        <f t="shared" si="88"/>
        <v>71.25</v>
      </c>
      <c r="AA226" s="215">
        <f t="shared" si="99"/>
        <v>2006.5</v>
      </c>
      <c r="AB226" s="199">
        <f t="shared" si="90"/>
        <v>2016.75</v>
      </c>
      <c r="AC226" s="199">
        <f t="shared" si="91"/>
        <v>2016.5</v>
      </c>
      <c r="AD226" s="215">
        <f t="shared" si="92"/>
        <v>2015.75</v>
      </c>
      <c r="AE226" s="215">
        <f t="shared" si="93"/>
        <v>-8.3333333333333329E-2</v>
      </c>
      <c r="AF226" s="215">
        <f t="shared" si="100"/>
        <v>2016.5</v>
      </c>
      <c r="AG226" s="215">
        <f t="shared" si="95"/>
        <v>2015.75</v>
      </c>
      <c r="AH226" s="215">
        <f t="shared" si="96"/>
        <v>-8.3333333333333329E-2</v>
      </c>
      <c r="AI226" s="199" t="s">
        <v>471</v>
      </c>
      <c r="AJ226" s="163"/>
      <c r="AK226" s="163"/>
      <c r="AL226" s="163"/>
    </row>
    <row r="227" spans="1:38" x14ac:dyDescent="0.25">
      <c r="A227" s="195" t="s">
        <v>811</v>
      </c>
      <c r="B227" s="163" t="s">
        <v>589</v>
      </c>
      <c r="C227" s="209" t="s">
        <v>812</v>
      </c>
      <c r="D227" s="233">
        <v>2015</v>
      </c>
      <c r="E227" s="199">
        <v>9</v>
      </c>
      <c r="F227" s="231"/>
      <c r="G227" s="232" t="s">
        <v>452</v>
      </c>
      <c r="H227" s="163">
        <v>10</v>
      </c>
      <c r="I227" s="230">
        <f t="shared" si="77"/>
        <v>2025</v>
      </c>
      <c r="J227" s="163"/>
      <c r="K227" s="163"/>
      <c r="L227" s="214">
        <v>12923.4</v>
      </c>
      <c r="M227" s="163"/>
      <c r="N227" s="163">
        <f t="shared" si="78"/>
        <v>12923.4</v>
      </c>
      <c r="O227" s="199">
        <f t="shared" si="79"/>
        <v>107.69499999999999</v>
      </c>
      <c r="P227" s="199">
        <f t="shared" si="80"/>
        <v>1292.3399999999999</v>
      </c>
      <c r="Q227" s="199">
        <f t="shared" si="81"/>
        <v>0</v>
      </c>
      <c r="R227" s="199">
        <f t="shared" si="82"/>
        <v>1292.3399999999999</v>
      </c>
      <c r="S227" s="199">
        <v>1</v>
      </c>
      <c r="T227" s="199">
        <f t="shared" si="83"/>
        <v>1292.3399999999999</v>
      </c>
      <c r="U227" s="199">
        <f t="shared" si="84"/>
        <v>107.69499999990205</v>
      </c>
      <c r="V227" s="199">
        <f t="shared" si="85"/>
        <v>107.69499999990205</v>
      </c>
      <c r="W227" s="199">
        <v>1</v>
      </c>
      <c r="X227" s="199">
        <f t="shared" si="86"/>
        <v>107.69499999990205</v>
      </c>
      <c r="Y227" s="199">
        <f t="shared" si="87"/>
        <v>1400.0349999999021</v>
      </c>
      <c r="Z227" s="199">
        <f t="shared" si="88"/>
        <v>12169.535000000098</v>
      </c>
      <c r="AA227" s="215">
        <f t="shared" si="99"/>
        <v>2015.6666666666667</v>
      </c>
      <c r="AB227" s="199">
        <f t="shared" si="90"/>
        <v>2016.75</v>
      </c>
      <c r="AC227" s="199">
        <f t="shared" si="91"/>
        <v>2025.6666666666667</v>
      </c>
      <c r="AD227" s="215">
        <f t="shared" si="92"/>
        <v>2015.75</v>
      </c>
      <c r="AE227" s="215">
        <f t="shared" si="93"/>
        <v>-8.3333333333333329E-2</v>
      </c>
      <c r="AF227" s="215">
        <f t="shared" si="100"/>
        <v>2025.6666666666667</v>
      </c>
      <c r="AG227" s="215">
        <f t="shared" si="95"/>
        <v>2015.75</v>
      </c>
      <c r="AH227" s="215">
        <f t="shared" si="96"/>
        <v>-8.3333333333333329E-2</v>
      </c>
      <c r="AI227" s="199" t="s">
        <v>471</v>
      </c>
      <c r="AJ227" s="163"/>
      <c r="AK227" s="163"/>
      <c r="AL227" s="163"/>
    </row>
    <row r="228" spans="1:38" x14ac:dyDescent="0.25">
      <c r="A228" s="195" t="s">
        <v>813</v>
      </c>
      <c r="B228" s="163" t="s">
        <v>589</v>
      </c>
      <c r="C228" s="209" t="s">
        <v>814</v>
      </c>
      <c r="D228" s="233">
        <v>2015</v>
      </c>
      <c r="E228" s="199">
        <v>9</v>
      </c>
      <c r="F228" s="231"/>
      <c r="G228" s="232" t="s">
        <v>452</v>
      </c>
      <c r="H228" s="163">
        <v>10</v>
      </c>
      <c r="I228" s="230">
        <f t="shared" si="77"/>
        <v>2025</v>
      </c>
      <c r="J228" s="163"/>
      <c r="K228" s="163"/>
      <c r="L228" s="214">
        <v>8481.66</v>
      </c>
      <c r="M228" s="163"/>
      <c r="N228" s="163">
        <f t="shared" si="78"/>
        <v>8481.66</v>
      </c>
      <c r="O228" s="199">
        <f t="shared" si="79"/>
        <v>70.680499999999995</v>
      </c>
      <c r="P228" s="199">
        <f t="shared" si="80"/>
        <v>848.16599999999994</v>
      </c>
      <c r="Q228" s="199">
        <f t="shared" si="81"/>
        <v>0</v>
      </c>
      <c r="R228" s="199">
        <f t="shared" si="82"/>
        <v>848.16599999999994</v>
      </c>
      <c r="S228" s="199">
        <v>1</v>
      </c>
      <c r="T228" s="199">
        <f t="shared" si="83"/>
        <v>848.16599999999994</v>
      </c>
      <c r="U228" s="199">
        <f t="shared" si="84"/>
        <v>70.680499999935705</v>
      </c>
      <c r="V228" s="199">
        <f t="shared" si="85"/>
        <v>70.680499999935705</v>
      </c>
      <c r="W228" s="199">
        <v>1</v>
      </c>
      <c r="X228" s="199">
        <f t="shared" si="86"/>
        <v>70.680499999935705</v>
      </c>
      <c r="Y228" s="199">
        <f t="shared" si="87"/>
        <v>918.84649999993565</v>
      </c>
      <c r="Z228" s="199">
        <f t="shared" si="88"/>
        <v>7986.8965000000644</v>
      </c>
      <c r="AA228" s="215">
        <f t="shared" si="99"/>
        <v>2015.6666666666667</v>
      </c>
      <c r="AB228" s="199">
        <f t="shared" si="90"/>
        <v>2016.75</v>
      </c>
      <c r="AC228" s="199">
        <f t="shared" si="91"/>
        <v>2025.6666666666667</v>
      </c>
      <c r="AD228" s="215">
        <f t="shared" si="92"/>
        <v>2015.75</v>
      </c>
      <c r="AE228" s="215">
        <f t="shared" si="93"/>
        <v>-8.3333333333333329E-2</v>
      </c>
      <c r="AF228" s="215">
        <f t="shared" si="100"/>
        <v>2025.6666666666667</v>
      </c>
      <c r="AG228" s="215">
        <f t="shared" si="95"/>
        <v>2015.75</v>
      </c>
      <c r="AH228" s="215">
        <f t="shared" si="96"/>
        <v>-8.3333333333333329E-2</v>
      </c>
      <c r="AI228" s="199" t="s">
        <v>471</v>
      </c>
      <c r="AJ228" s="163"/>
      <c r="AK228" s="163"/>
      <c r="AL228" s="163"/>
    </row>
    <row r="229" spans="1:38" x14ac:dyDescent="0.25">
      <c r="A229" s="195" t="s">
        <v>815</v>
      </c>
      <c r="B229" s="163" t="s">
        <v>589</v>
      </c>
      <c r="C229" s="209" t="s">
        <v>816</v>
      </c>
      <c r="D229" s="233">
        <v>2016</v>
      </c>
      <c r="E229" s="199">
        <v>6</v>
      </c>
      <c r="F229" s="231"/>
      <c r="G229" s="232" t="s">
        <v>452</v>
      </c>
      <c r="H229" s="163">
        <v>10</v>
      </c>
      <c r="I229" s="230">
        <f t="shared" si="77"/>
        <v>2026</v>
      </c>
      <c r="J229" s="163"/>
      <c r="K229" s="163"/>
      <c r="L229" s="214">
        <v>1954.8</v>
      </c>
      <c r="M229" s="163"/>
      <c r="N229" s="163">
        <f t="shared" si="78"/>
        <v>1954.8</v>
      </c>
      <c r="O229" s="199">
        <f t="shared" si="79"/>
        <v>16.29</v>
      </c>
      <c r="P229" s="199">
        <f t="shared" si="80"/>
        <v>65.159999999985175</v>
      </c>
      <c r="Q229" s="199">
        <f t="shared" si="81"/>
        <v>0</v>
      </c>
      <c r="R229" s="199">
        <f t="shared" si="82"/>
        <v>65.159999999985175</v>
      </c>
      <c r="S229" s="199">
        <v>1</v>
      </c>
      <c r="T229" s="199">
        <f t="shared" si="83"/>
        <v>65.159999999985175</v>
      </c>
      <c r="U229" s="199">
        <f t="shared" si="84"/>
        <v>0</v>
      </c>
      <c r="V229" s="199">
        <f t="shared" si="85"/>
        <v>0</v>
      </c>
      <c r="W229" s="199">
        <v>1</v>
      </c>
      <c r="X229" s="199">
        <f t="shared" si="86"/>
        <v>0</v>
      </c>
      <c r="Y229" s="199">
        <f t="shared" si="87"/>
        <v>65.159999999985175</v>
      </c>
      <c r="Z229" s="199">
        <f t="shared" si="88"/>
        <v>944.82000000000744</v>
      </c>
      <c r="AA229" s="215">
        <f t="shared" si="99"/>
        <v>2016.4166666666667</v>
      </c>
      <c r="AB229" s="199">
        <f t="shared" si="90"/>
        <v>2016.75</v>
      </c>
      <c r="AC229" s="199">
        <f t="shared" si="91"/>
        <v>2026.4166666666667</v>
      </c>
      <c r="AD229" s="215">
        <f t="shared" si="92"/>
        <v>2015.75</v>
      </c>
      <c r="AE229" s="215">
        <f t="shared" si="93"/>
        <v>-8.3333333333333329E-2</v>
      </c>
      <c r="AF229" s="215">
        <f t="shared" si="100"/>
        <v>2026.4166666666667</v>
      </c>
      <c r="AG229" s="215">
        <f t="shared" si="95"/>
        <v>2015.75</v>
      </c>
      <c r="AH229" s="215">
        <f t="shared" si="96"/>
        <v>-8.3333333333333329E-2</v>
      </c>
      <c r="AI229" s="199" t="s">
        <v>471</v>
      </c>
      <c r="AJ229" s="163"/>
      <c r="AK229" s="163"/>
      <c r="AL229" s="163"/>
    </row>
    <row r="230" spans="1:38" x14ac:dyDescent="0.25">
      <c r="A230" s="195" t="s">
        <v>817</v>
      </c>
      <c r="B230" s="163" t="s">
        <v>589</v>
      </c>
      <c r="C230" s="209" t="s">
        <v>818</v>
      </c>
      <c r="D230" s="233">
        <v>2015</v>
      </c>
      <c r="E230" s="199">
        <v>12</v>
      </c>
      <c r="F230" s="231"/>
      <c r="G230" s="232" t="s">
        <v>452</v>
      </c>
      <c r="H230" s="163">
        <v>10</v>
      </c>
      <c r="I230" s="230">
        <f t="shared" si="77"/>
        <v>2025</v>
      </c>
      <c r="J230" s="163"/>
      <c r="K230" s="163"/>
      <c r="L230" s="214">
        <v>9774</v>
      </c>
      <c r="M230" s="163"/>
      <c r="N230" s="163">
        <f t="shared" si="78"/>
        <v>9774</v>
      </c>
      <c r="O230" s="199">
        <f t="shared" si="79"/>
        <v>81.45</v>
      </c>
      <c r="P230" s="199">
        <f t="shared" si="80"/>
        <v>814.49999999992599</v>
      </c>
      <c r="Q230" s="199">
        <f t="shared" si="81"/>
        <v>0</v>
      </c>
      <c r="R230" s="199">
        <f t="shared" si="82"/>
        <v>814.49999999992599</v>
      </c>
      <c r="S230" s="199">
        <v>1</v>
      </c>
      <c r="T230" s="199">
        <f t="shared" si="83"/>
        <v>814.49999999992599</v>
      </c>
      <c r="U230" s="199">
        <f t="shared" si="84"/>
        <v>0</v>
      </c>
      <c r="V230" s="199">
        <f t="shared" si="85"/>
        <v>0</v>
      </c>
      <c r="W230" s="199">
        <v>1</v>
      </c>
      <c r="X230" s="199">
        <f t="shared" si="86"/>
        <v>0</v>
      </c>
      <c r="Y230" s="199">
        <f t="shared" si="87"/>
        <v>814.49999999992599</v>
      </c>
      <c r="Z230" s="199">
        <f t="shared" si="88"/>
        <v>4479.7500000000373</v>
      </c>
      <c r="AA230" s="215">
        <f t="shared" si="99"/>
        <v>2015.9166666666667</v>
      </c>
      <c r="AB230" s="199">
        <f t="shared" si="90"/>
        <v>2016.75</v>
      </c>
      <c r="AC230" s="199">
        <f t="shared" si="91"/>
        <v>2025.9166666666667</v>
      </c>
      <c r="AD230" s="215">
        <f t="shared" si="92"/>
        <v>2015.75</v>
      </c>
      <c r="AE230" s="215">
        <f t="shared" si="93"/>
        <v>-8.3333333333333329E-2</v>
      </c>
      <c r="AF230" s="215">
        <f t="shared" si="100"/>
        <v>2025.9166666666667</v>
      </c>
      <c r="AG230" s="215">
        <f t="shared" si="95"/>
        <v>2015.75</v>
      </c>
      <c r="AH230" s="215">
        <f t="shared" si="96"/>
        <v>-8.3333333333333329E-2</v>
      </c>
      <c r="AI230" s="199" t="s">
        <v>471</v>
      </c>
      <c r="AJ230" s="163"/>
      <c r="AK230" s="163"/>
      <c r="AL230" s="163"/>
    </row>
    <row r="231" spans="1:38" x14ac:dyDescent="0.25">
      <c r="A231" s="195" t="s">
        <v>819</v>
      </c>
      <c r="B231" s="163" t="s">
        <v>589</v>
      </c>
      <c r="C231" s="209" t="s">
        <v>820</v>
      </c>
      <c r="D231" s="233">
        <v>2015</v>
      </c>
      <c r="E231" s="199">
        <v>12</v>
      </c>
      <c r="F231" s="231"/>
      <c r="G231" s="232" t="s">
        <v>452</v>
      </c>
      <c r="H231" s="163">
        <v>10</v>
      </c>
      <c r="I231" s="230">
        <f t="shared" si="77"/>
        <v>2025</v>
      </c>
      <c r="J231" s="163"/>
      <c r="K231" s="163"/>
      <c r="L231" s="214">
        <v>10653.66</v>
      </c>
      <c r="M231" s="163"/>
      <c r="N231" s="163">
        <f t="shared" si="78"/>
        <v>10653.66</v>
      </c>
      <c r="O231" s="199">
        <f t="shared" si="79"/>
        <v>88.780500000000004</v>
      </c>
      <c r="P231" s="199">
        <f t="shared" si="80"/>
        <v>887.80499999991935</v>
      </c>
      <c r="Q231" s="199">
        <f t="shared" si="81"/>
        <v>0</v>
      </c>
      <c r="R231" s="199">
        <f t="shared" si="82"/>
        <v>887.80499999991935</v>
      </c>
      <c r="S231" s="199">
        <v>1</v>
      </c>
      <c r="T231" s="199">
        <f t="shared" si="83"/>
        <v>887.80499999991935</v>
      </c>
      <c r="U231" s="199">
        <f t="shared" si="84"/>
        <v>0</v>
      </c>
      <c r="V231" s="199">
        <f t="shared" si="85"/>
        <v>0</v>
      </c>
      <c r="W231" s="199">
        <v>1</v>
      </c>
      <c r="X231" s="199">
        <f t="shared" si="86"/>
        <v>0</v>
      </c>
      <c r="Y231" s="199">
        <f t="shared" si="87"/>
        <v>887.80499999991935</v>
      </c>
      <c r="Z231" s="199">
        <f t="shared" si="88"/>
        <v>4882.9275000000398</v>
      </c>
      <c r="AA231" s="215">
        <f t="shared" si="99"/>
        <v>2015.9166666666667</v>
      </c>
      <c r="AB231" s="199">
        <f t="shared" si="90"/>
        <v>2016.75</v>
      </c>
      <c r="AC231" s="199">
        <f t="shared" si="91"/>
        <v>2025.9166666666667</v>
      </c>
      <c r="AD231" s="215">
        <f t="shared" si="92"/>
        <v>2015.75</v>
      </c>
      <c r="AE231" s="215">
        <f t="shared" si="93"/>
        <v>-8.3333333333333329E-2</v>
      </c>
      <c r="AF231" s="215">
        <f t="shared" si="100"/>
        <v>2025.9166666666667</v>
      </c>
      <c r="AG231" s="215">
        <f t="shared" si="95"/>
        <v>2015.75</v>
      </c>
      <c r="AH231" s="215">
        <f t="shared" si="96"/>
        <v>-8.3333333333333329E-2</v>
      </c>
      <c r="AI231" s="199" t="s">
        <v>471</v>
      </c>
      <c r="AJ231" s="163"/>
      <c r="AK231" s="163"/>
      <c r="AL231" s="163"/>
    </row>
    <row r="232" spans="1:38" x14ac:dyDescent="0.25">
      <c r="A232" s="195" t="s">
        <v>821</v>
      </c>
      <c r="B232" s="163" t="s">
        <v>589</v>
      </c>
      <c r="C232" s="209" t="s">
        <v>822</v>
      </c>
      <c r="D232" s="233">
        <v>2015</v>
      </c>
      <c r="E232" s="199">
        <v>12</v>
      </c>
      <c r="F232" s="231"/>
      <c r="G232" s="232" t="s">
        <v>452</v>
      </c>
      <c r="H232" s="163">
        <v>10</v>
      </c>
      <c r="I232" s="230">
        <f t="shared" si="77"/>
        <v>2025</v>
      </c>
      <c r="J232" s="163"/>
      <c r="K232" s="163"/>
      <c r="L232" s="214">
        <v>4821.84</v>
      </c>
      <c r="M232" s="163"/>
      <c r="N232" s="163">
        <f t="shared" si="78"/>
        <v>4821.84</v>
      </c>
      <c r="O232" s="199">
        <f t="shared" si="79"/>
        <v>40.182000000000002</v>
      </c>
      <c r="P232" s="199">
        <f t="shared" si="80"/>
        <v>401.8199999999635</v>
      </c>
      <c r="Q232" s="199">
        <f t="shared" si="81"/>
        <v>0</v>
      </c>
      <c r="R232" s="199">
        <f t="shared" si="82"/>
        <v>401.8199999999635</v>
      </c>
      <c r="S232" s="199">
        <v>1</v>
      </c>
      <c r="T232" s="199">
        <f t="shared" si="83"/>
        <v>401.8199999999635</v>
      </c>
      <c r="U232" s="199">
        <f t="shared" si="84"/>
        <v>0</v>
      </c>
      <c r="V232" s="199">
        <f t="shared" si="85"/>
        <v>0</v>
      </c>
      <c r="W232" s="199">
        <v>1</v>
      </c>
      <c r="X232" s="199">
        <f t="shared" si="86"/>
        <v>0</v>
      </c>
      <c r="Y232" s="199">
        <f t="shared" si="87"/>
        <v>401.8199999999635</v>
      </c>
      <c r="Z232" s="199">
        <f t="shared" si="88"/>
        <v>2210.0100000000184</v>
      </c>
      <c r="AA232" s="215">
        <f t="shared" si="99"/>
        <v>2015.9166666666667</v>
      </c>
      <c r="AB232" s="199">
        <f t="shared" si="90"/>
        <v>2016.75</v>
      </c>
      <c r="AC232" s="199">
        <f t="shared" si="91"/>
        <v>2025.9166666666667</v>
      </c>
      <c r="AD232" s="215">
        <f t="shared" si="92"/>
        <v>2015.75</v>
      </c>
      <c r="AE232" s="215">
        <f t="shared" si="93"/>
        <v>-8.3333333333333329E-2</v>
      </c>
      <c r="AF232" s="215">
        <f t="shared" si="100"/>
        <v>2025.9166666666667</v>
      </c>
      <c r="AG232" s="215">
        <f t="shared" si="95"/>
        <v>2015.75</v>
      </c>
      <c r="AH232" s="215">
        <f t="shared" si="96"/>
        <v>-8.3333333333333329E-2</v>
      </c>
      <c r="AI232" s="199" t="s">
        <v>471</v>
      </c>
      <c r="AJ232" s="163"/>
      <c r="AK232" s="163"/>
      <c r="AL232" s="163"/>
    </row>
    <row r="233" spans="1:38" x14ac:dyDescent="0.25">
      <c r="A233" s="195" t="s">
        <v>823</v>
      </c>
      <c r="B233" s="163" t="s">
        <v>589</v>
      </c>
      <c r="C233" s="209" t="s">
        <v>824</v>
      </c>
      <c r="D233" s="233">
        <v>2016</v>
      </c>
      <c r="E233" s="199">
        <v>1</v>
      </c>
      <c r="F233" s="231"/>
      <c r="G233" s="232" t="s">
        <v>452</v>
      </c>
      <c r="H233" s="163">
        <v>10</v>
      </c>
      <c r="I233" s="230">
        <f t="shared" si="77"/>
        <v>2026</v>
      </c>
      <c r="J233" s="163"/>
      <c r="K233" s="163"/>
      <c r="L233" s="214">
        <v>2584.6799999999998</v>
      </c>
      <c r="M233" s="163"/>
      <c r="N233" s="163">
        <f t="shared" si="78"/>
        <v>2584.6799999999998</v>
      </c>
      <c r="O233" s="199">
        <f t="shared" si="79"/>
        <v>21.538999999999998</v>
      </c>
      <c r="P233" s="199">
        <f t="shared" si="80"/>
        <v>193.85099999999997</v>
      </c>
      <c r="Q233" s="199">
        <f t="shared" si="81"/>
        <v>0</v>
      </c>
      <c r="R233" s="199">
        <f t="shared" si="82"/>
        <v>193.85099999999997</v>
      </c>
      <c r="S233" s="199">
        <v>1</v>
      </c>
      <c r="T233" s="199">
        <f t="shared" si="83"/>
        <v>193.85099999999997</v>
      </c>
      <c r="U233" s="199">
        <f t="shared" si="84"/>
        <v>0</v>
      </c>
      <c r="V233" s="199">
        <f t="shared" si="85"/>
        <v>0</v>
      </c>
      <c r="W233" s="199">
        <v>1</v>
      </c>
      <c r="X233" s="199">
        <f t="shared" si="86"/>
        <v>0</v>
      </c>
      <c r="Y233" s="199">
        <f t="shared" si="87"/>
        <v>193.85099999999997</v>
      </c>
      <c r="Z233" s="199">
        <f t="shared" si="88"/>
        <v>1195.4144999999999</v>
      </c>
      <c r="AA233" s="215">
        <f t="shared" si="99"/>
        <v>2016</v>
      </c>
      <c r="AB233" s="199">
        <f t="shared" si="90"/>
        <v>2016.75</v>
      </c>
      <c r="AC233" s="199">
        <f t="shared" si="91"/>
        <v>2026</v>
      </c>
      <c r="AD233" s="215">
        <f t="shared" si="92"/>
        <v>2015.75</v>
      </c>
      <c r="AE233" s="215">
        <f t="shared" si="93"/>
        <v>-8.3333333333333329E-2</v>
      </c>
      <c r="AF233" s="215">
        <f t="shared" si="100"/>
        <v>2026</v>
      </c>
      <c r="AG233" s="215">
        <f t="shared" si="95"/>
        <v>2015.75</v>
      </c>
      <c r="AH233" s="215">
        <f t="shared" si="96"/>
        <v>-8.3333333333333329E-2</v>
      </c>
      <c r="AI233" s="199" t="s">
        <v>471</v>
      </c>
      <c r="AJ233" s="163"/>
      <c r="AK233" s="163"/>
      <c r="AL233" s="163"/>
    </row>
    <row r="234" spans="1:38" x14ac:dyDescent="0.25">
      <c r="A234" s="195" t="s">
        <v>825</v>
      </c>
      <c r="B234" s="163" t="s">
        <v>589</v>
      </c>
      <c r="C234" s="209" t="s">
        <v>826</v>
      </c>
      <c r="D234" s="233">
        <v>2016</v>
      </c>
      <c r="E234" s="199">
        <v>4</v>
      </c>
      <c r="F234" s="231"/>
      <c r="G234" s="232" t="s">
        <v>452</v>
      </c>
      <c r="H234" s="163">
        <v>10</v>
      </c>
      <c r="I234" s="230">
        <f t="shared" si="77"/>
        <v>2026</v>
      </c>
      <c r="J234" s="163"/>
      <c r="K234" s="163"/>
      <c r="L234" s="214">
        <v>6516</v>
      </c>
      <c r="M234" s="163"/>
      <c r="N234" s="163">
        <f t="shared" si="78"/>
        <v>6516</v>
      </c>
      <c r="O234" s="199">
        <f t="shared" si="79"/>
        <v>54.300000000000004</v>
      </c>
      <c r="P234" s="199">
        <f t="shared" si="80"/>
        <v>325.8</v>
      </c>
      <c r="Q234" s="199">
        <f t="shared" si="81"/>
        <v>0</v>
      </c>
      <c r="R234" s="199">
        <f t="shared" si="82"/>
        <v>325.8</v>
      </c>
      <c r="S234" s="199">
        <v>1</v>
      </c>
      <c r="T234" s="199">
        <f t="shared" si="83"/>
        <v>325.8</v>
      </c>
      <c r="U234" s="199">
        <f t="shared" si="84"/>
        <v>0</v>
      </c>
      <c r="V234" s="199">
        <f t="shared" si="85"/>
        <v>0</v>
      </c>
      <c r="W234" s="199">
        <v>1</v>
      </c>
      <c r="X234" s="199">
        <f t="shared" si="86"/>
        <v>0</v>
      </c>
      <c r="Y234" s="199">
        <f t="shared" si="87"/>
        <v>325.8</v>
      </c>
      <c r="Z234" s="199">
        <f t="shared" si="88"/>
        <v>3095.1</v>
      </c>
      <c r="AA234" s="215">
        <f t="shared" si="99"/>
        <v>2016.25</v>
      </c>
      <c r="AB234" s="199">
        <f t="shared" si="90"/>
        <v>2016.75</v>
      </c>
      <c r="AC234" s="199">
        <f t="shared" si="91"/>
        <v>2026.25</v>
      </c>
      <c r="AD234" s="215">
        <f t="shared" si="92"/>
        <v>2015.75</v>
      </c>
      <c r="AE234" s="215">
        <f t="shared" si="93"/>
        <v>-8.3333333333333329E-2</v>
      </c>
      <c r="AF234" s="215">
        <f t="shared" si="100"/>
        <v>2026.25</v>
      </c>
      <c r="AG234" s="215">
        <f t="shared" si="95"/>
        <v>2015.75</v>
      </c>
      <c r="AH234" s="215">
        <f t="shared" si="96"/>
        <v>-8.3333333333333329E-2</v>
      </c>
      <c r="AI234" s="199" t="s">
        <v>471</v>
      </c>
      <c r="AJ234" s="163"/>
      <c r="AK234" s="163"/>
      <c r="AL234" s="163"/>
    </row>
    <row r="235" spans="1:38" x14ac:dyDescent="0.25">
      <c r="A235" s="195" t="s">
        <v>827</v>
      </c>
      <c r="B235" s="163" t="s">
        <v>589</v>
      </c>
      <c r="C235" s="209" t="s">
        <v>828</v>
      </c>
      <c r="D235" s="233">
        <v>2016</v>
      </c>
      <c r="E235" s="199">
        <v>4</v>
      </c>
      <c r="F235" s="231"/>
      <c r="G235" s="232" t="s">
        <v>452</v>
      </c>
      <c r="H235" s="163">
        <v>10</v>
      </c>
      <c r="I235" s="230">
        <f t="shared" si="77"/>
        <v>2026</v>
      </c>
      <c r="J235" s="163"/>
      <c r="K235" s="163"/>
      <c r="L235" s="214">
        <v>12814.8</v>
      </c>
      <c r="M235" s="163"/>
      <c r="N235" s="163">
        <f t="shared" si="78"/>
        <v>12814.8</v>
      </c>
      <c r="O235" s="199">
        <f t="shared" si="79"/>
        <v>106.79</v>
      </c>
      <c r="P235" s="199">
        <f t="shared" si="80"/>
        <v>640.74</v>
      </c>
      <c r="Q235" s="199">
        <f t="shared" si="81"/>
        <v>0</v>
      </c>
      <c r="R235" s="199">
        <f t="shared" si="82"/>
        <v>640.74</v>
      </c>
      <c r="S235" s="199">
        <v>1</v>
      </c>
      <c r="T235" s="199">
        <f t="shared" si="83"/>
        <v>640.74</v>
      </c>
      <c r="U235" s="199">
        <f t="shared" si="84"/>
        <v>0</v>
      </c>
      <c r="V235" s="199">
        <f t="shared" si="85"/>
        <v>0</v>
      </c>
      <c r="W235" s="199">
        <v>1</v>
      </c>
      <c r="X235" s="199">
        <f t="shared" si="86"/>
        <v>0</v>
      </c>
      <c r="Y235" s="199">
        <f t="shared" si="87"/>
        <v>640.74</v>
      </c>
      <c r="Z235" s="199">
        <f t="shared" si="88"/>
        <v>6087.03</v>
      </c>
      <c r="AA235" s="215">
        <f t="shared" si="99"/>
        <v>2016.25</v>
      </c>
      <c r="AB235" s="199">
        <f t="shared" si="90"/>
        <v>2016.75</v>
      </c>
      <c r="AC235" s="199">
        <f t="shared" si="91"/>
        <v>2026.25</v>
      </c>
      <c r="AD235" s="215">
        <f t="shared" si="92"/>
        <v>2015.75</v>
      </c>
      <c r="AE235" s="215">
        <f t="shared" si="93"/>
        <v>-8.3333333333333329E-2</v>
      </c>
      <c r="AF235" s="215">
        <f t="shared" si="100"/>
        <v>2026.25</v>
      </c>
      <c r="AG235" s="215">
        <f t="shared" si="95"/>
        <v>2015.75</v>
      </c>
      <c r="AH235" s="215">
        <f t="shared" si="96"/>
        <v>-8.3333333333333329E-2</v>
      </c>
      <c r="AI235" s="199" t="s">
        <v>471</v>
      </c>
      <c r="AJ235" s="163"/>
      <c r="AK235" s="163"/>
      <c r="AL235" s="163"/>
    </row>
    <row r="236" spans="1:38" x14ac:dyDescent="0.25">
      <c r="A236" s="195" t="s">
        <v>829</v>
      </c>
      <c r="B236" s="163" t="s">
        <v>589</v>
      </c>
      <c r="C236" s="209" t="s">
        <v>830</v>
      </c>
      <c r="D236" s="233">
        <v>2016</v>
      </c>
      <c r="E236" s="199">
        <v>5</v>
      </c>
      <c r="F236" s="231"/>
      <c r="G236" s="232" t="s">
        <v>452</v>
      </c>
      <c r="H236" s="163">
        <v>10</v>
      </c>
      <c r="I236" s="230">
        <f t="shared" si="77"/>
        <v>2026</v>
      </c>
      <c r="J236" s="163"/>
      <c r="K236" s="163"/>
      <c r="L236" s="214">
        <v>6429.12</v>
      </c>
      <c r="M236" s="163"/>
      <c r="N236" s="163">
        <f t="shared" si="78"/>
        <v>6429.12</v>
      </c>
      <c r="O236" s="199">
        <f t="shared" si="79"/>
        <v>53.576000000000001</v>
      </c>
      <c r="P236" s="199">
        <f t="shared" si="80"/>
        <v>267.88000000004871</v>
      </c>
      <c r="Q236" s="199">
        <f t="shared" si="81"/>
        <v>0</v>
      </c>
      <c r="R236" s="199">
        <f t="shared" si="82"/>
        <v>267.88000000004871</v>
      </c>
      <c r="S236" s="199">
        <v>1</v>
      </c>
      <c r="T236" s="199">
        <f t="shared" si="83"/>
        <v>267.88000000004871</v>
      </c>
      <c r="U236" s="199">
        <f t="shared" si="84"/>
        <v>0</v>
      </c>
      <c r="V236" s="199">
        <f t="shared" si="85"/>
        <v>0</v>
      </c>
      <c r="W236" s="199">
        <v>1</v>
      </c>
      <c r="X236" s="199">
        <f t="shared" si="86"/>
        <v>0</v>
      </c>
      <c r="Y236" s="199">
        <f t="shared" si="87"/>
        <v>267.88000000004871</v>
      </c>
      <c r="Z236" s="199">
        <f t="shared" si="88"/>
        <v>3080.6199999999758</v>
      </c>
      <c r="AA236" s="215">
        <f t="shared" si="99"/>
        <v>2016.3333333333333</v>
      </c>
      <c r="AB236" s="199">
        <f t="shared" si="90"/>
        <v>2016.75</v>
      </c>
      <c r="AC236" s="199">
        <f t="shared" si="91"/>
        <v>2026.3333333333333</v>
      </c>
      <c r="AD236" s="215">
        <f t="shared" si="92"/>
        <v>2015.75</v>
      </c>
      <c r="AE236" s="215">
        <f t="shared" si="93"/>
        <v>-8.3333333333333329E-2</v>
      </c>
      <c r="AF236" s="215">
        <f t="shared" si="100"/>
        <v>2026.3333333333333</v>
      </c>
      <c r="AG236" s="215">
        <f t="shared" si="95"/>
        <v>2015.75</v>
      </c>
      <c r="AH236" s="215">
        <f t="shared" si="96"/>
        <v>-8.3333333333333329E-2</v>
      </c>
      <c r="AI236" s="199" t="s">
        <v>471</v>
      </c>
      <c r="AJ236" s="163"/>
      <c r="AK236" s="163"/>
      <c r="AL236" s="163"/>
    </row>
    <row r="237" spans="1:38" x14ac:dyDescent="0.25">
      <c r="A237" s="195" t="s">
        <v>831</v>
      </c>
      <c r="B237" s="163" t="s">
        <v>589</v>
      </c>
      <c r="C237" s="209" t="s">
        <v>832</v>
      </c>
      <c r="D237" s="233">
        <v>2016</v>
      </c>
      <c r="E237" s="199">
        <v>5</v>
      </c>
      <c r="F237" s="231"/>
      <c r="G237" s="232" t="s">
        <v>452</v>
      </c>
      <c r="H237" s="163">
        <v>10</v>
      </c>
      <c r="I237" s="230">
        <f t="shared" ref="I237:I255" si="101">D237+H237</f>
        <v>2026</v>
      </c>
      <c r="J237" s="163"/>
      <c r="K237" s="163"/>
      <c r="L237" s="214">
        <v>8579.4</v>
      </c>
      <c r="M237" s="163"/>
      <c r="N237" s="163">
        <f t="shared" ref="N237:N255" si="102">L237-L237*F237</f>
        <v>8579.4</v>
      </c>
      <c r="O237" s="199">
        <f t="shared" ref="O237:O256" si="103">N237/H237/12</f>
        <v>71.49499999999999</v>
      </c>
      <c r="P237" s="199">
        <f t="shared" ref="P237:P256" si="104">IF(M237&gt;0,0,IF((OR((AA237&gt;AB237),(AC237&lt;AD237))),0,IF((AND((AC237&gt;=AD237),(AC237&lt;=AB237))),O237*((AC237-AD237)*12),IF((AND((AD237&lt;=AA237),(AB237&gt;=AA237))),((AB237-AA237)*12)*O237,IF(AC237&gt;AB237,12*O237,0)))))</f>
        <v>357.47500000006499</v>
      </c>
      <c r="Q237" s="199">
        <f t="shared" ref="Q237:Q256" si="105">IF(M237=0,0,IF((AND((AE237&gt;=AD237),(AE237&lt;=AC237))),((AE237-AD237)*12)*O237,0))</f>
        <v>0</v>
      </c>
      <c r="R237" s="199">
        <f t="shared" ref="R237:R256" si="106">IF(Q237&gt;0,Q237,P237)</f>
        <v>357.47500000006499</v>
      </c>
      <c r="S237" s="199">
        <v>1</v>
      </c>
      <c r="T237" s="199">
        <f t="shared" ref="T237:T256" si="107">S237*SUM(P237:Q237)</f>
        <v>357.47500000006499</v>
      </c>
      <c r="U237" s="199">
        <f t="shared" ref="U237:U256" si="108">IF(AA237&gt;AB237,0,IF(AC237&lt;AD237,N237,IF((AND((AC237&gt;=AD237),(AC237&lt;=AB237))),(N237-R237),IF((AND((AD237&lt;=AA237),(AB237&gt;=AA237))),0,IF(AC237&gt;AB237,((AD237-AA237)*12)*O237,0)))))</f>
        <v>0</v>
      </c>
      <c r="V237" s="199">
        <f t="shared" ref="V237:V256" si="109">U237*S237</f>
        <v>0</v>
      </c>
      <c r="W237" s="199">
        <v>1</v>
      </c>
      <c r="X237" s="199">
        <f t="shared" ref="X237:X256" si="110">V237*W237</f>
        <v>0</v>
      </c>
      <c r="Y237" s="199">
        <f t="shared" ref="Y237:Y256" si="111">IF(M237&gt;0,0,X237+T237*W237)*W237</f>
        <v>357.47500000006499</v>
      </c>
      <c r="Z237" s="199">
        <f t="shared" ref="Z237:Z256" si="112">IF(M237&gt;0,(L237-X237)/2,IF(AA237&gt;=AD237,(((L237*S237)*W237)-Y237)/2,((((L237*S237)*W237)-X237)+(((L237*S237)*W237)-Y237))/2))</f>
        <v>4110.9624999999669</v>
      </c>
      <c r="AA237" s="215">
        <f t="shared" si="99"/>
        <v>2016.3333333333333</v>
      </c>
      <c r="AB237" s="199">
        <f t="shared" ref="AB237:AB256" si="113">($N$5+1)-($N$2/12)</f>
        <v>2016.75</v>
      </c>
      <c r="AC237" s="199">
        <f t="shared" ref="AC237:AC256" si="114">$I237+(($E237-1)/12)</f>
        <v>2026.3333333333333</v>
      </c>
      <c r="AD237" s="215">
        <f t="shared" ref="AD237:AD256" si="115">$N$4+($N$3/12)</f>
        <v>2015.75</v>
      </c>
      <c r="AE237" s="215">
        <f t="shared" ref="AE237:AE256" si="116">$J237+(($K237-1)/12)</f>
        <v>-8.3333333333333329E-2</v>
      </c>
      <c r="AF237" s="215">
        <f t="shared" si="100"/>
        <v>2026.3333333333333</v>
      </c>
      <c r="AG237" s="215">
        <f t="shared" ref="AG237:AG256" si="117">$N$4+($N$3/12)</f>
        <v>2015.75</v>
      </c>
      <c r="AH237" s="215">
        <f t="shared" ref="AH237:AH256" si="118">$J237+(($K237-1)/12)</f>
        <v>-8.3333333333333329E-2</v>
      </c>
      <c r="AI237" s="199" t="s">
        <v>471</v>
      </c>
      <c r="AJ237" s="163"/>
      <c r="AK237" s="163"/>
      <c r="AL237" s="163"/>
    </row>
    <row r="238" spans="1:38" x14ac:dyDescent="0.25">
      <c r="A238" s="195" t="s">
        <v>833</v>
      </c>
      <c r="B238" s="163" t="s">
        <v>589</v>
      </c>
      <c r="C238" s="209" t="s">
        <v>834</v>
      </c>
      <c r="D238" s="233">
        <v>2016</v>
      </c>
      <c r="E238" s="199">
        <v>6</v>
      </c>
      <c r="F238" s="231"/>
      <c r="G238" s="232" t="s">
        <v>452</v>
      </c>
      <c r="H238" s="163">
        <v>10</v>
      </c>
      <c r="I238" s="230">
        <f t="shared" si="101"/>
        <v>2026</v>
      </c>
      <c r="J238" s="163"/>
      <c r="K238" s="163"/>
      <c r="L238" s="214">
        <v>17050.2</v>
      </c>
      <c r="M238" s="163"/>
      <c r="N238" s="163">
        <f t="shared" si="102"/>
        <v>17050.2</v>
      </c>
      <c r="O238" s="199">
        <f t="shared" si="103"/>
        <v>142.08500000000001</v>
      </c>
      <c r="P238" s="199">
        <f t="shared" si="104"/>
        <v>568.33999999987077</v>
      </c>
      <c r="Q238" s="199">
        <f t="shared" si="105"/>
        <v>0</v>
      </c>
      <c r="R238" s="199">
        <f t="shared" si="106"/>
        <v>568.33999999987077</v>
      </c>
      <c r="S238" s="199">
        <v>1</v>
      </c>
      <c r="T238" s="199">
        <f t="shared" si="107"/>
        <v>568.33999999987077</v>
      </c>
      <c r="U238" s="199">
        <f t="shared" si="108"/>
        <v>0</v>
      </c>
      <c r="V238" s="199">
        <f t="shared" si="109"/>
        <v>0</v>
      </c>
      <c r="W238" s="199">
        <v>1</v>
      </c>
      <c r="X238" s="199">
        <f t="shared" si="110"/>
        <v>0</v>
      </c>
      <c r="Y238" s="199">
        <f t="shared" si="111"/>
        <v>568.33999999987077</v>
      </c>
      <c r="Z238" s="199">
        <f t="shared" si="112"/>
        <v>8240.9300000000658</v>
      </c>
      <c r="AA238" s="215">
        <f t="shared" si="99"/>
        <v>2016.4166666666667</v>
      </c>
      <c r="AB238" s="199">
        <f t="shared" si="113"/>
        <v>2016.75</v>
      </c>
      <c r="AC238" s="199">
        <f t="shared" si="114"/>
        <v>2026.4166666666667</v>
      </c>
      <c r="AD238" s="215">
        <f t="shared" si="115"/>
        <v>2015.75</v>
      </c>
      <c r="AE238" s="215">
        <f t="shared" si="116"/>
        <v>-8.3333333333333329E-2</v>
      </c>
      <c r="AF238" s="215">
        <f t="shared" si="100"/>
        <v>2026.4166666666667</v>
      </c>
      <c r="AG238" s="215">
        <f t="shared" si="117"/>
        <v>2015.75</v>
      </c>
      <c r="AH238" s="215">
        <f t="shared" si="118"/>
        <v>-8.3333333333333329E-2</v>
      </c>
      <c r="AI238" s="199" t="s">
        <v>471</v>
      </c>
      <c r="AJ238" s="163"/>
      <c r="AK238" s="163"/>
      <c r="AL238" s="163"/>
    </row>
    <row r="239" spans="1:38" x14ac:dyDescent="0.25">
      <c r="A239" s="195" t="s">
        <v>835</v>
      </c>
      <c r="B239" s="163" t="s">
        <v>589</v>
      </c>
      <c r="C239" s="209" t="s">
        <v>836</v>
      </c>
      <c r="D239" s="233">
        <v>2016</v>
      </c>
      <c r="E239" s="199">
        <v>6</v>
      </c>
      <c r="F239" s="231"/>
      <c r="G239" s="232" t="s">
        <v>452</v>
      </c>
      <c r="H239" s="163">
        <v>10</v>
      </c>
      <c r="I239" s="230">
        <f t="shared" si="101"/>
        <v>2026</v>
      </c>
      <c r="J239" s="163"/>
      <c r="K239" s="163"/>
      <c r="L239" s="214">
        <v>7819.2</v>
      </c>
      <c r="M239" s="163"/>
      <c r="N239" s="163">
        <f t="shared" si="102"/>
        <v>7819.2</v>
      </c>
      <c r="O239" s="199">
        <f t="shared" si="103"/>
        <v>65.16</v>
      </c>
      <c r="P239" s="199">
        <f t="shared" si="104"/>
        <v>260.6399999999407</v>
      </c>
      <c r="Q239" s="199">
        <f t="shared" si="105"/>
        <v>0</v>
      </c>
      <c r="R239" s="199">
        <f t="shared" si="106"/>
        <v>260.6399999999407</v>
      </c>
      <c r="S239" s="199">
        <v>1</v>
      </c>
      <c r="T239" s="199">
        <f t="shared" si="107"/>
        <v>260.6399999999407</v>
      </c>
      <c r="U239" s="199">
        <f t="shared" si="108"/>
        <v>0</v>
      </c>
      <c r="V239" s="199">
        <f t="shared" si="109"/>
        <v>0</v>
      </c>
      <c r="W239" s="199">
        <v>1</v>
      </c>
      <c r="X239" s="199">
        <f t="shared" si="110"/>
        <v>0</v>
      </c>
      <c r="Y239" s="199">
        <f t="shared" si="111"/>
        <v>260.6399999999407</v>
      </c>
      <c r="Z239" s="199">
        <f t="shared" si="112"/>
        <v>3779.2800000000298</v>
      </c>
      <c r="AA239" s="215">
        <f t="shared" si="99"/>
        <v>2016.4166666666667</v>
      </c>
      <c r="AB239" s="199">
        <f t="shared" si="113"/>
        <v>2016.75</v>
      </c>
      <c r="AC239" s="199">
        <f t="shared" si="114"/>
        <v>2026.4166666666667</v>
      </c>
      <c r="AD239" s="215">
        <f t="shared" si="115"/>
        <v>2015.75</v>
      </c>
      <c r="AE239" s="215">
        <f t="shared" si="116"/>
        <v>-8.3333333333333329E-2</v>
      </c>
      <c r="AF239" s="215">
        <f t="shared" si="100"/>
        <v>2026.4166666666667</v>
      </c>
      <c r="AG239" s="215">
        <f t="shared" si="117"/>
        <v>2015.75</v>
      </c>
      <c r="AH239" s="215">
        <f t="shared" si="118"/>
        <v>-8.3333333333333329E-2</v>
      </c>
      <c r="AI239" s="199" t="s">
        <v>471</v>
      </c>
      <c r="AJ239" s="163"/>
      <c r="AK239" s="163"/>
      <c r="AL239" s="163"/>
    </row>
    <row r="240" spans="1:38" x14ac:dyDescent="0.25">
      <c r="A240" s="195" t="s">
        <v>837</v>
      </c>
      <c r="B240" s="163" t="s">
        <v>589</v>
      </c>
      <c r="C240" s="209" t="s">
        <v>828</v>
      </c>
      <c r="D240" s="233">
        <v>2016</v>
      </c>
      <c r="E240" s="199">
        <v>6</v>
      </c>
      <c r="F240" s="231"/>
      <c r="G240" s="232" t="s">
        <v>452</v>
      </c>
      <c r="H240" s="163">
        <v>10</v>
      </c>
      <c r="I240" s="230">
        <f t="shared" si="101"/>
        <v>2026</v>
      </c>
      <c r="J240" s="163"/>
      <c r="K240" s="163"/>
      <c r="L240" s="214">
        <v>12814.8</v>
      </c>
      <c r="M240" s="163"/>
      <c r="N240" s="163">
        <f t="shared" si="102"/>
        <v>12814.8</v>
      </c>
      <c r="O240" s="199">
        <f t="shared" si="103"/>
        <v>106.79</v>
      </c>
      <c r="P240" s="199">
        <f t="shared" si="104"/>
        <v>427.15999999990288</v>
      </c>
      <c r="Q240" s="199">
        <f t="shared" si="105"/>
        <v>0</v>
      </c>
      <c r="R240" s="199">
        <f t="shared" si="106"/>
        <v>427.15999999990288</v>
      </c>
      <c r="S240" s="199">
        <v>1</v>
      </c>
      <c r="T240" s="199">
        <f t="shared" si="107"/>
        <v>427.15999999990288</v>
      </c>
      <c r="U240" s="199">
        <f t="shared" si="108"/>
        <v>0</v>
      </c>
      <c r="V240" s="199">
        <f t="shared" si="109"/>
        <v>0</v>
      </c>
      <c r="W240" s="199">
        <v>1</v>
      </c>
      <c r="X240" s="199">
        <f t="shared" si="110"/>
        <v>0</v>
      </c>
      <c r="Y240" s="199">
        <f t="shared" si="111"/>
        <v>427.15999999990288</v>
      </c>
      <c r="Z240" s="199">
        <f t="shared" si="112"/>
        <v>6193.8200000000479</v>
      </c>
      <c r="AA240" s="215">
        <f t="shared" si="99"/>
        <v>2016.4166666666667</v>
      </c>
      <c r="AB240" s="199">
        <f t="shared" si="113"/>
        <v>2016.75</v>
      </c>
      <c r="AC240" s="199">
        <f t="shared" si="114"/>
        <v>2026.4166666666667</v>
      </c>
      <c r="AD240" s="215">
        <f t="shared" si="115"/>
        <v>2015.75</v>
      </c>
      <c r="AE240" s="215">
        <f t="shared" si="116"/>
        <v>-8.3333333333333329E-2</v>
      </c>
      <c r="AF240" s="215">
        <f t="shared" si="100"/>
        <v>2026.4166666666667</v>
      </c>
      <c r="AG240" s="215">
        <f t="shared" si="117"/>
        <v>2015.75</v>
      </c>
      <c r="AH240" s="215">
        <f t="shared" si="118"/>
        <v>-8.3333333333333329E-2</v>
      </c>
      <c r="AI240" s="199" t="s">
        <v>471</v>
      </c>
      <c r="AJ240" s="163"/>
      <c r="AK240" s="163"/>
      <c r="AL240" s="163"/>
    </row>
    <row r="241" spans="1:38" x14ac:dyDescent="0.25">
      <c r="A241" s="195" t="s">
        <v>838</v>
      </c>
      <c r="B241" s="163" t="s">
        <v>589</v>
      </c>
      <c r="C241" s="209" t="s">
        <v>839</v>
      </c>
      <c r="D241" s="233">
        <v>2016</v>
      </c>
      <c r="E241" s="199">
        <v>6</v>
      </c>
      <c r="F241" s="231"/>
      <c r="G241" s="232" t="s">
        <v>452</v>
      </c>
      <c r="H241" s="163">
        <v>10</v>
      </c>
      <c r="I241" s="230">
        <f t="shared" si="101"/>
        <v>2026</v>
      </c>
      <c r="J241" s="163"/>
      <c r="K241" s="163"/>
      <c r="L241" s="214">
        <v>17267.400000000001</v>
      </c>
      <c r="M241" s="163"/>
      <c r="N241" s="163">
        <f t="shared" si="102"/>
        <v>17267.400000000001</v>
      </c>
      <c r="O241" s="199">
        <f t="shared" si="103"/>
        <v>143.89500000000001</v>
      </c>
      <c r="P241" s="199">
        <f t="shared" si="104"/>
        <v>575.57999999986919</v>
      </c>
      <c r="Q241" s="199">
        <f t="shared" si="105"/>
        <v>0</v>
      </c>
      <c r="R241" s="199">
        <f t="shared" si="106"/>
        <v>575.57999999986919</v>
      </c>
      <c r="S241" s="199">
        <v>1</v>
      </c>
      <c r="T241" s="199">
        <f t="shared" si="107"/>
        <v>575.57999999986919</v>
      </c>
      <c r="U241" s="199">
        <f t="shared" si="108"/>
        <v>0</v>
      </c>
      <c r="V241" s="199">
        <f t="shared" si="109"/>
        <v>0</v>
      </c>
      <c r="W241" s="199">
        <v>1</v>
      </c>
      <c r="X241" s="199">
        <f t="shared" si="110"/>
        <v>0</v>
      </c>
      <c r="Y241" s="199">
        <f t="shared" si="111"/>
        <v>575.57999999986919</v>
      </c>
      <c r="Z241" s="199">
        <f t="shared" si="112"/>
        <v>8345.9100000000653</v>
      </c>
      <c r="AA241" s="215">
        <f t="shared" si="99"/>
        <v>2016.4166666666667</v>
      </c>
      <c r="AB241" s="199">
        <f t="shared" si="113"/>
        <v>2016.75</v>
      </c>
      <c r="AC241" s="199">
        <f t="shared" si="114"/>
        <v>2026.4166666666667</v>
      </c>
      <c r="AD241" s="215">
        <f t="shared" si="115"/>
        <v>2015.75</v>
      </c>
      <c r="AE241" s="215">
        <f t="shared" si="116"/>
        <v>-8.3333333333333329E-2</v>
      </c>
      <c r="AF241" s="215">
        <f t="shared" si="100"/>
        <v>2026.4166666666667</v>
      </c>
      <c r="AG241" s="215">
        <f t="shared" si="117"/>
        <v>2015.75</v>
      </c>
      <c r="AH241" s="215">
        <f t="shared" si="118"/>
        <v>-8.3333333333333329E-2</v>
      </c>
      <c r="AI241" s="199" t="s">
        <v>471</v>
      </c>
      <c r="AJ241" s="163"/>
      <c r="AK241" s="163"/>
      <c r="AL241" s="163"/>
    </row>
    <row r="242" spans="1:38" x14ac:dyDescent="0.25">
      <c r="A242" s="195" t="s">
        <v>840</v>
      </c>
      <c r="B242" s="163" t="s">
        <v>589</v>
      </c>
      <c r="C242" s="209" t="s">
        <v>841</v>
      </c>
      <c r="D242" s="233">
        <v>2016</v>
      </c>
      <c r="E242" s="199">
        <v>6</v>
      </c>
      <c r="F242" s="231"/>
      <c r="G242" s="232" t="s">
        <v>452</v>
      </c>
      <c r="H242" s="163">
        <v>10</v>
      </c>
      <c r="I242" s="230">
        <f t="shared" si="101"/>
        <v>2026</v>
      </c>
      <c r="J242" s="163"/>
      <c r="K242" s="163"/>
      <c r="L242" s="214">
        <v>12543.3</v>
      </c>
      <c r="M242" s="163"/>
      <c r="N242" s="163">
        <f t="shared" si="102"/>
        <v>12543.3</v>
      </c>
      <c r="O242" s="199">
        <f t="shared" si="103"/>
        <v>104.52749999999999</v>
      </c>
      <c r="P242" s="199">
        <f t="shared" si="104"/>
        <v>418.10999999990491</v>
      </c>
      <c r="Q242" s="199">
        <f t="shared" si="105"/>
        <v>0</v>
      </c>
      <c r="R242" s="199">
        <f t="shared" si="106"/>
        <v>418.10999999990491</v>
      </c>
      <c r="S242" s="199">
        <v>1</v>
      </c>
      <c r="T242" s="199">
        <f t="shared" si="107"/>
        <v>418.10999999990491</v>
      </c>
      <c r="U242" s="199">
        <f t="shared" si="108"/>
        <v>0</v>
      </c>
      <c r="V242" s="199">
        <f t="shared" si="109"/>
        <v>0</v>
      </c>
      <c r="W242" s="199">
        <v>1</v>
      </c>
      <c r="X242" s="199">
        <f t="shared" si="110"/>
        <v>0</v>
      </c>
      <c r="Y242" s="199">
        <f t="shared" si="111"/>
        <v>418.10999999990491</v>
      </c>
      <c r="Z242" s="199">
        <f t="shared" si="112"/>
        <v>6062.5950000000475</v>
      </c>
      <c r="AA242" s="215">
        <f t="shared" si="99"/>
        <v>2016.4166666666667</v>
      </c>
      <c r="AB242" s="199">
        <f t="shared" si="113"/>
        <v>2016.75</v>
      </c>
      <c r="AC242" s="199">
        <f t="shared" si="114"/>
        <v>2026.4166666666667</v>
      </c>
      <c r="AD242" s="215">
        <f t="shared" si="115"/>
        <v>2015.75</v>
      </c>
      <c r="AE242" s="215">
        <f t="shared" si="116"/>
        <v>-8.3333333333333329E-2</v>
      </c>
      <c r="AF242" s="215">
        <f t="shared" si="100"/>
        <v>2026.4166666666667</v>
      </c>
      <c r="AG242" s="215">
        <f t="shared" si="117"/>
        <v>2015.75</v>
      </c>
      <c r="AH242" s="215">
        <f t="shared" si="118"/>
        <v>-8.3333333333333329E-2</v>
      </c>
      <c r="AI242" s="199" t="s">
        <v>471</v>
      </c>
      <c r="AJ242" s="163"/>
      <c r="AK242" s="163"/>
      <c r="AL242" s="163"/>
    </row>
    <row r="243" spans="1:38" x14ac:dyDescent="0.25">
      <c r="A243" s="195" t="s">
        <v>842</v>
      </c>
      <c r="B243" s="163" t="s">
        <v>589</v>
      </c>
      <c r="C243" s="209" t="s">
        <v>843</v>
      </c>
      <c r="D243" s="233">
        <v>2016</v>
      </c>
      <c r="E243" s="199">
        <v>6</v>
      </c>
      <c r="F243" s="231"/>
      <c r="G243" s="232" t="s">
        <v>452</v>
      </c>
      <c r="H243" s="163">
        <v>10</v>
      </c>
      <c r="I243" s="230">
        <f t="shared" si="101"/>
        <v>2026</v>
      </c>
      <c r="J243" s="163"/>
      <c r="K243" s="163"/>
      <c r="L243" s="214">
        <v>1227.18</v>
      </c>
      <c r="M243" s="163"/>
      <c r="N243" s="163">
        <f t="shared" si="102"/>
        <v>1227.18</v>
      </c>
      <c r="O243" s="199">
        <f t="shared" si="103"/>
        <v>10.2265</v>
      </c>
      <c r="P243" s="199">
        <f t="shared" si="104"/>
        <v>40.905999999990698</v>
      </c>
      <c r="Q243" s="199">
        <f t="shared" si="105"/>
        <v>0</v>
      </c>
      <c r="R243" s="199">
        <f t="shared" si="106"/>
        <v>40.905999999990698</v>
      </c>
      <c r="S243" s="199">
        <v>1</v>
      </c>
      <c r="T243" s="199">
        <f t="shared" si="107"/>
        <v>40.905999999990698</v>
      </c>
      <c r="U243" s="199">
        <f t="shared" si="108"/>
        <v>0</v>
      </c>
      <c r="V243" s="199">
        <f t="shared" si="109"/>
        <v>0</v>
      </c>
      <c r="W243" s="199">
        <v>1</v>
      </c>
      <c r="X243" s="199">
        <f t="shared" si="110"/>
        <v>0</v>
      </c>
      <c r="Y243" s="199">
        <f t="shared" si="111"/>
        <v>40.905999999990698</v>
      </c>
      <c r="Z243" s="199">
        <f t="shared" si="112"/>
        <v>593.13700000000472</v>
      </c>
      <c r="AA243" s="215">
        <f t="shared" si="99"/>
        <v>2016.4166666666667</v>
      </c>
      <c r="AB243" s="199">
        <f t="shared" si="113"/>
        <v>2016.75</v>
      </c>
      <c r="AC243" s="199">
        <f t="shared" si="114"/>
        <v>2026.4166666666667</v>
      </c>
      <c r="AD243" s="215">
        <f t="shared" si="115"/>
        <v>2015.75</v>
      </c>
      <c r="AE243" s="215">
        <f t="shared" si="116"/>
        <v>-8.3333333333333329E-2</v>
      </c>
      <c r="AF243" s="215">
        <f t="shared" si="100"/>
        <v>2026.4166666666667</v>
      </c>
      <c r="AG243" s="215">
        <f t="shared" si="117"/>
        <v>2015.75</v>
      </c>
      <c r="AH243" s="215">
        <f t="shared" si="118"/>
        <v>-8.3333333333333329E-2</v>
      </c>
      <c r="AI243" s="199" t="s">
        <v>471</v>
      </c>
      <c r="AJ243" s="163"/>
      <c r="AK243" s="163"/>
      <c r="AL243" s="163"/>
    </row>
    <row r="244" spans="1:38" x14ac:dyDescent="0.25">
      <c r="A244" s="195" t="s">
        <v>844</v>
      </c>
      <c r="B244" s="163" t="s">
        <v>589</v>
      </c>
      <c r="C244" s="209" t="s">
        <v>843</v>
      </c>
      <c r="D244" s="233">
        <v>2016</v>
      </c>
      <c r="E244" s="199">
        <v>6</v>
      </c>
      <c r="F244" s="231"/>
      <c r="G244" s="232" t="s">
        <v>452</v>
      </c>
      <c r="H244" s="163">
        <v>10</v>
      </c>
      <c r="I244" s="230">
        <f t="shared" si="101"/>
        <v>2026</v>
      </c>
      <c r="J244" s="163"/>
      <c r="K244" s="163"/>
      <c r="L244" s="214">
        <v>1227.18</v>
      </c>
      <c r="M244" s="163"/>
      <c r="N244" s="163">
        <f t="shared" si="102"/>
        <v>1227.18</v>
      </c>
      <c r="O244" s="199">
        <f t="shared" si="103"/>
        <v>10.2265</v>
      </c>
      <c r="P244" s="199">
        <f t="shared" si="104"/>
        <v>40.905999999990698</v>
      </c>
      <c r="Q244" s="199">
        <f t="shared" si="105"/>
        <v>0</v>
      </c>
      <c r="R244" s="199">
        <f t="shared" si="106"/>
        <v>40.905999999990698</v>
      </c>
      <c r="S244" s="199">
        <v>1</v>
      </c>
      <c r="T244" s="199">
        <f t="shared" si="107"/>
        <v>40.905999999990698</v>
      </c>
      <c r="U244" s="199">
        <f t="shared" si="108"/>
        <v>0</v>
      </c>
      <c r="V244" s="199">
        <f t="shared" si="109"/>
        <v>0</v>
      </c>
      <c r="W244" s="199">
        <v>1</v>
      </c>
      <c r="X244" s="199">
        <f t="shared" si="110"/>
        <v>0</v>
      </c>
      <c r="Y244" s="199">
        <f t="shared" si="111"/>
        <v>40.905999999990698</v>
      </c>
      <c r="Z244" s="199">
        <f t="shared" si="112"/>
        <v>593.13700000000472</v>
      </c>
      <c r="AA244" s="215">
        <f t="shared" si="99"/>
        <v>2016.4166666666667</v>
      </c>
      <c r="AB244" s="199">
        <f t="shared" si="113"/>
        <v>2016.75</v>
      </c>
      <c r="AC244" s="199">
        <f t="shared" si="114"/>
        <v>2026.4166666666667</v>
      </c>
      <c r="AD244" s="215">
        <f t="shared" si="115"/>
        <v>2015.75</v>
      </c>
      <c r="AE244" s="215">
        <f t="shared" si="116"/>
        <v>-8.3333333333333329E-2</v>
      </c>
      <c r="AF244" s="215">
        <f t="shared" si="100"/>
        <v>2026.4166666666667</v>
      </c>
      <c r="AG244" s="215">
        <f t="shared" si="117"/>
        <v>2015.75</v>
      </c>
      <c r="AH244" s="215">
        <f t="shared" si="118"/>
        <v>-8.3333333333333329E-2</v>
      </c>
      <c r="AI244" s="199" t="s">
        <v>471</v>
      </c>
      <c r="AJ244" s="163"/>
      <c r="AK244" s="163"/>
      <c r="AL244" s="163"/>
    </row>
    <row r="245" spans="1:38" x14ac:dyDescent="0.25">
      <c r="A245" s="195" t="s">
        <v>845</v>
      </c>
      <c r="B245" s="163" t="s">
        <v>589</v>
      </c>
      <c r="C245" s="209" t="s">
        <v>846</v>
      </c>
      <c r="D245" s="233">
        <v>2016</v>
      </c>
      <c r="E245" s="199">
        <v>6</v>
      </c>
      <c r="F245" s="231"/>
      <c r="G245" s="232" t="s">
        <v>452</v>
      </c>
      <c r="H245" s="163">
        <v>10</v>
      </c>
      <c r="I245" s="230">
        <f t="shared" si="101"/>
        <v>2026</v>
      </c>
      <c r="J245" s="163"/>
      <c r="K245" s="163"/>
      <c r="L245" s="214">
        <v>6749.49</v>
      </c>
      <c r="M245" s="163"/>
      <c r="N245" s="163">
        <f t="shared" si="102"/>
        <v>6749.49</v>
      </c>
      <c r="O245" s="199">
        <f t="shared" si="103"/>
        <v>56.245749999999994</v>
      </c>
      <c r="P245" s="199">
        <f t="shared" si="104"/>
        <v>224.98299999994882</v>
      </c>
      <c r="Q245" s="199">
        <f t="shared" si="105"/>
        <v>0</v>
      </c>
      <c r="R245" s="199">
        <f t="shared" si="106"/>
        <v>224.98299999994882</v>
      </c>
      <c r="S245" s="199">
        <v>1</v>
      </c>
      <c r="T245" s="199">
        <f t="shared" si="107"/>
        <v>224.98299999994882</v>
      </c>
      <c r="U245" s="199">
        <f t="shared" si="108"/>
        <v>0</v>
      </c>
      <c r="V245" s="199">
        <f t="shared" si="109"/>
        <v>0</v>
      </c>
      <c r="W245" s="199">
        <v>1</v>
      </c>
      <c r="X245" s="199">
        <f t="shared" si="110"/>
        <v>0</v>
      </c>
      <c r="Y245" s="199">
        <f t="shared" si="111"/>
        <v>224.98299999994882</v>
      </c>
      <c r="Z245" s="199">
        <f t="shared" si="112"/>
        <v>3262.2535000000253</v>
      </c>
      <c r="AA245" s="215">
        <f t="shared" si="99"/>
        <v>2016.4166666666667</v>
      </c>
      <c r="AB245" s="199">
        <f t="shared" si="113"/>
        <v>2016.75</v>
      </c>
      <c r="AC245" s="199">
        <f t="shared" si="114"/>
        <v>2026.4166666666667</v>
      </c>
      <c r="AD245" s="215">
        <f t="shared" si="115"/>
        <v>2015.75</v>
      </c>
      <c r="AE245" s="215">
        <f t="shared" si="116"/>
        <v>-8.3333333333333329E-2</v>
      </c>
      <c r="AF245" s="215">
        <f t="shared" si="100"/>
        <v>2026.4166666666667</v>
      </c>
      <c r="AG245" s="215">
        <f t="shared" si="117"/>
        <v>2015.75</v>
      </c>
      <c r="AH245" s="215">
        <f t="shared" si="118"/>
        <v>-8.3333333333333329E-2</v>
      </c>
      <c r="AI245" s="199" t="s">
        <v>471</v>
      </c>
      <c r="AJ245" s="163"/>
      <c r="AK245" s="163"/>
      <c r="AL245" s="163"/>
    </row>
    <row r="246" spans="1:38" x14ac:dyDescent="0.25">
      <c r="A246" s="195" t="s">
        <v>847</v>
      </c>
      <c r="B246" s="163" t="s">
        <v>589</v>
      </c>
      <c r="C246" s="209" t="s">
        <v>848</v>
      </c>
      <c r="D246" s="233">
        <v>2008</v>
      </c>
      <c r="E246" s="199">
        <v>7</v>
      </c>
      <c r="F246" s="231"/>
      <c r="G246" s="232" t="s">
        <v>452</v>
      </c>
      <c r="H246" s="163">
        <v>10</v>
      </c>
      <c r="I246" s="230">
        <f t="shared" si="101"/>
        <v>2018</v>
      </c>
      <c r="J246" s="163"/>
      <c r="K246" s="163"/>
      <c r="L246" s="214">
        <v>25406</v>
      </c>
      <c r="M246" s="163"/>
      <c r="N246" s="163">
        <f t="shared" si="102"/>
        <v>25406</v>
      </c>
      <c r="O246" s="199">
        <f t="shared" si="103"/>
        <v>211.71666666666667</v>
      </c>
      <c r="P246" s="199">
        <f t="shared" si="104"/>
        <v>2540.6</v>
      </c>
      <c r="Q246" s="199">
        <f t="shared" si="105"/>
        <v>0</v>
      </c>
      <c r="R246" s="199">
        <f t="shared" si="106"/>
        <v>2540.6</v>
      </c>
      <c r="S246" s="199">
        <v>1</v>
      </c>
      <c r="T246" s="199">
        <f t="shared" si="107"/>
        <v>2540.6</v>
      </c>
      <c r="U246" s="199">
        <f t="shared" si="108"/>
        <v>18419.349999999999</v>
      </c>
      <c r="V246" s="199">
        <f t="shared" si="109"/>
        <v>18419.349999999999</v>
      </c>
      <c r="W246" s="199">
        <v>1</v>
      </c>
      <c r="X246" s="199">
        <f t="shared" si="110"/>
        <v>18419.349999999999</v>
      </c>
      <c r="Y246" s="199">
        <f t="shared" si="111"/>
        <v>20959.949999999997</v>
      </c>
      <c r="Z246" s="199">
        <f t="shared" si="112"/>
        <v>5716.3500000000022</v>
      </c>
      <c r="AA246" s="215">
        <f t="shared" si="99"/>
        <v>2008.5</v>
      </c>
      <c r="AB246" s="199">
        <f t="shared" si="113"/>
        <v>2016.75</v>
      </c>
      <c r="AC246" s="199">
        <f t="shared" si="114"/>
        <v>2018.5</v>
      </c>
      <c r="AD246" s="215">
        <f t="shared" si="115"/>
        <v>2015.75</v>
      </c>
      <c r="AE246" s="215">
        <f t="shared" si="116"/>
        <v>-8.3333333333333329E-2</v>
      </c>
      <c r="AF246" s="215">
        <f t="shared" si="100"/>
        <v>2018.5</v>
      </c>
      <c r="AG246" s="215">
        <f t="shared" si="117"/>
        <v>2015.75</v>
      </c>
      <c r="AH246" s="215">
        <f t="shared" si="118"/>
        <v>-8.3333333333333329E-2</v>
      </c>
      <c r="AI246" s="199" t="s">
        <v>471</v>
      </c>
      <c r="AJ246" s="163"/>
      <c r="AK246" s="163"/>
      <c r="AL246" s="163"/>
    </row>
    <row r="247" spans="1:38" x14ac:dyDescent="0.25">
      <c r="A247" s="195" t="s">
        <v>849</v>
      </c>
      <c r="B247" s="163" t="s">
        <v>589</v>
      </c>
      <c r="C247" s="209" t="s">
        <v>850</v>
      </c>
      <c r="D247" s="233">
        <v>2008</v>
      </c>
      <c r="E247" s="199">
        <v>7</v>
      </c>
      <c r="F247" s="231"/>
      <c r="G247" s="232" t="s">
        <v>452</v>
      </c>
      <c r="H247" s="163">
        <v>10</v>
      </c>
      <c r="I247" s="230">
        <f t="shared" si="101"/>
        <v>2018</v>
      </c>
      <c r="J247" s="163"/>
      <c r="K247" s="163"/>
      <c r="L247" s="214">
        <v>8588</v>
      </c>
      <c r="M247" s="163"/>
      <c r="N247" s="163">
        <f t="shared" si="102"/>
        <v>8588</v>
      </c>
      <c r="O247" s="199">
        <f t="shared" si="103"/>
        <v>71.566666666666663</v>
      </c>
      <c r="P247" s="199">
        <f t="shared" si="104"/>
        <v>858.8</v>
      </c>
      <c r="Q247" s="199">
        <f t="shared" si="105"/>
        <v>0</v>
      </c>
      <c r="R247" s="199">
        <f t="shared" si="106"/>
        <v>858.8</v>
      </c>
      <c r="S247" s="199">
        <v>1</v>
      </c>
      <c r="T247" s="199">
        <f t="shared" si="107"/>
        <v>858.8</v>
      </c>
      <c r="U247" s="199">
        <f t="shared" si="108"/>
        <v>6226.2999999999993</v>
      </c>
      <c r="V247" s="199">
        <f t="shared" si="109"/>
        <v>6226.2999999999993</v>
      </c>
      <c r="W247" s="199">
        <v>1</v>
      </c>
      <c r="X247" s="199">
        <f t="shared" si="110"/>
        <v>6226.2999999999993</v>
      </c>
      <c r="Y247" s="199">
        <f t="shared" si="111"/>
        <v>7085.0999999999995</v>
      </c>
      <c r="Z247" s="199">
        <f t="shared" si="112"/>
        <v>1932.3000000000006</v>
      </c>
      <c r="AA247" s="215">
        <f t="shared" si="99"/>
        <v>2008.5</v>
      </c>
      <c r="AB247" s="199">
        <f t="shared" si="113"/>
        <v>2016.75</v>
      </c>
      <c r="AC247" s="199">
        <f t="shared" si="114"/>
        <v>2018.5</v>
      </c>
      <c r="AD247" s="215">
        <f t="shared" si="115"/>
        <v>2015.75</v>
      </c>
      <c r="AE247" s="215">
        <f t="shared" si="116"/>
        <v>-8.3333333333333329E-2</v>
      </c>
      <c r="AF247" s="215">
        <f t="shared" si="100"/>
        <v>2018.5</v>
      </c>
      <c r="AG247" s="215">
        <f t="shared" si="117"/>
        <v>2015.75</v>
      </c>
      <c r="AH247" s="215">
        <f t="shared" si="118"/>
        <v>-8.3333333333333329E-2</v>
      </c>
      <c r="AI247" s="199" t="s">
        <v>471</v>
      </c>
      <c r="AJ247" s="163"/>
      <c r="AK247" s="163"/>
      <c r="AL247" s="163"/>
    </row>
    <row r="248" spans="1:38" x14ac:dyDescent="0.25">
      <c r="A248" s="195" t="s">
        <v>851</v>
      </c>
      <c r="B248" s="163" t="s">
        <v>589</v>
      </c>
      <c r="C248" s="209" t="s">
        <v>852</v>
      </c>
      <c r="D248" s="233">
        <v>2015</v>
      </c>
      <c r="E248" s="199">
        <v>11</v>
      </c>
      <c r="F248" s="231"/>
      <c r="G248" s="232" t="s">
        <v>452</v>
      </c>
      <c r="H248" s="163">
        <v>10</v>
      </c>
      <c r="I248" s="230">
        <f t="shared" si="101"/>
        <v>2025</v>
      </c>
      <c r="J248" s="163"/>
      <c r="K248" s="163"/>
      <c r="L248" s="214">
        <v>10971.86</v>
      </c>
      <c r="M248" s="163"/>
      <c r="N248" s="163">
        <f t="shared" si="102"/>
        <v>10971.86</v>
      </c>
      <c r="O248" s="199">
        <f t="shared" si="103"/>
        <v>91.432166666666674</v>
      </c>
      <c r="P248" s="199">
        <f t="shared" si="104"/>
        <v>1005.7538333334165</v>
      </c>
      <c r="Q248" s="199">
        <f t="shared" si="105"/>
        <v>0</v>
      </c>
      <c r="R248" s="199">
        <f t="shared" si="106"/>
        <v>1005.7538333334165</v>
      </c>
      <c r="S248" s="199">
        <v>1</v>
      </c>
      <c r="T248" s="199">
        <f t="shared" si="107"/>
        <v>1005.7538333334165</v>
      </c>
      <c r="U248" s="199">
        <f t="shared" si="108"/>
        <v>0</v>
      </c>
      <c r="V248" s="199">
        <f t="shared" si="109"/>
        <v>0</v>
      </c>
      <c r="W248" s="199">
        <v>1</v>
      </c>
      <c r="X248" s="199">
        <f t="shared" si="110"/>
        <v>0</v>
      </c>
      <c r="Y248" s="199">
        <f t="shared" si="111"/>
        <v>1005.7538333334165</v>
      </c>
      <c r="Z248" s="199">
        <f t="shared" si="112"/>
        <v>4983.0530833332923</v>
      </c>
      <c r="AA248" s="215">
        <f t="shared" si="99"/>
        <v>2015.8333333333333</v>
      </c>
      <c r="AB248" s="199">
        <f t="shared" si="113"/>
        <v>2016.75</v>
      </c>
      <c r="AC248" s="199">
        <f t="shared" si="114"/>
        <v>2025.8333333333333</v>
      </c>
      <c r="AD248" s="215">
        <f t="shared" si="115"/>
        <v>2015.75</v>
      </c>
      <c r="AE248" s="215">
        <f t="shared" si="116"/>
        <v>-8.3333333333333329E-2</v>
      </c>
      <c r="AF248" s="215">
        <f t="shared" si="100"/>
        <v>2025.8333333333333</v>
      </c>
      <c r="AG248" s="215">
        <f t="shared" si="117"/>
        <v>2015.75</v>
      </c>
      <c r="AH248" s="215">
        <f t="shared" si="118"/>
        <v>-8.3333333333333329E-2</v>
      </c>
      <c r="AI248" s="199" t="s">
        <v>471</v>
      </c>
      <c r="AJ248" s="163"/>
      <c r="AK248" s="163"/>
      <c r="AL248" s="163"/>
    </row>
    <row r="249" spans="1:38" x14ac:dyDescent="0.25">
      <c r="A249" s="195" t="s">
        <v>853</v>
      </c>
      <c r="B249" s="163" t="s">
        <v>589</v>
      </c>
      <c r="C249" s="209" t="s">
        <v>854</v>
      </c>
      <c r="D249" s="233">
        <v>2015</v>
      </c>
      <c r="E249" s="199">
        <v>11</v>
      </c>
      <c r="F249" s="231"/>
      <c r="G249" s="232" t="s">
        <v>452</v>
      </c>
      <c r="H249" s="163">
        <v>10</v>
      </c>
      <c r="I249" s="230">
        <f t="shared" si="101"/>
        <v>2025</v>
      </c>
      <c r="J249" s="163"/>
      <c r="K249" s="163"/>
      <c r="L249" s="214">
        <v>10079.17</v>
      </c>
      <c r="M249" s="163"/>
      <c r="N249" s="163">
        <f t="shared" si="102"/>
        <v>10079.17</v>
      </c>
      <c r="O249" s="199">
        <f t="shared" si="103"/>
        <v>83.993083333333331</v>
      </c>
      <c r="P249" s="199">
        <f t="shared" si="104"/>
        <v>923.92391666674303</v>
      </c>
      <c r="Q249" s="199">
        <f t="shared" si="105"/>
        <v>0</v>
      </c>
      <c r="R249" s="199">
        <f t="shared" si="106"/>
        <v>923.92391666674303</v>
      </c>
      <c r="S249" s="199">
        <v>1</v>
      </c>
      <c r="T249" s="199">
        <f t="shared" si="107"/>
        <v>923.92391666674303</v>
      </c>
      <c r="U249" s="199">
        <f t="shared" si="108"/>
        <v>0</v>
      </c>
      <c r="V249" s="199">
        <f t="shared" si="109"/>
        <v>0</v>
      </c>
      <c r="W249" s="199">
        <v>1</v>
      </c>
      <c r="X249" s="199">
        <f t="shared" si="110"/>
        <v>0</v>
      </c>
      <c r="Y249" s="199">
        <f t="shared" si="111"/>
        <v>923.92391666674303</v>
      </c>
      <c r="Z249" s="199">
        <f t="shared" si="112"/>
        <v>4577.6230416666285</v>
      </c>
      <c r="AA249" s="215">
        <f t="shared" si="99"/>
        <v>2015.8333333333333</v>
      </c>
      <c r="AB249" s="199">
        <f t="shared" si="113"/>
        <v>2016.75</v>
      </c>
      <c r="AC249" s="199">
        <f t="shared" si="114"/>
        <v>2025.8333333333333</v>
      </c>
      <c r="AD249" s="215">
        <f t="shared" si="115"/>
        <v>2015.75</v>
      </c>
      <c r="AE249" s="215">
        <f t="shared" si="116"/>
        <v>-8.3333333333333329E-2</v>
      </c>
      <c r="AF249" s="215">
        <f t="shared" si="100"/>
        <v>2025.8333333333333</v>
      </c>
      <c r="AG249" s="215">
        <f t="shared" si="117"/>
        <v>2015.75</v>
      </c>
      <c r="AH249" s="215">
        <f t="shared" si="118"/>
        <v>-8.3333333333333329E-2</v>
      </c>
      <c r="AI249" s="199" t="s">
        <v>471</v>
      </c>
      <c r="AJ249" s="163"/>
      <c r="AK249" s="163"/>
      <c r="AL249" s="163"/>
    </row>
    <row r="250" spans="1:38" x14ac:dyDescent="0.25">
      <c r="A250" s="195" t="s">
        <v>855</v>
      </c>
      <c r="B250" s="163" t="s">
        <v>589</v>
      </c>
      <c r="C250" s="209" t="s">
        <v>856</v>
      </c>
      <c r="D250" s="233">
        <v>2015</v>
      </c>
      <c r="E250" s="199">
        <v>12</v>
      </c>
      <c r="F250" s="231"/>
      <c r="G250" s="232" t="s">
        <v>452</v>
      </c>
      <c r="H250" s="163">
        <v>10</v>
      </c>
      <c r="I250" s="230">
        <f t="shared" si="101"/>
        <v>2025</v>
      </c>
      <c r="J250" s="163"/>
      <c r="K250" s="163"/>
      <c r="L250" s="214">
        <v>20348.93</v>
      </c>
      <c r="M250" s="163"/>
      <c r="N250" s="163">
        <f t="shared" si="102"/>
        <v>20348.93</v>
      </c>
      <c r="O250" s="199">
        <f t="shared" si="103"/>
        <v>169.57441666666668</v>
      </c>
      <c r="P250" s="199">
        <f t="shared" si="104"/>
        <v>1695.7441666665125</v>
      </c>
      <c r="Q250" s="199">
        <f t="shared" si="105"/>
        <v>0</v>
      </c>
      <c r="R250" s="199">
        <f t="shared" si="106"/>
        <v>1695.7441666665125</v>
      </c>
      <c r="S250" s="199">
        <v>1</v>
      </c>
      <c r="T250" s="199">
        <f t="shared" si="107"/>
        <v>1695.7441666665125</v>
      </c>
      <c r="U250" s="199">
        <f t="shared" si="108"/>
        <v>0</v>
      </c>
      <c r="V250" s="199">
        <f t="shared" si="109"/>
        <v>0</v>
      </c>
      <c r="W250" s="199">
        <v>1</v>
      </c>
      <c r="X250" s="199">
        <f t="shared" si="110"/>
        <v>0</v>
      </c>
      <c r="Y250" s="199">
        <f t="shared" si="111"/>
        <v>1695.7441666665125</v>
      </c>
      <c r="Z250" s="199">
        <f t="shared" si="112"/>
        <v>9326.5929166667447</v>
      </c>
      <c r="AA250" s="215">
        <f t="shared" si="99"/>
        <v>2015.9166666666667</v>
      </c>
      <c r="AB250" s="199">
        <f t="shared" si="113"/>
        <v>2016.75</v>
      </c>
      <c r="AC250" s="199">
        <f t="shared" si="114"/>
        <v>2025.9166666666667</v>
      </c>
      <c r="AD250" s="215">
        <f t="shared" si="115"/>
        <v>2015.75</v>
      </c>
      <c r="AE250" s="215">
        <f t="shared" si="116"/>
        <v>-8.3333333333333329E-2</v>
      </c>
      <c r="AF250" s="215">
        <f t="shared" si="100"/>
        <v>2025.9166666666667</v>
      </c>
      <c r="AG250" s="215">
        <f t="shared" si="117"/>
        <v>2015.75</v>
      </c>
      <c r="AH250" s="215">
        <f t="shared" si="118"/>
        <v>-8.3333333333333329E-2</v>
      </c>
      <c r="AI250" s="199" t="s">
        <v>471</v>
      </c>
      <c r="AJ250" s="163"/>
      <c r="AK250" s="163"/>
      <c r="AL250" s="163"/>
    </row>
    <row r="251" spans="1:38" x14ac:dyDescent="0.25">
      <c r="A251" s="195" t="s">
        <v>857</v>
      </c>
      <c r="B251" s="163" t="s">
        <v>589</v>
      </c>
      <c r="C251" s="209" t="s">
        <v>858</v>
      </c>
      <c r="D251" s="233">
        <v>2016</v>
      </c>
      <c r="E251" s="199">
        <v>1</v>
      </c>
      <c r="F251" s="231"/>
      <c r="G251" s="232" t="s">
        <v>452</v>
      </c>
      <c r="H251" s="163">
        <v>10</v>
      </c>
      <c r="I251" s="230">
        <f t="shared" si="101"/>
        <v>2026</v>
      </c>
      <c r="J251" s="163"/>
      <c r="K251" s="163"/>
      <c r="L251" s="214">
        <v>5309.45</v>
      </c>
      <c r="M251" s="163"/>
      <c r="N251" s="163">
        <f t="shared" si="102"/>
        <v>5309.45</v>
      </c>
      <c r="O251" s="199">
        <f t="shared" si="103"/>
        <v>44.245416666666664</v>
      </c>
      <c r="P251" s="199">
        <f t="shared" si="104"/>
        <v>398.20874999999995</v>
      </c>
      <c r="Q251" s="199">
        <f t="shared" si="105"/>
        <v>0</v>
      </c>
      <c r="R251" s="199">
        <f t="shared" si="106"/>
        <v>398.20874999999995</v>
      </c>
      <c r="S251" s="199">
        <v>1</v>
      </c>
      <c r="T251" s="199">
        <f t="shared" si="107"/>
        <v>398.20874999999995</v>
      </c>
      <c r="U251" s="199">
        <f t="shared" si="108"/>
        <v>0</v>
      </c>
      <c r="V251" s="199">
        <f t="shared" si="109"/>
        <v>0</v>
      </c>
      <c r="W251" s="199">
        <v>1</v>
      </c>
      <c r="X251" s="199">
        <f t="shared" si="110"/>
        <v>0</v>
      </c>
      <c r="Y251" s="199">
        <f t="shared" si="111"/>
        <v>398.20874999999995</v>
      </c>
      <c r="Z251" s="199">
        <f t="shared" si="112"/>
        <v>2455.620625</v>
      </c>
      <c r="AA251" s="215">
        <f t="shared" si="99"/>
        <v>2016</v>
      </c>
      <c r="AB251" s="199">
        <f t="shared" si="113"/>
        <v>2016.75</v>
      </c>
      <c r="AC251" s="199">
        <f t="shared" si="114"/>
        <v>2026</v>
      </c>
      <c r="AD251" s="215">
        <f t="shared" si="115"/>
        <v>2015.75</v>
      </c>
      <c r="AE251" s="215">
        <f t="shared" si="116"/>
        <v>-8.3333333333333329E-2</v>
      </c>
      <c r="AF251" s="215">
        <f t="shared" si="100"/>
        <v>2026</v>
      </c>
      <c r="AG251" s="215">
        <f t="shared" si="117"/>
        <v>2015.75</v>
      </c>
      <c r="AH251" s="215">
        <f t="shared" si="118"/>
        <v>-8.3333333333333329E-2</v>
      </c>
      <c r="AI251" s="199" t="s">
        <v>471</v>
      </c>
      <c r="AJ251" s="163"/>
      <c r="AK251" s="163"/>
      <c r="AL251" s="163"/>
    </row>
    <row r="252" spans="1:38" x14ac:dyDescent="0.25">
      <c r="A252" s="195" t="s">
        <v>859</v>
      </c>
      <c r="B252" s="163" t="s">
        <v>589</v>
      </c>
      <c r="C252" s="209" t="s">
        <v>858</v>
      </c>
      <c r="D252" s="233">
        <v>2016</v>
      </c>
      <c r="E252" s="199">
        <v>1</v>
      </c>
      <c r="F252" s="231"/>
      <c r="G252" s="232" t="s">
        <v>452</v>
      </c>
      <c r="H252" s="163">
        <v>10</v>
      </c>
      <c r="I252" s="230">
        <f t="shared" si="101"/>
        <v>2026</v>
      </c>
      <c r="J252" s="163"/>
      <c r="K252" s="163"/>
      <c r="L252" s="214">
        <v>5309.45</v>
      </c>
      <c r="M252" s="163"/>
      <c r="N252" s="163">
        <f t="shared" si="102"/>
        <v>5309.45</v>
      </c>
      <c r="O252" s="199">
        <f t="shared" si="103"/>
        <v>44.245416666666664</v>
      </c>
      <c r="P252" s="199">
        <f t="shared" si="104"/>
        <v>398.20874999999995</v>
      </c>
      <c r="Q252" s="199">
        <f t="shared" si="105"/>
        <v>0</v>
      </c>
      <c r="R252" s="199">
        <f t="shared" si="106"/>
        <v>398.20874999999995</v>
      </c>
      <c r="S252" s="199">
        <v>1</v>
      </c>
      <c r="T252" s="199">
        <f t="shared" si="107"/>
        <v>398.20874999999995</v>
      </c>
      <c r="U252" s="199">
        <f t="shared" si="108"/>
        <v>0</v>
      </c>
      <c r="V252" s="199">
        <f t="shared" si="109"/>
        <v>0</v>
      </c>
      <c r="W252" s="199">
        <v>1</v>
      </c>
      <c r="X252" s="199">
        <f t="shared" si="110"/>
        <v>0</v>
      </c>
      <c r="Y252" s="199">
        <f t="shared" si="111"/>
        <v>398.20874999999995</v>
      </c>
      <c r="Z252" s="199">
        <f t="shared" si="112"/>
        <v>2455.620625</v>
      </c>
      <c r="AA252" s="215">
        <f t="shared" si="99"/>
        <v>2016</v>
      </c>
      <c r="AB252" s="199">
        <f t="shared" si="113"/>
        <v>2016.75</v>
      </c>
      <c r="AC252" s="199">
        <f t="shared" si="114"/>
        <v>2026</v>
      </c>
      <c r="AD252" s="215">
        <f t="shared" si="115"/>
        <v>2015.75</v>
      </c>
      <c r="AE252" s="215">
        <f t="shared" si="116"/>
        <v>-8.3333333333333329E-2</v>
      </c>
      <c r="AF252" s="215">
        <f t="shared" si="100"/>
        <v>2026</v>
      </c>
      <c r="AG252" s="215">
        <f t="shared" si="117"/>
        <v>2015.75</v>
      </c>
      <c r="AH252" s="215">
        <f t="shared" si="118"/>
        <v>-8.3333333333333329E-2</v>
      </c>
      <c r="AI252" s="199" t="s">
        <v>471</v>
      </c>
      <c r="AJ252" s="163"/>
      <c r="AK252" s="163"/>
      <c r="AL252" s="163"/>
    </row>
    <row r="253" spans="1:38" x14ac:dyDescent="0.25">
      <c r="A253" s="195" t="s">
        <v>860</v>
      </c>
      <c r="B253" s="163" t="s">
        <v>589</v>
      </c>
      <c r="C253" s="209" t="s">
        <v>856</v>
      </c>
      <c r="D253" s="233">
        <v>2016</v>
      </c>
      <c r="E253" s="199">
        <v>6</v>
      </c>
      <c r="F253" s="231"/>
      <c r="G253" s="232" t="s">
        <v>452</v>
      </c>
      <c r="H253" s="163">
        <v>10</v>
      </c>
      <c r="I253" s="230">
        <f t="shared" si="101"/>
        <v>2026</v>
      </c>
      <c r="J253" s="163"/>
      <c r="K253" s="163"/>
      <c r="L253" s="214">
        <v>21130.85</v>
      </c>
      <c r="M253" s="163"/>
      <c r="N253" s="163">
        <f t="shared" si="102"/>
        <v>21130.85</v>
      </c>
      <c r="O253" s="199">
        <f t="shared" si="103"/>
        <v>176.09041666666667</v>
      </c>
      <c r="P253" s="199">
        <f t="shared" si="104"/>
        <v>704.36166666650649</v>
      </c>
      <c r="Q253" s="199">
        <f t="shared" si="105"/>
        <v>0</v>
      </c>
      <c r="R253" s="199">
        <f t="shared" si="106"/>
        <v>704.36166666650649</v>
      </c>
      <c r="S253" s="199">
        <v>1</v>
      </c>
      <c r="T253" s="199">
        <f t="shared" si="107"/>
        <v>704.36166666650649</v>
      </c>
      <c r="U253" s="199">
        <f t="shared" si="108"/>
        <v>0</v>
      </c>
      <c r="V253" s="199">
        <f t="shared" si="109"/>
        <v>0</v>
      </c>
      <c r="W253" s="199">
        <v>1</v>
      </c>
      <c r="X253" s="199">
        <f t="shared" si="110"/>
        <v>0</v>
      </c>
      <c r="Y253" s="199">
        <f t="shared" si="111"/>
        <v>704.36166666650649</v>
      </c>
      <c r="Z253" s="199">
        <f t="shared" si="112"/>
        <v>10213.244166666746</v>
      </c>
      <c r="AA253" s="215">
        <f t="shared" si="99"/>
        <v>2016.4166666666667</v>
      </c>
      <c r="AB253" s="199">
        <f t="shared" si="113"/>
        <v>2016.75</v>
      </c>
      <c r="AC253" s="199">
        <f t="shared" si="114"/>
        <v>2026.4166666666667</v>
      </c>
      <c r="AD253" s="215">
        <f t="shared" si="115"/>
        <v>2015.75</v>
      </c>
      <c r="AE253" s="215">
        <f t="shared" si="116"/>
        <v>-8.3333333333333329E-2</v>
      </c>
      <c r="AF253" s="215">
        <f t="shared" si="100"/>
        <v>2026.4166666666667</v>
      </c>
      <c r="AG253" s="215">
        <f t="shared" si="117"/>
        <v>2015.75</v>
      </c>
      <c r="AH253" s="215">
        <f t="shared" si="118"/>
        <v>-8.3333333333333329E-2</v>
      </c>
      <c r="AI253" s="199" t="s">
        <v>471</v>
      </c>
      <c r="AJ253" s="163"/>
      <c r="AK253" s="163"/>
      <c r="AL253" s="163"/>
    </row>
    <row r="254" spans="1:38" x14ac:dyDescent="0.25">
      <c r="A254" s="195" t="s">
        <v>861</v>
      </c>
      <c r="B254" s="163" t="s">
        <v>589</v>
      </c>
      <c r="C254" s="209" t="s">
        <v>862</v>
      </c>
      <c r="D254" s="233">
        <v>2016</v>
      </c>
      <c r="E254" s="199">
        <v>7</v>
      </c>
      <c r="F254" s="231"/>
      <c r="G254" s="232" t="s">
        <v>452</v>
      </c>
      <c r="H254" s="163">
        <v>10</v>
      </c>
      <c r="I254" s="230">
        <f t="shared" si="101"/>
        <v>2026</v>
      </c>
      <c r="J254" s="163"/>
      <c r="K254" s="163"/>
      <c r="L254" s="214">
        <v>10267.040000000001</v>
      </c>
      <c r="M254" s="163"/>
      <c r="N254" s="163">
        <f t="shared" si="102"/>
        <v>10267.040000000001</v>
      </c>
      <c r="O254" s="199">
        <f t="shared" si="103"/>
        <v>85.558666666666682</v>
      </c>
      <c r="P254" s="199">
        <f t="shared" si="104"/>
        <v>256.67600000000004</v>
      </c>
      <c r="Q254" s="199">
        <f t="shared" si="105"/>
        <v>0</v>
      </c>
      <c r="R254" s="199">
        <f t="shared" si="106"/>
        <v>256.67600000000004</v>
      </c>
      <c r="S254" s="199">
        <v>1</v>
      </c>
      <c r="T254" s="199">
        <f t="shared" si="107"/>
        <v>256.67600000000004</v>
      </c>
      <c r="U254" s="199">
        <f t="shared" si="108"/>
        <v>0</v>
      </c>
      <c r="V254" s="199">
        <f t="shared" si="109"/>
        <v>0</v>
      </c>
      <c r="W254" s="199">
        <v>1</v>
      </c>
      <c r="X254" s="199">
        <f t="shared" si="110"/>
        <v>0</v>
      </c>
      <c r="Y254" s="199">
        <f t="shared" si="111"/>
        <v>256.67600000000004</v>
      </c>
      <c r="Z254" s="199">
        <f t="shared" si="112"/>
        <v>5005.1820000000007</v>
      </c>
      <c r="AA254" s="215">
        <f t="shared" si="99"/>
        <v>2016.5</v>
      </c>
      <c r="AB254" s="199">
        <f t="shared" si="113"/>
        <v>2016.75</v>
      </c>
      <c r="AC254" s="199">
        <f t="shared" si="114"/>
        <v>2026.5</v>
      </c>
      <c r="AD254" s="215">
        <f t="shared" si="115"/>
        <v>2015.75</v>
      </c>
      <c r="AE254" s="215">
        <f t="shared" si="116"/>
        <v>-8.3333333333333329E-2</v>
      </c>
      <c r="AF254" s="215">
        <f t="shared" si="100"/>
        <v>2026.5</v>
      </c>
      <c r="AG254" s="215">
        <f t="shared" si="117"/>
        <v>2015.75</v>
      </c>
      <c r="AH254" s="215">
        <f t="shared" si="118"/>
        <v>-8.3333333333333329E-2</v>
      </c>
      <c r="AI254" s="199" t="s">
        <v>471</v>
      </c>
      <c r="AJ254" s="163"/>
      <c r="AK254" s="163"/>
      <c r="AL254" s="163"/>
    </row>
    <row r="255" spans="1:38" x14ac:dyDescent="0.25">
      <c r="A255" s="195" t="s">
        <v>863</v>
      </c>
      <c r="B255" s="163" t="s">
        <v>589</v>
      </c>
      <c r="C255" s="209" t="s">
        <v>864</v>
      </c>
      <c r="D255" s="233">
        <v>2016</v>
      </c>
      <c r="E255" s="199">
        <v>7</v>
      </c>
      <c r="F255" s="231"/>
      <c r="G255" s="232" t="s">
        <v>452</v>
      </c>
      <c r="H255" s="163">
        <v>10</v>
      </c>
      <c r="I255" s="230">
        <f t="shared" si="101"/>
        <v>2026</v>
      </c>
      <c r="J255" s="163"/>
      <c r="K255" s="163"/>
      <c r="L255" s="214">
        <v>29389.33</v>
      </c>
      <c r="M255" s="163"/>
      <c r="N255" s="163">
        <f t="shared" si="102"/>
        <v>29389.33</v>
      </c>
      <c r="O255" s="199">
        <f t="shared" si="103"/>
        <v>244.91108333333332</v>
      </c>
      <c r="P255" s="199">
        <f t="shared" si="104"/>
        <v>734.73325</v>
      </c>
      <c r="Q255" s="199">
        <f t="shared" si="105"/>
        <v>0</v>
      </c>
      <c r="R255" s="199">
        <f t="shared" si="106"/>
        <v>734.73325</v>
      </c>
      <c r="S255" s="199">
        <v>1</v>
      </c>
      <c r="T255" s="199">
        <f t="shared" si="107"/>
        <v>734.73325</v>
      </c>
      <c r="U255" s="199">
        <f t="shared" si="108"/>
        <v>0</v>
      </c>
      <c r="V255" s="199">
        <f t="shared" si="109"/>
        <v>0</v>
      </c>
      <c r="W255" s="199">
        <v>1</v>
      </c>
      <c r="X255" s="199">
        <f t="shared" si="110"/>
        <v>0</v>
      </c>
      <c r="Y255" s="199">
        <f t="shared" si="111"/>
        <v>734.73325</v>
      </c>
      <c r="Z255" s="199">
        <f t="shared" si="112"/>
        <v>14327.298375</v>
      </c>
      <c r="AA255" s="215">
        <f t="shared" si="99"/>
        <v>2016.5</v>
      </c>
      <c r="AB255" s="199">
        <f t="shared" si="113"/>
        <v>2016.75</v>
      </c>
      <c r="AC255" s="199">
        <f t="shared" si="114"/>
        <v>2026.5</v>
      </c>
      <c r="AD255" s="215">
        <f t="shared" si="115"/>
        <v>2015.75</v>
      </c>
      <c r="AE255" s="215">
        <f t="shared" si="116"/>
        <v>-8.3333333333333329E-2</v>
      </c>
      <c r="AF255" s="215">
        <f t="shared" si="100"/>
        <v>2026.5</v>
      </c>
      <c r="AG255" s="215">
        <f t="shared" si="117"/>
        <v>2015.75</v>
      </c>
      <c r="AH255" s="215">
        <f t="shared" si="118"/>
        <v>-8.3333333333333329E-2</v>
      </c>
      <c r="AI255" s="199" t="s">
        <v>471</v>
      </c>
      <c r="AJ255" s="163"/>
      <c r="AK255" s="163"/>
      <c r="AL255" s="163"/>
    </row>
    <row r="256" spans="1:38" x14ac:dyDescent="0.25">
      <c r="A256" s="195" t="s">
        <v>865</v>
      </c>
      <c r="B256" s="163" t="s">
        <v>589</v>
      </c>
      <c r="C256" s="209" t="s">
        <v>866</v>
      </c>
      <c r="D256" s="234">
        <v>2006</v>
      </c>
      <c r="E256" s="199">
        <v>7</v>
      </c>
      <c r="F256" s="231"/>
      <c r="G256" s="232" t="s">
        <v>452</v>
      </c>
      <c r="H256" s="163">
        <v>10</v>
      </c>
      <c r="I256" s="230">
        <f>D256+H256</f>
        <v>2016</v>
      </c>
      <c r="J256" s="163"/>
      <c r="K256" s="163"/>
      <c r="L256" s="214">
        <v>1900</v>
      </c>
      <c r="M256" s="163"/>
      <c r="N256" s="163">
        <f>L256-L256*F256</f>
        <v>1900</v>
      </c>
      <c r="O256" s="199">
        <f t="shared" si="103"/>
        <v>15.833333333333334</v>
      </c>
      <c r="P256" s="199">
        <f t="shared" si="104"/>
        <v>142.5</v>
      </c>
      <c r="Q256" s="199">
        <f t="shared" si="105"/>
        <v>0</v>
      </c>
      <c r="R256" s="199">
        <f t="shared" si="106"/>
        <v>142.5</v>
      </c>
      <c r="S256" s="199">
        <v>1</v>
      </c>
      <c r="T256" s="199">
        <f t="shared" si="107"/>
        <v>142.5</v>
      </c>
      <c r="U256" s="199">
        <f t="shared" si="108"/>
        <v>1757.5</v>
      </c>
      <c r="V256" s="199">
        <f t="shared" si="109"/>
        <v>1757.5</v>
      </c>
      <c r="W256" s="199">
        <v>1</v>
      </c>
      <c r="X256" s="199">
        <f t="shared" si="110"/>
        <v>1757.5</v>
      </c>
      <c r="Y256" s="199">
        <f t="shared" si="111"/>
        <v>1900</v>
      </c>
      <c r="Z256" s="199">
        <f t="shared" si="112"/>
        <v>71.25</v>
      </c>
      <c r="AA256" s="215">
        <f t="shared" si="99"/>
        <v>2006.5</v>
      </c>
      <c r="AB256" s="199">
        <f t="shared" si="113"/>
        <v>2016.75</v>
      </c>
      <c r="AC256" s="199">
        <f t="shared" si="114"/>
        <v>2016.5</v>
      </c>
      <c r="AD256" s="215">
        <f t="shared" si="115"/>
        <v>2015.75</v>
      </c>
      <c r="AE256" s="215">
        <f t="shared" si="116"/>
        <v>-8.3333333333333329E-2</v>
      </c>
      <c r="AF256" s="215">
        <f t="shared" si="100"/>
        <v>2016.5</v>
      </c>
      <c r="AG256" s="215">
        <f t="shared" si="117"/>
        <v>2015.75</v>
      </c>
      <c r="AH256" s="215">
        <f t="shared" si="118"/>
        <v>-8.3333333333333329E-2</v>
      </c>
      <c r="AI256" s="199" t="s">
        <v>471</v>
      </c>
      <c r="AJ256" s="163"/>
      <c r="AK256" s="163"/>
      <c r="AL256" s="163"/>
    </row>
    <row r="257" spans="1:38" ht="16.5" thickBot="1" x14ac:dyDescent="0.3">
      <c r="A257" s="163"/>
      <c r="B257" s="156"/>
      <c r="C257" s="162"/>
      <c r="D257" s="182"/>
      <c r="E257" s="161"/>
      <c r="F257" s="183"/>
      <c r="G257" s="156"/>
      <c r="H257" s="160"/>
      <c r="I257" s="182"/>
      <c r="J257" s="156"/>
      <c r="K257" s="156"/>
      <c r="L257" s="235">
        <f>SUM(L109:L256)</f>
        <v>1784218.48</v>
      </c>
      <c r="M257" s="185"/>
      <c r="N257" s="185">
        <f t="shared" ref="N257:Z257" si="119">SUM(N109:N256)</f>
        <v>1784218.48</v>
      </c>
      <c r="O257" s="185">
        <f t="shared" si="119"/>
        <v>14868.487333333334</v>
      </c>
      <c r="P257" s="185">
        <f t="shared" si="119"/>
        <v>129164.65566666621</v>
      </c>
      <c r="Q257" s="185">
        <f t="shared" si="119"/>
        <v>0</v>
      </c>
      <c r="R257" s="185">
        <f t="shared" si="119"/>
        <v>129164.65566666621</v>
      </c>
      <c r="S257" s="185">
        <f t="shared" si="119"/>
        <v>148</v>
      </c>
      <c r="T257" s="185">
        <f t="shared" si="119"/>
        <v>129164.65566666621</v>
      </c>
      <c r="U257" s="185">
        <f t="shared" si="119"/>
        <v>912185.55116666621</v>
      </c>
      <c r="V257" s="185">
        <f t="shared" si="119"/>
        <v>912185.55116666621</v>
      </c>
      <c r="W257" s="185">
        <f t="shared" si="119"/>
        <v>148</v>
      </c>
      <c r="X257" s="185">
        <f t="shared" si="119"/>
        <v>912185.55116666621</v>
      </c>
      <c r="Y257" s="185">
        <f t="shared" si="119"/>
        <v>1041350.2068333323</v>
      </c>
      <c r="Z257" s="185">
        <f t="shared" si="119"/>
        <v>628434.52100000018</v>
      </c>
      <c r="AA257" s="156"/>
      <c r="AB257" s="156"/>
      <c r="AC257" s="156"/>
      <c r="AD257" s="181"/>
      <c r="AE257" s="181"/>
      <c r="AF257" s="181"/>
      <c r="AG257" s="181"/>
      <c r="AH257" s="181"/>
      <c r="AI257" s="156"/>
      <c r="AJ257" s="156"/>
      <c r="AK257" s="156"/>
      <c r="AL257" s="156"/>
    </row>
    <row r="258" spans="1:38" ht="16.5" thickTop="1" x14ac:dyDescent="0.25">
      <c r="A258" s="163"/>
      <c r="B258" s="156"/>
      <c r="C258" s="156"/>
      <c r="D258" s="182"/>
      <c r="E258" s="161"/>
      <c r="F258" s="183"/>
      <c r="G258" s="156"/>
      <c r="H258" s="156"/>
      <c r="I258" s="182"/>
      <c r="J258" s="156"/>
      <c r="K258" s="156"/>
      <c r="L258" s="188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56"/>
      <c r="AB258" s="156"/>
      <c r="AC258" s="156"/>
      <c r="AD258" s="181"/>
      <c r="AE258" s="181"/>
      <c r="AF258" s="181"/>
      <c r="AG258" s="181"/>
      <c r="AH258" s="181"/>
      <c r="AI258" s="156"/>
      <c r="AJ258" s="156"/>
      <c r="AK258" s="156"/>
      <c r="AL258" s="156"/>
    </row>
    <row r="259" spans="1:38" x14ac:dyDescent="0.25">
      <c r="A259" s="163"/>
      <c r="B259" s="156"/>
      <c r="C259" s="317" t="s">
        <v>867</v>
      </c>
      <c r="D259" s="182"/>
      <c r="E259" s="161"/>
      <c r="F259" s="183"/>
      <c r="G259" s="156"/>
      <c r="H259" s="156"/>
      <c r="I259" s="182"/>
      <c r="J259" s="156"/>
      <c r="K259" s="156"/>
      <c r="L259" s="160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  <c r="AC259" s="156"/>
      <c r="AD259" s="181"/>
      <c r="AE259" s="181"/>
      <c r="AF259" s="181"/>
      <c r="AG259" s="181"/>
      <c r="AH259" s="181"/>
      <c r="AI259" s="156"/>
      <c r="AJ259" s="156"/>
      <c r="AK259" s="156"/>
      <c r="AL259" s="156"/>
    </row>
    <row r="260" spans="1:38" x14ac:dyDescent="0.25">
      <c r="A260" s="163" t="s">
        <v>868</v>
      </c>
      <c r="B260" s="161" t="s">
        <v>869</v>
      </c>
      <c r="C260" s="194" t="s">
        <v>870</v>
      </c>
      <c r="D260" s="165">
        <v>2002</v>
      </c>
      <c r="E260" s="161">
        <v>5</v>
      </c>
      <c r="F260" s="178">
        <v>0.25</v>
      </c>
      <c r="G260" s="179" t="s">
        <v>452</v>
      </c>
      <c r="H260" s="161">
        <v>5</v>
      </c>
      <c r="I260" s="165">
        <f>D260+H260</f>
        <v>2007</v>
      </c>
      <c r="J260" s="161"/>
      <c r="K260" s="161"/>
      <c r="L260" s="191">
        <v>33332</v>
      </c>
      <c r="M260" s="161"/>
      <c r="N260" s="161">
        <f>(L260)-(L260*F260)</f>
        <v>24999</v>
      </c>
      <c r="O260" s="161">
        <f t="shared" ref="O260:O265" si="120">N260/H260/12</f>
        <v>416.65000000000003</v>
      </c>
      <c r="P260" s="161">
        <f t="shared" ref="P260:P265" si="121">IF(M260&gt;0,0,IF((OR((AA260&gt;AB260),(AC260&lt;AD260))),0,IF((AND((AC260&gt;=AD260),(AC260&lt;=AB260))),O260*((AC260-AD260)*12),IF((AND((AD260&lt;=AA260),(AB260&gt;=AA260))),((AB260-AA260)*12)*O260,IF(AC260&gt;AB260,12*O260,0)))))</f>
        <v>0</v>
      </c>
      <c r="Q260" s="161">
        <f t="shared" ref="Q260:Q265" si="122">IF(M260=0,0,IF((AND((AE260&gt;=AD260),(AE260&lt;=AC260))),((AE260-AD260)*12)*O260,0))</f>
        <v>0</v>
      </c>
      <c r="R260" s="161">
        <f t="shared" ref="R260:R265" si="123">IF(Q260&gt;0,Q260,P260)</f>
        <v>0</v>
      </c>
      <c r="S260" s="161">
        <v>1</v>
      </c>
      <c r="T260" s="161">
        <f t="shared" ref="T260:T265" si="124">S260*SUM(P260:Q260)</f>
        <v>0</v>
      </c>
      <c r="U260" s="161">
        <f t="shared" ref="U260:U265" si="125">IF(AA260&gt;AB260,0,IF(AC260&lt;AD260,N260,IF((AND((AC260&gt;=AD260),(AC260&lt;=AB260))),(N260-R260),IF((AND((AD260&lt;=AA260),(AB260&gt;=AA260))),0,IF(AC260&gt;AB260,((AD260-AA260)*12)*O260,0)))))</f>
        <v>24999</v>
      </c>
      <c r="V260" s="161">
        <f t="shared" ref="V260:V265" si="126">U260*S260</f>
        <v>24999</v>
      </c>
      <c r="W260" s="161">
        <v>1</v>
      </c>
      <c r="X260" s="161">
        <f t="shared" ref="X260:X265" si="127">V260*W260</f>
        <v>24999</v>
      </c>
      <c r="Y260" s="161">
        <f t="shared" ref="Y260:Y265" si="128">IF(M260&gt;0,0,X260+T260*W260)*W260</f>
        <v>24999</v>
      </c>
      <c r="Z260" s="161">
        <f t="shared" ref="Z260:Z265" si="129">IF(M260&gt;0,(L260-X260)/2,IF(AA260&gt;=AD260,(((L260*S260)*W260)-Y260)/2,((((L260*S260)*W260)-X260)+(((L260*S260)*W260)-Y260))/2))</f>
        <v>8333</v>
      </c>
      <c r="AA260" s="161">
        <f t="shared" ref="AA260:AA265" si="130">$D260+(($E260-1)/12)</f>
        <v>2002.3333333333333</v>
      </c>
      <c r="AB260" s="161">
        <f t="shared" ref="AB260:AB265" si="131">($N$5+1)-($N$2/12)</f>
        <v>2016.75</v>
      </c>
      <c r="AC260" s="161">
        <f t="shared" ref="AC260:AC265" si="132">$I260+(($E260-1)/12)</f>
        <v>2007.3333333333333</v>
      </c>
      <c r="AD260" s="197">
        <f t="shared" ref="AD260:AD265" si="133">$N$4+($N$3/12)</f>
        <v>2015.75</v>
      </c>
      <c r="AE260" s="197">
        <f t="shared" ref="AE260:AE265" si="134">$J260+(($K260-1)/12)</f>
        <v>-8.3333333333333329E-2</v>
      </c>
      <c r="AF260" s="197">
        <f t="shared" ref="AF260:AF265" si="135">$I260+(($E260-1)/12)</f>
        <v>2007.3333333333333</v>
      </c>
      <c r="AG260" s="197">
        <f t="shared" ref="AG260:AG265" si="136">$N$4+($N$3/12)</f>
        <v>2015.75</v>
      </c>
      <c r="AH260" s="197">
        <f t="shared" ref="AH260:AH265" si="137">$J260+(($K260-1)/12)</f>
        <v>-8.3333333333333329E-2</v>
      </c>
      <c r="AI260" s="161" t="s">
        <v>871</v>
      </c>
      <c r="AJ260" s="161"/>
      <c r="AK260" s="161"/>
      <c r="AL260" s="161"/>
    </row>
    <row r="261" spans="1:38" x14ac:dyDescent="0.25">
      <c r="A261" s="163"/>
      <c r="B261" s="161" t="s">
        <v>869</v>
      </c>
      <c r="C261" s="194" t="s">
        <v>872</v>
      </c>
      <c r="D261" s="165">
        <v>2003</v>
      </c>
      <c r="E261" s="161">
        <v>6</v>
      </c>
      <c r="F261" s="178">
        <v>0.25</v>
      </c>
      <c r="G261" s="179" t="s">
        <v>452</v>
      </c>
      <c r="H261" s="161">
        <v>5</v>
      </c>
      <c r="I261" s="165">
        <f>D261+H261</f>
        <v>2008</v>
      </c>
      <c r="J261" s="161"/>
      <c r="K261" s="161"/>
      <c r="L261" s="191">
        <v>29285</v>
      </c>
      <c r="M261" s="161"/>
      <c r="N261" s="161">
        <f>(L261)-(L261*F261)</f>
        <v>21963.75</v>
      </c>
      <c r="O261" s="161">
        <f t="shared" si="120"/>
        <v>366.0625</v>
      </c>
      <c r="P261" s="161">
        <f t="shared" si="121"/>
        <v>0</v>
      </c>
      <c r="Q261" s="161">
        <f t="shared" si="122"/>
        <v>0</v>
      </c>
      <c r="R261" s="161">
        <f t="shared" si="123"/>
        <v>0</v>
      </c>
      <c r="S261" s="161">
        <v>1</v>
      </c>
      <c r="T261" s="161">
        <f t="shared" si="124"/>
        <v>0</v>
      </c>
      <c r="U261" s="161">
        <f t="shared" si="125"/>
        <v>21963.75</v>
      </c>
      <c r="V261" s="161">
        <f t="shared" si="126"/>
        <v>21963.75</v>
      </c>
      <c r="W261" s="161">
        <v>1</v>
      </c>
      <c r="X261" s="161">
        <f t="shared" si="127"/>
        <v>21963.75</v>
      </c>
      <c r="Y261" s="161">
        <f t="shared" si="128"/>
        <v>21963.75</v>
      </c>
      <c r="Z261" s="161">
        <f t="shared" si="129"/>
        <v>7321.25</v>
      </c>
      <c r="AA261" s="161">
        <f t="shared" si="130"/>
        <v>2003.4166666666667</v>
      </c>
      <c r="AB261" s="161">
        <f t="shared" si="131"/>
        <v>2016.75</v>
      </c>
      <c r="AC261" s="161">
        <f t="shared" si="132"/>
        <v>2008.4166666666667</v>
      </c>
      <c r="AD261" s="197">
        <f t="shared" si="133"/>
        <v>2015.75</v>
      </c>
      <c r="AE261" s="197">
        <f t="shared" si="134"/>
        <v>-8.3333333333333329E-2</v>
      </c>
      <c r="AF261" s="197">
        <f t="shared" si="135"/>
        <v>2008.4166666666667</v>
      </c>
      <c r="AG261" s="197">
        <f t="shared" si="136"/>
        <v>2015.75</v>
      </c>
      <c r="AH261" s="197">
        <f t="shared" si="137"/>
        <v>-8.3333333333333329E-2</v>
      </c>
      <c r="AI261" s="161" t="s">
        <v>471</v>
      </c>
      <c r="AJ261" s="161"/>
      <c r="AK261" s="161"/>
      <c r="AL261" s="161"/>
    </row>
    <row r="262" spans="1:38" x14ac:dyDescent="0.25">
      <c r="A262" s="163"/>
      <c r="B262" s="161" t="s">
        <v>869</v>
      </c>
      <c r="C262" s="194" t="s">
        <v>873</v>
      </c>
      <c r="D262" s="165">
        <v>2003</v>
      </c>
      <c r="E262" s="161">
        <v>6</v>
      </c>
      <c r="F262" s="178">
        <v>0.25</v>
      </c>
      <c r="G262" s="179" t="s">
        <v>452</v>
      </c>
      <c r="H262" s="161">
        <v>5</v>
      </c>
      <c r="I262" s="165">
        <f>D262+H262</f>
        <v>2008</v>
      </c>
      <c r="J262" s="161"/>
      <c r="K262" s="161"/>
      <c r="L262" s="191">
        <v>7753</v>
      </c>
      <c r="M262" s="161"/>
      <c r="N262" s="161">
        <f>(L262)-(L262*F262)</f>
        <v>5814.75</v>
      </c>
      <c r="O262" s="161">
        <f t="shared" si="120"/>
        <v>96.912500000000009</v>
      </c>
      <c r="P262" s="161">
        <f t="shared" si="121"/>
        <v>0</v>
      </c>
      <c r="Q262" s="161">
        <f t="shared" si="122"/>
        <v>0</v>
      </c>
      <c r="R262" s="161">
        <f t="shared" si="123"/>
        <v>0</v>
      </c>
      <c r="S262" s="161">
        <v>1</v>
      </c>
      <c r="T262" s="161">
        <f t="shared" si="124"/>
        <v>0</v>
      </c>
      <c r="U262" s="161">
        <f t="shared" si="125"/>
        <v>5814.75</v>
      </c>
      <c r="V262" s="161">
        <f t="shared" si="126"/>
        <v>5814.75</v>
      </c>
      <c r="W262" s="161">
        <v>1</v>
      </c>
      <c r="X262" s="161">
        <f t="shared" si="127"/>
        <v>5814.75</v>
      </c>
      <c r="Y262" s="161">
        <f t="shared" si="128"/>
        <v>5814.75</v>
      </c>
      <c r="Z262" s="161">
        <f t="shared" si="129"/>
        <v>1938.25</v>
      </c>
      <c r="AA262" s="161">
        <f t="shared" si="130"/>
        <v>2003.4166666666667</v>
      </c>
      <c r="AB262" s="161">
        <f t="shared" si="131"/>
        <v>2016.75</v>
      </c>
      <c r="AC262" s="161">
        <f t="shared" si="132"/>
        <v>2008.4166666666667</v>
      </c>
      <c r="AD262" s="197">
        <f t="shared" si="133"/>
        <v>2015.75</v>
      </c>
      <c r="AE262" s="197">
        <f t="shared" si="134"/>
        <v>-8.3333333333333329E-2</v>
      </c>
      <c r="AF262" s="197">
        <f t="shared" si="135"/>
        <v>2008.4166666666667</v>
      </c>
      <c r="AG262" s="197">
        <f t="shared" si="136"/>
        <v>2015.75</v>
      </c>
      <c r="AH262" s="197">
        <f t="shared" si="137"/>
        <v>-8.3333333333333329E-2</v>
      </c>
      <c r="AI262" s="161" t="s">
        <v>471</v>
      </c>
      <c r="AJ262" s="161"/>
      <c r="AK262" s="161"/>
      <c r="AL262" s="161"/>
    </row>
    <row r="263" spans="1:38" x14ac:dyDescent="0.25">
      <c r="A263" s="203" t="s">
        <v>874</v>
      </c>
      <c r="B263" s="161" t="s">
        <v>869</v>
      </c>
      <c r="C263" s="202" t="s">
        <v>875</v>
      </c>
      <c r="D263" s="165">
        <v>2015</v>
      </c>
      <c r="E263" s="161">
        <v>6</v>
      </c>
      <c r="F263" s="178">
        <v>0.2</v>
      </c>
      <c r="G263" s="179" t="s">
        <v>452</v>
      </c>
      <c r="H263" s="161">
        <v>5</v>
      </c>
      <c r="I263" s="165">
        <f>H263+D263</f>
        <v>2020</v>
      </c>
      <c r="J263" s="204"/>
      <c r="K263" s="204"/>
      <c r="L263" s="201">
        <v>39240.5</v>
      </c>
      <c r="M263" s="204"/>
      <c r="N263" s="161">
        <f>L263-L263*F263</f>
        <v>31392.400000000001</v>
      </c>
      <c r="O263" s="161">
        <f t="shared" si="120"/>
        <v>523.20666666666671</v>
      </c>
      <c r="P263" s="161">
        <f t="shared" si="121"/>
        <v>6278.4800000000005</v>
      </c>
      <c r="Q263" s="161">
        <f t="shared" si="122"/>
        <v>0</v>
      </c>
      <c r="R263" s="161">
        <f t="shared" si="123"/>
        <v>6278.4800000000005</v>
      </c>
      <c r="S263" s="161">
        <v>1</v>
      </c>
      <c r="T263" s="161">
        <f t="shared" si="124"/>
        <v>6278.4800000000005</v>
      </c>
      <c r="U263" s="161">
        <f t="shared" si="125"/>
        <v>2092.8266666661912</v>
      </c>
      <c r="V263" s="161">
        <f t="shared" si="126"/>
        <v>2092.8266666661912</v>
      </c>
      <c r="W263" s="161">
        <v>1</v>
      </c>
      <c r="X263" s="161">
        <f t="shared" si="127"/>
        <v>2092.8266666661912</v>
      </c>
      <c r="Y263" s="161">
        <f t="shared" si="128"/>
        <v>8371.3066666661907</v>
      </c>
      <c r="Z263" s="161">
        <f t="shared" si="129"/>
        <v>34008.433333333807</v>
      </c>
      <c r="AA263" s="197">
        <f t="shared" si="130"/>
        <v>2015.4166666666667</v>
      </c>
      <c r="AB263" s="161">
        <f t="shared" si="131"/>
        <v>2016.75</v>
      </c>
      <c r="AC263" s="161">
        <f t="shared" si="132"/>
        <v>2020.4166666666667</v>
      </c>
      <c r="AD263" s="197">
        <f t="shared" si="133"/>
        <v>2015.75</v>
      </c>
      <c r="AE263" s="197">
        <f t="shared" si="134"/>
        <v>-8.3333333333333329E-2</v>
      </c>
      <c r="AF263" s="197">
        <f t="shared" si="135"/>
        <v>2020.4166666666667</v>
      </c>
      <c r="AG263" s="197">
        <f t="shared" si="136"/>
        <v>2015.75</v>
      </c>
      <c r="AH263" s="197">
        <f t="shared" si="137"/>
        <v>-8.3333333333333329E-2</v>
      </c>
      <c r="AI263" s="161" t="s">
        <v>471</v>
      </c>
      <c r="AJ263" s="204"/>
      <c r="AK263" s="204"/>
      <c r="AL263" s="204"/>
    </row>
    <row r="264" spans="1:38" x14ac:dyDescent="0.25">
      <c r="A264" s="195" t="s">
        <v>876</v>
      </c>
      <c r="B264" s="199" t="s">
        <v>869</v>
      </c>
      <c r="C264" s="209" t="s">
        <v>877</v>
      </c>
      <c r="D264" s="210">
        <v>2016</v>
      </c>
      <c r="E264" s="199">
        <v>1</v>
      </c>
      <c r="F264" s="211">
        <v>0.2</v>
      </c>
      <c r="G264" s="212" t="s">
        <v>452</v>
      </c>
      <c r="H264" s="199">
        <v>5</v>
      </c>
      <c r="I264" s="210">
        <f>H264+D264</f>
        <v>2021</v>
      </c>
      <c r="J264" s="213"/>
      <c r="K264" s="213"/>
      <c r="L264" s="214">
        <v>54070.48</v>
      </c>
      <c r="M264" s="213"/>
      <c r="N264" s="199">
        <f>L264-L264*F264</f>
        <v>43256.384000000005</v>
      </c>
      <c r="O264" s="199">
        <f t="shared" si="120"/>
        <v>720.93973333333349</v>
      </c>
      <c r="P264" s="199">
        <f t="shared" si="121"/>
        <v>6488.4576000000015</v>
      </c>
      <c r="Q264" s="199">
        <f t="shared" si="122"/>
        <v>0</v>
      </c>
      <c r="R264" s="199">
        <f t="shared" si="123"/>
        <v>6488.4576000000015</v>
      </c>
      <c r="S264" s="199">
        <v>1</v>
      </c>
      <c r="T264" s="199">
        <f t="shared" si="124"/>
        <v>6488.4576000000015</v>
      </c>
      <c r="U264" s="199">
        <f t="shared" si="125"/>
        <v>0</v>
      </c>
      <c r="V264" s="199">
        <f t="shared" si="126"/>
        <v>0</v>
      </c>
      <c r="W264" s="199">
        <v>1</v>
      </c>
      <c r="X264" s="199">
        <f t="shared" si="127"/>
        <v>0</v>
      </c>
      <c r="Y264" s="199">
        <f t="shared" si="128"/>
        <v>6488.4576000000015</v>
      </c>
      <c r="Z264" s="199">
        <f t="shared" si="129"/>
        <v>23791.011200000001</v>
      </c>
      <c r="AA264" s="215">
        <f t="shared" si="130"/>
        <v>2016</v>
      </c>
      <c r="AB264" s="199">
        <f t="shared" si="131"/>
        <v>2016.75</v>
      </c>
      <c r="AC264" s="199">
        <f t="shared" si="132"/>
        <v>2021</v>
      </c>
      <c r="AD264" s="215">
        <f t="shared" si="133"/>
        <v>2015.75</v>
      </c>
      <c r="AE264" s="215">
        <f t="shared" si="134"/>
        <v>-8.3333333333333329E-2</v>
      </c>
      <c r="AF264" s="215">
        <f t="shared" si="135"/>
        <v>2021</v>
      </c>
      <c r="AG264" s="215">
        <f t="shared" si="136"/>
        <v>2015.75</v>
      </c>
      <c r="AH264" s="215">
        <f t="shared" si="137"/>
        <v>-8.3333333333333329E-2</v>
      </c>
      <c r="AI264" s="199" t="s">
        <v>471</v>
      </c>
      <c r="AJ264" s="213"/>
      <c r="AK264" s="213"/>
      <c r="AL264" s="213"/>
    </row>
    <row r="265" spans="1:38" x14ac:dyDescent="0.25">
      <c r="A265" s="315">
        <v>175</v>
      </c>
      <c r="B265" s="199" t="s">
        <v>869</v>
      </c>
      <c r="C265" s="312" t="s">
        <v>878</v>
      </c>
      <c r="D265" s="210">
        <v>2001</v>
      </c>
      <c r="E265" s="199">
        <v>1</v>
      </c>
      <c r="F265" s="211">
        <v>0.2</v>
      </c>
      <c r="G265" s="212" t="s">
        <v>452</v>
      </c>
      <c r="H265" s="199">
        <v>5</v>
      </c>
      <c r="I265" s="210">
        <f>H265+D265</f>
        <v>2006</v>
      </c>
      <c r="J265" s="199"/>
      <c r="K265" s="199"/>
      <c r="L265" s="243">
        <v>26802.39</v>
      </c>
      <c r="M265" s="199"/>
      <c r="N265" s="199">
        <f>L265-L265*F265</f>
        <v>21441.912</v>
      </c>
      <c r="O265" s="199">
        <f t="shared" si="120"/>
        <v>357.36520000000002</v>
      </c>
      <c r="P265" s="199">
        <f t="shared" si="121"/>
        <v>0</v>
      </c>
      <c r="Q265" s="199">
        <f t="shared" si="122"/>
        <v>0</v>
      </c>
      <c r="R265" s="199">
        <f t="shared" si="123"/>
        <v>0</v>
      </c>
      <c r="S265" s="199">
        <v>1</v>
      </c>
      <c r="T265" s="199">
        <f t="shared" si="124"/>
        <v>0</v>
      </c>
      <c r="U265" s="199">
        <f t="shared" si="125"/>
        <v>21441.912</v>
      </c>
      <c r="V265" s="199">
        <f t="shared" si="126"/>
        <v>21441.912</v>
      </c>
      <c r="W265" s="199">
        <v>1</v>
      </c>
      <c r="X265" s="199">
        <f t="shared" si="127"/>
        <v>21441.912</v>
      </c>
      <c r="Y265" s="199">
        <f t="shared" si="128"/>
        <v>21441.912</v>
      </c>
      <c r="Z265" s="199">
        <f t="shared" si="129"/>
        <v>5360.4779999999992</v>
      </c>
      <c r="AA265" s="215">
        <f t="shared" si="130"/>
        <v>2001</v>
      </c>
      <c r="AB265" s="199">
        <f t="shared" si="131"/>
        <v>2016.75</v>
      </c>
      <c r="AC265" s="199">
        <f t="shared" si="132"/>
        <v>2006</v>
      </c>
      <c r="AD265" s="215">
        <f t="shared" si="133"/>
        <v>2015.75</v>
      </c>
      <c r="AE265" s="215">
        <f t="shared" si="134"/>
        <v>-8.3333333333333329E-2</v>
      </c>
      <c r="AF265" s="215">
        <f t="shared" si="135"/>
        <v>2006</v>
      </c>
      <c r="AG265" s="215">
        <f t="shared" si="136"/>
        <v>2015.75</v>
      </c>
      <c r="AH265" s="215">
        <f t="shared" si="137"/>
        <v>-8.3333333333333329E-2</v>
      </c>
      <c r="AI265" s="199" t="s">
        <v>471</v>
      </c>
      <c r="AJ265" s="199"/>
      <c r="AK265" s="199"/>
      <c r="AL265" s="199"/>
    </row>
    <row r="266" spans="1:38" ht="16.5" thickBot="1" x14ac:dyDescent="0.3">
      <c r="A266" s="163"/>
      <c r="B266" s="156"/>
      <c r="C266" s="156"/>
      <c r="D266" s="182"/>
      <c r="E266" s="161"/>
      <c r="F266" s="183"/>
      <c r="G266" s="156"/>
      <c r="H266" s="160"/>
      <c r="I266" s="182"/>
      <c r="J266" s="156"/>
      <c r="K266" s="156"/>
      <c r="L266" s="184">
        <f>SUM(L260:L265)</f>
        <v>190483.37</v>
      </c>
      <c r="M266" s="185"/>
      <c r="N266" s="185">
        <f t="shared" ref="N266:Z266" si="138">SUM(N260:N265)</f>
        <v>148868.196</v>
      </c>
      <c r="O266" s="185">
        <f t="shared" si="138"/>
        <v>2481.1366000000007</v>
      </c>
      <c r="P266" s="185">
        <f t="shared" si="138"/>
        <v>12766.937600000001</v>
      </c>
      <c r="Q266" s="185">
        <f t="shared" si="138"/>
        <v>0</v>
      </c>
      <c r="R266" s="185">
        <f t="shared" si="138"/>
        <v>12766.937600000001</v>
      </c>
      <c r="S266" s="185">
        <f t="shared" si="138"/>
        <v>6</v>
      </c>
      <c r="T266" s="185">
        <f t="shared" si="138"/>
        <v>12766.937600000001</v>
      </c>
      <c r="U266" s="185">
        <f t="shared" si="138"/>
        <v>76312.238666666191</v>
      </c>
      <c r="V266" s="185">
        <f t="shared" si="138"/>
        <v>76312.238666666191</v>
      </c>
      <c r="W266" s="185">
        <f t="shared" si="138"/>
        <v>6</v>
      </c>
      <c r="X266" s="185">
        <f t="shared" si="138"/>
        <v>76312.238666666191</v>
      </c>
      <c r="Y266" s="185">
        <f t="shared" si="138"/>
        <v>89079.176266666196</v>
      </c>
      <c r="Z266" s="185">
        <f t="shared" si="138"/>
        <v>80752.422533333811</v>
      </c>
      <c r="AA266" s="156"/>
      <c r="AB266" s="156"/>
      <c r="AC266" s="156"/>
      <c r="AD266" s="181"/>
      <c r="AE266" s="181"/>
      <c r="AF266" s="181"/>
      <c r="AG266" s="181"/>
      <c r="AH266" s="181"/>
      <c r="AI266" s="156"/>
      <c r="AJ266" s="156"/>
      <c r="AK266" s="156"/>
      <c r="AL266" s="156"/>
    </row>
    <row r="267" spans="1:38" ht="16.5" thickTop="1" x14ac:dyDescent="0.25">
      <c r="A267" s="163"/>
      <c r="B267" s="156"/>
      <c r="C267" s="237"/>
      <c r="D267" s="182"/>
      <c r="E267" s="161"/>
      <c r="F267" s="156"/>
      <c r="G267" s="156"/>
      <c r="H267" s="156"/>
      <c r="I267" s="182"/>
      <c r="J267" s="156"/>
      <c r="K267" s="156"/>
      <c r="L267" s="188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56"/>
      <c r="AB267" s="156"/>
      <c r="AC267" s="156"/>
      <c r="AD267" s="181"/>
      <c r="AE267" s="181"/>
      <c r="AF267" s="181"/>
      <c r="AG267" s="181"/>
      <c r="AH267" s="181"/>
      <c r="AI267" s="156"/>
      <c r="AJ267" s="156"/>
      <c r="AK267" s="156"/>
      <c r="AL267" s="156"/>
    </row>
    <row r="268" spans="1:38" x14ac:dyDescent="0.25">
      <c r="A268" s="163"/>
      <c r="B268" s="156"/>
      <c r="C268" s="318" t="s">
        <v>2521</v>
      </c>
      <c r="D268" s="182"/>
      <c r="E268" s="161"/>
      <c r="F268" s="183"/>
      <c r="G268" s="156"/>
      <c r="H268" s="156"/>
      <c r="I268" s="182"/>
      <c r="J268" s="156"/>
      <c r="K268" s="156"/>
      <c r="L268" s="238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  <c r="AA268" s="156"/>
      <c r="AB268" s="156"/>
      <c r="AC268" s="156"/>
      <c r="AD268" s="181"/>
      <c r="AE268" s="181"/>
      <c r="AF268" s="181"/>
      <c r="AG268" s="181"/>
      <c r="AH268" s="181"/>
      <c r="AI268" s="156"/>
      <c r="AJ268" s="156"/>
      <c r="AK268" s="156"/>
      <c r="AL268" s="156"/>
    </row>
    <row r="269" spans="1:38" x14ac:dyDescent="0.25">
      <c r="A269" s="163" t="s">
        <v>879</v>
      </c>
      <c r="B269" s="161" t="s">
        <v>880</v>
      </c>
      <c r="C269" s="194" t="s">
        <v>881</v>
      </c>
      <c r="D269" s="165">
        <v>2011</v>
      </c>
      <c r="E269" s="161">
        <v>12</v>
      </c>
      <c r="F269" s="178"/>
      <c r="G269" s="179" t="s">
        <v>452</v>
      </c>
      <c r="H269" s="161">
        <v>5</v>
      </c>
      <c r="I269" s="165">
        <f t="shared" ref="I269:I277" si="139">D269+H269</f>
        <v>2016</v>
      </c>
      <c r="J269" s="161"/>
      <c r="K269" s="161"/>
      <c r="L269" s="229">
        <v>2645</v>
      </c>
      <c r="M269" s="161"/>
      <c r="N269" s="161">
        <f t="shared" ref="N269:N277" si="140">L269-L269*F269</f>
        <v>2645</v>
      </c>
      <c r="O269" s="161">
        <f t="shared" ref="O269:O277" si="141">N269/H269/12</f>
        <v>44.083333333333336</v>
      </c>
      <c r="P269" s="161">
        <f t="shared" ref="P269:P277" si="142">IF(M269&gt;0,0,IF((OR((AA269&gt;AB269),(AC269&lt;AD269))),0,IF((AND((AC269&gt;=AD269),(AC269&lt;=AB269))),O269*((AC269-AD269)*12),IF((AND((AD269&lt;=AA269),(AB269&gt;=AA269))),((AB269-AA269)*12)*O269,IF(AC269&gt;AB269,12*O269,0)))))</f>
        <v>529</v>
      </c>
      <c r="Q269" s="161">
        <f t="shared" ref="Q269:Q277" si="143">IF(M269=0,0,IF((AND((AE269&gt;=AD269),(AE269&lt;=AC269))),((AE269-AD269)*12)*O269,0))</f>
        <v>0</v>
      </c>
      <c r="R269" s="161">
        <f t="shared" ref="R269:R277" si="144">IF(Q269&gt;0,Q269,P269)</f>
        <v>529</v>
      </c>
      <c r="S269" s="161">
        <v>1</v>
      </c>
      <c r="T269" s="161">
        <f t="shared" ref="T269:T277" si="145">S269*SUM(P269:Q269)</f>
        <v>529</v>
      </c>
      <c r="U269" s="161">
        <f t="shared" ref="U269:U277" si="146">IF(AA269&gt;AB269,0,IF(AC269&lt;AD269,N269,IF((AND((AC269&gt;=AD269),(AC269&lt;=AB269))),(N269-R269),IF((AND((AD269&lt;=AA269),(AB269&gt;=AA269))),0,IF(AC269&gt;AB269,((AD269-AA269)*12)*O269,0)))))</f>
        <v>2027.8333333332932</v>
      </c>
      <c r="V269" s="161">
        <f t="shared" ref="V269:V277" si="147">U269*S269</f>
        <v>2027.8333333332932</v>
      </c>
      <c r="W269" s="161">
        <v>1</v>
      </c>
      <c r="X269" s="161">
        <f t="shared" ref="X269:X277" si="148">V269*W269</f>
        <v>2027.8333333332932</v>
      </c>
      <c r="Y269" s="161">
        <f t="shared" ref="Y269:Y277" si="149">IF(M269&gt;0,0,X269+T269*W269)*W269</f>
        <v>2556.833333333293</v>
      </c>
      <c r="Z269" s="161">
        <f t="shared" ref="Z269:Z277" si="150">IF(M269&gt;0,(L269-X269)/2,IF(AA269&gt;=AD269,(((L269*S269)*W269)-Y269)/2,((((L269*S269)*W269)-X269)+(((L269*S269)*W269)-Y269))/2))</f>
        <v>352.66666666670687</v>
      </c>
      <c r="AA269" s="161">
        <f t="shared" ref="AA269:AA277" si="151">$D269+(($E269-1)/12)</f>
        <v>2011.9166666666667</v>
      </c>
      <c r="AB269" s="161">
        <f t="shared" ref="AB269:AB277" si="152">($N$5+1)-($N$2/12)</f>
        <v>2016.75</v>
      </c>
      <c r="AC269" s="161">
        <f t="shared" ref="AC269:AC277" si="153">$I269+(($E269-1)/12)</f>
        <v>2016.9166666666667</v>
      </c>
      <c r="AD269" s="197">
        <f t="shared" ref="AD269:AD277" si="154">$N$4+($N$3/12)</f>
        <v>2015.75</v>
      </c>
      <c r="AE269" s="197">
        <f t="shared" ref="AE269:AE277" si="155">$J269+(($K269-1)/12)</f>
        <v>-8.3333333333333329E-2</v>
      </c>
      <c r="AF269" s="197">
        <f t="shared" ref="AF269:AF277" si="156">$I269+(($E269-1)/12)</f>
        <v>2016.9166666666667</v>
      </c>
      <c r="AG269" s="197">
        <f t="shared" ref="AG269:AG277" si="157">$N$4+($N$3/12)</f>
        <v>2015.75</v>
      </c>
      <c r="AH269" s="197">
        <f t="shared" ref="AH269:AH277" si="158">$J269+(($K269-1)/12)</f>
        <v>-8.3333333333333329E-2</v>
      </c>
      <c r="AI269" s="161" t="s">
        <v>471</v>
      </c>
      <c r="AJ269" s="161"/>
      <c r="AK269" s="161"/>
      <c r="AL269" s="161"/>
    </row>
    <row r="270" spans="1:38" x14ac:dyDescent="0.25">
      <c r="A270" s="163" t="s">
        <v>882</v>
      </c>
      <c r="B270" s="161" t="s">
        <v>880</v>
      </c>
      <c r="C270" s="239" t="s">
        <v>883</v>
      </c>
      <c r="D270" s="165">
        <v>2011</v>
      </c>
      <c r="E270" s="161">
        <v>12</v>
      </c>
      <c r="F270" s="178"/>
      <c r="G270" s="179" t="s">
        <v>452</v>
      </c>
      <c r="H270" s="161">
        <v>3</v>
      </c>
      <c r="I270" s="165">
        <f t="shared" si="139"/>
        <v>2014</v>
      </c>
      <c r="J270" s="161"/>
      <c r="K270" s="161"/>
      <c r="L270" s="191">
        <v>41068</v>
      </c>
      <c r="M270" s="161"/>
      <c r="N270" s="161">
        <f t="shared" si="140"/>
        <v>41068</v>
      </c>
      <c r="O270" s="161">
        <f t="shared" si="141"/>
        <v>1140.7777777777778</v>
      </c>
      <c r="P270" s="161">
        <f t="shared" si="142"/>
        <v>0</v>
      </c>
      <c r="Q270" s="161">
        <f t="shared" si="143"/>
        <v>0</v>
      </c>
      <c r="R270" s="161">
        <f t="shared" si="144"/>
        <v>0</v>
      </c>
      <c r="S270" s="161">
        <v>1</v>
      </c>
      <c r="T270" s="161">
        <f t="shared" si="145"/>
        <v>0</v>
      </c>
      <c r="U270" s="161">
        <f t="shared" si="146"/>
        <v>41068</v>
      </c>
      <c r="V270" s="161">
        <f t="shared" si="147"/>
        <v>41068</v>
      </c>
      <c r="W270" s="161">
        <v>1</v>
      </c>
      <c r="X270" s="161">
        <f t="shared" si="148"/>
        <v>41068</v>
      </c>
      <c r="Y270" s="161">
        <f t="shared" si="149"/>
        <v>41068</v>
      </c>
      <c r="Z270" s="161">
        <f t="shared" si="150"/>
        <v>0</v>
      </c>
      <c r="AA270" s="161">
        <f t="shared" si="151"/>
        <v>2011.9166666666667</v>
      </c>
      <c r="AB270" s="161">
        <f t="shared" si="152"/>
        <v>2016.75</v>
      </c>
      <c r="AC270" s="161">
        <f t="shared" si="153"/>
        <v>2014.9166666666667</v>
      </c>
      <c r="AD270" s="197">
        <f t="shared" si="154"/>
        <v>2015.75</v>
      </c>
      <c r="AE270" s="197">
        <f t="shared" si="155"/>
        <v>-8.3333333333333329E-2</v>
      </c>
      <c r="AF270" s="197">
        <f t="shared" si="156"/>
        <v>2014.9166666666667</v>
      </c>
      <c r="AG270" s="197">
        <f t="shared" si="157"/>
        <v>2015.75</v>
      </c>
      <c r="AH270" s="197">
        <f t="shared" si="158"/>
        <v>-8.3333333333333329E-2</v>
      </c>
      <c r="AI270" s="161" t="s">
        <v>471</v>
      </c>
      <c r="AJ270" s="161"/>
      <c r="AK270" s="161"/>
      <c r="AL270" s="161"/>
    </row>
    <row r="271" spans="1:38" x14ac:dyDescent="0.25">
      <c r="A271" s="203" t="s">
        <v>884</v>
      </c>
      <c r="B271" s="161" t="s">
        <v>880</v>
      </c>
      <c r="C271" s="194" t="s">
        <v>885</v>
      </c>
      <c r="D271" s="165">
        <v>2012</v>
      </c>
      <c r="E271" s="240">
        <v>8</v>
      </c>
      <c r="F271" s="178"/>
      <c r="G271" s="179" t="s">
        <v>452</v>
      </c>
      <c r="H271" s="161">
        <v>5</v>
      </c>
      <c r="I271" s="165">
        <f t="shared" si="139"/>
        <v>2017</v>
      </c>
      <c r="J271" s="161"/>
      <c r="K271" s="161"/>
      <c r="L271" s="191">
        <v>10317</v>
      </c>
      <c r="M271" s="161"/>
      <c r="N271" s="161">
        <f t="shared" si="140"/>
        <v>10317</v>
      </c>
      <c r="O271" s="161">
        <f t="shared" si="141"/>
        <v>171.95000000000002</v>
      </c>
      <c r="P271" s="161">
        <f t="shared" si="142"/>
        <v>2063.4</v>
      </c>
      <c r="Q271" s="161">
        <f t="shared" si="143"/>
        <v>0</v>
      </c>
      <c r="R271" s="161">
        <f t="shared" si="144"/>
        <v>2063.4</v>
      </c>
      <c r="S271" s="161">
        <v>1</v>
      </c>
      <c r="T271" s="161">
        <f t="shared" si="145"/>
        <v>2063.4</v>
      </c>
      <c r="U271" s="161">
        <f t="shared" si="146"/>
        <v>6534.1000000001568</v>
      </c>
      <c r="V271" s="161">
        <f t="shared" si="147"/>
        <v>6534.1000000001568</v>
      </c>
      <c r="W271" s="161">
        <v>1</v>
      </c>
      <c r="X271" s="161">
        <f t="shared" si="148"/>
        <v>6534.1000000001568</v>
      </c>
      <c r="Y271" s="161">
        <f t="shared" si="149"/>
        <v>8597.5000000001564</v>
      </c>
      <c r="Z271" s="161">
        <f t="shared" si="150"/>
        <v>2751.1999999998434</v>
      </c>
      <c r="AA271" s="161">
        <f t="shared" si="151"/>
        <v>2012.5833333333333</v>
      </c>
      <c r="AB271" s="161">
        <f t="shared" si="152"/>
        <v>2016.75</v>
      </c>
      <c r="AC271" s="161">
        <f t="shared" si="153"/>
        <v>2017.5833333333333</v>
      </c>
      <c r="AD271" s="197">
        <f t="shared" si="154"/>
        <v>2015.75</v>
      </c>
      <c r="AE271" s="197">
        <f t="shared" si="155"/>
        <v>-8.3333333333333329E-2</v>
      </c>
      <c r="AF271" s="197">
        <f t="shared" si="156"/>
        <v>2017.5833333333333</v>
      </c>
      <c r="AG271" s="197">
        <f t="shared" si="157"/>
        <v>2015.75</v>
      </c>
      <c r="AH271" s="197">
        <f t="shared" si="158"/>
        <v>-8.3333333333333329E-2</v>
      </c>
      <c r="AI271" s="161" t="s">
        <v>471</v>
      </c>
      <c r="AJ271" s="161"/>
      <c r="AK271" s="161"/>
      <c r="AL271" s="161"/>
    </row>
    <row r="272" spans="1:38" x14ac:dyDescent="0.25">
      <c r="A272" s="163" t="s">
        <v>886</v>
      </c>
      <c r="B272" s="161" t="s">
        <v>880</v>
      </c>
      <c r="C272" s="241" t="s">
        <v>887</v>
      </c>
      <c r="D272" s="165">
        <v>2013</v>
      </c>
      <c r="E272" s="240">
        <v>9</v>
      </c>
      <c r="F272" s="178"/>
      <c r="G272" s="179" t="s">
        <v>452</v>
      </c>
      <c r="H272" s="161">
        <v>5</v>
      </c>
      <c r="I272" s="165">
        <f t="shared" si="139"/>
        <v>2018</v>
      </c>
      <c r="J272" s="161"/>
      <c r="K272" s="161"/>
      <c r="L272" s="242">
        <v>12919.17</v>
      </c>
      <c r="M272" s="161"/>
      <c r="N272" s="161">
        <f t="shared" si="140"/>
        <v>12919.17</v>
      </c>
      <c r="O272" s="161">
        <f t="shared" si="141"/>
        <v>215.31949999999998</v>
      </c>
      <c r="P272" s="161">
        <f t="shared" si="142"/>
        <v>2583.8339999999998</v>
      </c>
      <c r="Q272" s="161">
        <f t="shared" si="143"/>
        <v>0</v>
      </c>
      <c r="R272" s="161">
        <f t="shared" si="144"/>
        <v>2583.8339999999998</v>
      </c>
      <c r="S272" s="161">
        <v>1</v>
      </c>
      <c r="T272" s="161">
        <f t="shared" si="145"/>
        <v>2583.8339999999998</v>
      </c>
      <c r="U272" s="161">
        <f t="shared" si="146"/>
        <v>5382.9874999998037</v>
      </c>
      <c r="V272" s="161">
        <f t="shared" si="147"/>
        <v>5382.9874999998037</v>
      </c>
      <c r="W272" s="161">
        <v>1</v>
      </c>
      <c r="X272" s="161">
        <f t="shared" si="148"/>
        <v>5382.9874999998037</v>
      </c>
      <c r="Y272" s="161">
        <f t="shared" si="149"/>
        <v>7966.8214999998036</v>
      </c>
      <c r="Z272" s="161">
        <f t="shared" si="150"/>
        <v>6244.265500000196</v>
      </c>
      <c r="AA272" s="161">
        <f t="shared" si="151"/>
        <v>2013.6666666666667</v>
      </c>
      <c r="AB272" s="161">
        <f t="shared" si="152"/>
        <v>2016.75</v>
      </c>
      <c r="AC272" s="161">
        <f t="shared" si="153"/>
        <v>2018.6666666666667</v>
      </c>
      <c r="AD272" s="197">
        <f t="shared" si="154"/>
        <v>2015.75</v>
      </c>
      <c r="AE272" s="197">
        <f t="shared" si="155"/>
        <v>-8.3333333333333329E-2</v>
      </c>
      <c r="AF272" s="197">
        <f t="shared" si="156"/>
        <v>2018.6666666666667</v>
      </c>
      <c r="AG272" s="197">
        <f t="shared" si="157"/>
        <v>2015.75</v>
      </c>
      <c r="AH272" s="197">
        <f t="shared" si="158"/>
        <v>-8.3333333333333329E-2</v>
      </c>
      <c r="AI272" s="161" t="s">
        <v>471</v>
      </c>
      <c r="AJ272" s="161"/>
      <c r="AK272" s="161"/>
      <c r="AL272" s="161"/>
    </row>
    <row r="273" spans="1:38" x14ac:dyDescent="0.25">
      <c r="A273" s="195" t="s">
        <v>888</v>
      </c>
      <c r="B273" s="199" t="s">
        <v>880</v>
      </c>
      <c r="C273" s="209" t="s">
        <v>889</v>
      </c>
      <c r="D273" s="210">
        <v>2016</v>
      </c>
      <c r="E273" s="199">
        <v>2</v>
      </c>
      <c r="F273" s="211"/>
      <c r="G273" s="212" t="s">
        <v>452</v>
      </c>
      <c r="H273" s="199">
        <v>5</v>
      </c>
      <c r="I273" s="210">
        <f t="shared" si="139"/>
        <v>2021</v>
      </c>
      <c r="J273" s="199"/>
      <c r="K273" s="199"/>
      <c r="L273" s="214">
        <v>11550</v>
      </c>
      <c r="M273" s="199"/>
      <c r="N273" s="199">
        <f t="shared" si="140"/>
        <v>11550</v>
      </c>
      <c r="O273" s="199">
        <f t="shared" si="141"/>
        <v>192.5</v>
      </c>
      <c r="P273" s="199">
        <f t="shared" si="142"/>
        <v>1540.0000000001751</v>
      </c>
      <c r="Q273" s="199">
        <f t="shared" si="143"/>
        <v>0</v>
      </c>
      <c r="R273" s="199">
        <f t="shared" si="144"/>
        <v>1540.0000000001751</v>
      </c>
      <c r="S273" s="199">
        <v>1</v>
      </c>
      <c r="T273" s="199">
        <f t="shared" si="145"/>
        <v>1540.0000000001751</v>
      </c>
      <c r="U273" s="199">
        <f t="shared" si="146"/>
        <v>0</v>
      </c>
      <c r="V273" s="199">
        <f t="shared" si="147"/>
        <v>0</v>
      </c>
      <c r="W273" s="199">
        <v>1</v>
      </c>
      <c r="X273" s="199">
        <f t="shared" si="148"/>
        <v>0</v>
      </c>
      <c r="Y273" s="199">
        <f t="shared" si="149"/>
        <v>1540.0000000001751</v>
      </c>
      <c r="Z273" s="199">
        <f t="shared" si="150"/>
        <v>5004.9999999999127</v>
      </c>
      <c r="AA273" s="199">
        <f t="shared" si="151"/>
        <v>2016.0833333333333</v>
      </c>
      <c r="AB273" s="199">
        <f t="shared" si="152"/>
        <v>2016.75</v>
      </c>
      <c r="AC273" s="199">
        <f t="shared" si="153"/>
        <v>2021.0833333333333</v>
      </c>
      <c r="AD273" s="215">
        <f t="shared" si="154"/>
        <v>2015.75</v>
      </c>
      <c r="AE273" s="215">
        <f t="shared" si="155"/>
        <v>-8.3333333333333329E-2</v>
      </c>
      <c r="AF273" s="215">
        <f t="shared" si="156"/>
        <v>2021.0833333333333</v>
      </c>
      <c r="AG273" s="215">
        <f t="shared" si="157"/>
        <v>2015.75</v>
      </c>
      <c r="AH273" s="215">
        <f t="shared" si="158"/>
        <v>-8.3333333333333329E-2</v>
      </c>
      <c r="AI273" s="199" t="s">
        <v>471</v>
      </c>
      <c r="AJ273" s="199"/>
      <c r="AK273" s="199"/>
      <c r="AL273" s="199"/>
    </row>
    <row r="274" spans="1:38" x14ac:dyDescent="0.25">
      <c r="A274" s="195" t="s">
        <v>890</v>
      </c>
      <c r="B274" s="199" t="s">
        <v>880</v>
      </c>
      <c r="C274" s="209" t="s">
        <v>891</v>
      </c>
      <c r="D274" s="210">
        <v>2016</v>
      </c>
      <c r="E274" s="199">
        <v>5</v>
      </c>
      <c r="F274" s="211"/>
      <c r="G274" s="212" t="s">
        <v>452</v>
      </c>
      <c r="H274" s="199">
        <v>5</v>
      </c>
      <c r="I274" s="210">
        <f t="shared" si="139"/>
        <v>2021</v>
      </c>
      <c r="J274" s="199"/>
      <c r="K274" s="199"/>
      <c r="L274" s="214">
        <v>2055</v>
      </c>
      <c r="M274" s="199"/>
      <c r="N274" s="199">
        <f t="shared" si="140"/>
        <v>2055</v>
      </c>
      <c r="O274" s="199">
        <f t="shared" si="141"/>
        <v>34.25</v>
      </c>
      <c r="P274" s="199">
        <f t="shared" si="142"/>
        <v>171.25000000003115</v>
      </c>
      <c r="Q274" s="199">
        <f t="shared" si="143"/>
        <v>0</v>
      </c>
      <c r="R274" s="199">
        <f t="shared" si="144"/>
        <v>171.25000000003115</v>
      </c>
      <c r="S274" s="199">
        <v>1</v>
      </c>
      <c r="T274" s="199">
        <f t="shared" si="145"/>
        <v>171.25000000003115</v>
      </c>
      <c r="U274" s="199">
        <f t="shared" si="146"/>
        <v>0</v>
      </c>
      <c r="V274" s="199">
        <f t="shared" si="147"/>
        <v>0</v>
      </c>
      <c r="W274" s="199">
        <v>1</v>
      </c>
      <c r="X274" s="199">
        <f t="shared" si="148"/>
        <v>0</v>
      </c>
      <c r="Y274" s="199">
        <f t="shared" si="149"/>
        <v>171.25000000003115</v>
      </c>
      <c r="Z274" s="199">
        <f t="shared" si="150"/>
        <v>941.87499999998442</v>
      </c>
      <c r="AA274" s="199">
        <f t="shared" si="151"/>
        <v>2016.3333333333333</v>
      </c>
      <c r="AB274" s="199">
        <f t="shared" si="152"/>
        <v>2016.75</v>
      </c>
      <c r="AC274" s="199">
        <f t="shared" si="153"/>
        <v>2021.3333333333333</v>
      </c>
      <c r="AD274" s="215">
        <f t="shared" si="154"/>
        <v>2015.75</v>
      </c>
      <c r="AE274" s="215">
        <f t="shared" si="155"/>
        <v>-8.3333333333333329E-2</v>
      </c>
      <c r="AF274" s="215">
        <f t="shared" si="156"/>
        <v>2021.3333333333333</v>
      </c>
      <c r="AG274" s="215">
        <f t="shared" si="157"/>
        <v>2015.75</v>
      </c>
      <c r="AH274" s="215">
        <f t="shared" si="158"/>
        <v>-8.3333333333333329E-2</v>
      </c>
      <c r="AI274" s="199" t="s">
        <v>471</v>
      </c>
      <c r="AJ274" s="199"/>
      <c r="AK274" s="199"/>
      <c r="AL274" s="199"/>
    </row>
    <row r="275" spans="1:38" x14ac:dyDescent="0.25">
      <c r="A275" s="195" t="s">
        <v>892</v>
      </c>
      <c r="B275" s="199" t="s">
        <v>880</v>
      </c>
      <c r="C275" s="209" t="s">
        <v>893</v>
      </c>
      <c r="D275" s="210">
        <v>2016</v>
      </c>
      <c r="E275" s="199">
        <v>4</v>
      </c>
      <c r="F275" s="211"/>
      <c r="G275" s="212" t="s">
        <v>452</v>
      </c>
      <c r="H275" s="199">
        <v>5</v>
      </c>
      <c r="I275" s="210">
        <f t="shared" si="139"/>
        <v>2021</v>
      </c>
      <c r="J275" s="199"/>
      <c r="K275" s="199"/>
      <c r="L275" s="214">
        <v>17895</v>
      </c>
      <c r="M275" s="199"/>
      <c r="N275" s="199">
        <f t="shared" si="140"/>
        <v>17895</v>
      </c>
      <c r="O275" s="199">
        <f t="shared" si="141"/>
        <v>298.25</v>
      </c>
      <c r="P275" s="199">
        <f t="shared" si="142"/>
        <v>1789.5</v>
      </c>
      <c r="Q275" s="199">
        <f t="shared" si="143"/>
        <v>0</v>
      </c>
      <c r="R275" s="199">
        <f t="shared" si="144"/>
        <v>1789.5</v>
      </c>
      <c r="S275" s="199">
        <v>1</v>
      </c>
      <c r="T275" s="199">
        <f t="shared" si="145"/>
        <v>1789.5</v>
      </c>
      <c r="U275" s="199">
        <f t="shared" si="146"/>
        <v>0</v>
      </c>
      <c r="V275" s="199">
        <f t="shared" si="147"/>
        <v>0</v>
      </c>
      <c r="W275" s="199">
        <v>1</v>
      </c>
      <c r="X275" s="199">
        <f t="shared" si="148"/>
        <v>0</v>
      </c>
      <c r="Y275" s="199">
        <f t="shared" si="149"/>
        <v>1789.5</v>
      </c>
      <c r="Z275" s="199">
        <f t="shared" si="150"/>
        <v>8052.75</v>
      </c>
      <c r="AA275" s="199">
        <f t="shared" si="151"/>
        <v>2016.25</v>
      </c>
      <c r="AB275" s="199">
        <f t="shared" si="152"/>
        <v>2016.75</v>
      </c>
      <c r="AC275" s="199">
        <f t="shared" si="153"/>
        <v>2021.25</v>
      </c>
      <c r="AD275" s="215">
        <f t="shared" si="154"/>
        <v>2015.75</v>
      </c>
      <c r="AE275" s="215">
        <f t="shared" si="155"/>
        <v>-8.3333333333333329E-2</v>
      </c>
      <c r="AF275" s="215">
        <f t="shared" si="156"/>
        <v>2021.25</v>
      </c>
      <c r="AG275" s="215">
        <f t="shared" si="157"/>
        <v>2015.75</v>
      </c>
      <c r="AH275" s="215">
        <f t="shared" si="158"/>
        <v>-8.3333333333333329E-2</v>
      </c>
      <c r="AI275" s="199" t="s">
        <v>471</v>
      </c>
      <c r="AJ275" s="199"/>
      <c r="AK275" s="199"/>
      <c r="AL275" s="199"/>
    </row>
    <row r="276" spans="1:38" x14ac:dyDescent="0.25">
      <c r="A276" s="195" t="s">
        <v>894</v>
      </c>
      <c r="B276" s="199" t="s">
        <v>880</v>
      </c>
      <c r="C276" s="209" t="s">
        <v>895</v>
      </c>
      <c r="D276" s="210">
        <v>2016</v>
      </c>
      <c r="E276" s="199">
        <v>9</v>
      </c>
      <c r="F276" s="211"/>
      <c r="G276" s="212" t="s">
        <v>452</v>
      </c>
      <c r="H276" s="199">
        <v>5</v>
      </c>
      <c r="I276" s="210">
        <f t="shared" si="139"/>
        <v>2021</v>
      </c>
      <c r="J276" s="199"/>
      <c r="K276" s="199"/>
      <c r="L276" s="214">
        <v>4725</v>
      </c>
      <c r="M276" s="199"/>
      <c r="N276" s="199">
        <f t="shared" si="140"/>
        <v>4725</v>
      </c>
      <c r="O276" s="199">
        <f t="shared" si="141"/>
        <v>78.75</v>
      </c>
      <c r="P276" s="199">
        <f t="shared" si="142"/>
        <v>78.749999999928377</v>
      </c>
      <c r="Q276" s="199">
        <f t="shared" si="143"/>
        <v>0</v>
      </c>
      <c r="R276" s="199">
        <f t="shared" si="144"/>
        <v>78.749999999928377</v>
      </c>
      <c r="S276" s="199">
        <v>1</v>
      </c>
      <c r="T276" s="199">
        <f t="shared" si="145"/>
        <v>78.749999999928377</v>
      </c>
      <c r="U276" s="199">
        <f t="shared" si="146"/>
        <v>0</v>
      </c>
      <c r="V276" s="199">
        <f t="shared" si="147"/>
        <v>0</v>
      </c>
      <c r="W276" s="199">
        <v>1</v>
      </c>
      <c r="X276" s="199">
        <f t="shared" si="148"/>
        <v>0</v>
      </c>
      <c r="Y276" s="199">
        <f t="shared" si="149"/>
        <v>78.749999999928377</v>
      </c>
      <c r="Z276" s="199">
        <f t="shared" si="150"/>
        <v>2323.1250000000359</v>
      </c>
      <c r="AA276" s="199">
        <f t="shared" si="151"/>
        <v>2016.6666666666667</v>
      </c>
      <c r="AB276" s="199">
        <f t="shared" si="152"/>
        <v>2016.75</v>
      </c>
      <c r="AC276" s="199">
        <f t="shared" si="153"/>
        <v>2021.6666666666667</v>
      </c>
      <c r="AD276" s="215">
        <f t="shared" si="154"/>
        <v>2015.75</v>
      </c>
      <c r="AE276" s="215">
        <f t="shared" si="155"/>
        <v>-8.3333333333333329E-2</v>
      </c>
      <c r="AF276" s="215">
        <f t="shared" si="156"/>
        <v>2021.6666666666667</v>
      </c>
      <c r="AG276" s="215">
        <f t="shared" si="157"/>
        <v>2015.75</v>
      </c>
      <c r="AH276" s="215">
        <f t="shared" si="158"/>
        <v>-8.3333333333333329E-2</v>
      </c>
      <c r="AI276" s="199" t="s">
        <v>471</v>
      </c>
      <c r="AJ276" s="199"/>
      <c r="AK276" s="199"/>
      <c r="AL276" s="199"/>
    </row>
    <row r="277" spans="1:38" x14ac:dyDescent="0.25">
      <c r="A277" s="195" t="s">
        <v>896</v>
      </c>
      <c r="B277" s="199" t="s">
        <v>880</v>
      </c>
      <c r="C277" s="209" t="s">
        <v>897</v>
      </c>
      <c r="D277" s="210">
        <v>2016</v>
      </c>
      <c r="E277" s="199">
        <v>7</v>
      </c>
      <c r="F277" s="211"/>
      <c r="G277" s="212" t="s">
        <v>452</v>
      </c>
      <c r="H277" s="199">
        <v>5</v>
      </c>
      <c r="I277" s="210">
        <f t="shared" si="139"/>
        <v>2021</v>
      </c>
      <c r="J277" s="199"/>
      <c r="K277" s="199"/>
      <c r="L277" s="214">
        <v>6952</v>
      </c>
      <c r="M277" s="199"/>
      <c r="N277" s="199">
        <f t="shared" si="140"/>
        <v>6952</v>
      </c>
      <c r="O277" s="199">
        <f t="shared" si="141"/>
        <v>115.86666666666667</v>
      </c>
      <c r="P277" s="199">
        <f t="shared" si="142"/>
        <v>347.6</v>
      </c>
      <c r="Q277" s="199">
        <f t="shared" si="143"/>
        <v>0</v>
      </c>
      <c r="R277" s="199">
        <f t="shared" si="144"/>
        <v>347.6</v>
      </c>
      <c r="S277" s="199">
        <v>1</v>
      </c>
      <c r="T277" s="199">
        <f t="shared" si="145"/>
        <v>347.6</v>
      </c>
      <c r="U277" s="199">
        <f t="shared" si="146"/>
        <v>0</v>
      </c>
      <c r="V277" s="199">
        <f t="shared" si="147"/>
        <v>0</v>
      </c>
      <c r="W277" s="199">
        <v>1</v>
      </c>
      <c r="X277" s="199">
        <f t="shared" si="148"/>
        <v>0</v>
      </c>
      <c r="Y277" s="199">
        <f t="shared" si="149"/>
        <v>347.6</v>
      </c>
      <c r="Z277" s="199">
        <f t="shared" si="150"/>
        <v>3302.2</v>
      </c>
      <c r="AA277" s="199">
        <f t="shared" si="151"/>
        <v>2016.5</v>
      </c>
      <c r="AB277" s="199">
        <f t="shared" si="152"/>
        <v>2016.75</v>
      </c>
      <c r="AC277" s="199">
        <f t="shared" si="153"/>
        <v>2021.5</v>
      </c>
      <c r="AD277" s="215">
        <f t="shared" si="154"/>
        <v>2015.75</v>
      </c>
      <c r="AE277" s="215">
        <f t="shared" si="155"/>
        <v>-8.3333333333333329E-2</v>
      </c>
      <c r="AF277" s="215">
        <f t="shared" si="156"/>
        <v>2021.5</v>
      </c>
      <c r="AG277" s="215">
        <f t="shared" si="157"/>
        <v>2015.75</v>
      </c>
      <c r="AH277" s="215">
        <f t="shared" si="158"/>
        <v>-8.3333333333333329E-2</v>
      </c>
      <c r="AI277" s="199" t="s">
        <v>471</v>
      </c>
      <c r="AJ277" s="199"/>
      <c r="AK277" s="199"/>
      <c r="AL277" s="199"/>
    </row>
    <row r="278" spans="1:38" ht="16.5" thickBot="1" x14ac:dyDescent="0.3">
      <c r="A278" s="163"/>
      <c r="B278" s="156"/>
      <c r="C278" s="156"/>
      <c r="D278" s="182"/>
      <c r="E278" s="161"/>
      <c r="F278" s="183"/>
      <c r="G278" s="166"/>
      <c r="H278" s="160"/>
      <c r="I278" s="182"/>
      <c r="J278" s="156"/>
      <c r="K278" s="156"/>
      <c r="L278" s="184">
        <f t="shared" ref="L278:Z278" si="159">SUM(L269:L277)</f>
        <v>110126.17</v>
      </c>
      <c r="M278" s="184">
        <f t="shared" si="159"/>
        <v>0</v>
      </c>
      <c r="N278" s="184">
        <f t="shared" si="159"/>
        <v>110126.17</v>
      </c>
      <c r="O278" s="184">
        <f t="shared" si="159"/>
        <v>2291.747277777778</v>
      </c>
      <c r="P278" s="184">
        <f t="shared" si="159"/>
        <v>9103.3340000001353</v>
      </c>
      <c r="Q278" s="184">
        <f t="shared" si="159"/>
        <v>0</v>
      </c>
      <c r="R278" s="184">
        <f t="shared" si="159"/>
        <v>9103.3340000001353</v>
      </c>
      <c r="S278" s="184">
        <f t="shared" si="159"/>
        <v>9</v>
      </c>
      <c r="T278" s="184">
        <f t="shared" si="159"/>
        <v>9103.3340000001353</v>
      </c>
      <c r="U278" s="184">
        <f t="shared" si="159"/>
        <v>55012.920833333257</v>
      </c>
      <c r="V278" s="184">
        <f t="shared" si="159"/>
        <v>55012.920833333257</v>
      </c>
      <c r="W278" s="184">
        <f t="shared" si="159"/>
        <v>9</v>
      </c>
      <c r="X278" s="184">
        <f t="shared" si="159"/>
        <v>55012.920833333257</v>
      </c>
      <c r="Y278" s="184">
        <f t="shared" si="159"/>
        <v>64116.254833333376</v>
      </c>
      <c r="Z278" s="184">
        <f t="shared" si="159"/>
        <v>28973.082166666678</v>
      </c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</row>
    <row r="279" spans="1:38" ht="16.5" thickTop="1" x14ac:dyDescent="0.25">
      <c r="A279" s="163"/>
      <c r="B279" s="156"/>
      <c r="C279" s="186"/>
      <c r="D279" s="182"/>
      <c r="E279" s="161"/>
      <c r="F279" s="183"/>
      <c r="G279" s="156"/>
      <c r="H279" s="160"/>
      <c r="I279" s="182"/>
      <c r="J279" s="156"/>
      <c r="K279" s="156"/>
      <c r="L279" s="188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56"/>
      <c r="AB279" s="156"/>
      <c r="AC279" s="156"/>
      <c r="AD279" s="181"/>
      <c r="AE279" s="181"/>
      <c r="AF279" s="181"/>
      <c r="AG279" s="181"/>
      <c r="AH279" s="181"/>
      <c r="AI279" s="156"/>
      <c r="AJ279" s="156"/>
      <c r="AK279" s="156"/>
      <c r="AL279" s="156"/>
    </row>
    <row r="280" spans="1:38" x14ac:dyDescent="0.25">
      <c r="A280" s="163"/>
      <c r="B280" s="156"/>
      <c r="C280" s="317" t="s">
        <v>2522</v>
      </c>
      <c r="D280" s="182"/>
      <c r="E280" s="161"/>
      <c r="F280" s="183"/>
      <c r="G280" s="156"/>
      <c r="H280" s="156"/>
      <c r="I280" s="182"/>
      <c r="J280" s="156"/>
      <c r="K280" s="156"/>
      <c r="L280" s="160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  <c r="AC280" s="156"/>
      <c r="AD280" s="181"/>
      <c r="AE280" s="181"/>
      <c r="AF280" s="181"/>
      <c r="AG280" s="181"/>
      <c r="AH280" s="181"/>
      <c r="AI280" s="156"/>
      <c r="AJ280" s="156"/>
      <c r="AK280" s="156"/>
      <c r="AL280" s="156"/>
    </row>
    <row r="281" spans="1:38" x14ac:dyDescent="0.25">
      <c r="A281" s="163" t="s">
        <v>898</v>
      </c>
      <c r="B281" s="161" t="s">
        <v>899</v>
      </c>
      <c r="C281" s="161" t="s">
        <v>900</v>
      </c>
      <c r="D281" s="165">
        <v>2011</v>
      </c>
      <c r="E281" s="161">
        <v>12</v>
      </c>
      <c r="F281" s="178"/>
      <c r="G281" s="179" t="s">
        <v>452</v>
      </c>
      <c r="H281" s="161">
        <v>10</v>
      </c>
      <c r="I281" s="165">
        <f>D281+H281</f>
        <v>2021</v>
      </c>
      <c r="J281" s="161"/>
      <c r="K281" s="161"/>
      <c r="L281" s="191">
        <v>28429</v>
      </c>
      <c r="M281" s="161"/>
      <c r="N281" s="161">
        <f>L281-L281*F281</f>
        <v>28429</v>
      </c>
      <c r="O281" s="161">
        <f>N281/H281/12</f>
        <v>236.90833333333333</v>
      </c>
      <c r="P281" s="161">
        <f>IF(M281&gt;0,0,IF((OR((AA281&gt;AB281),(AC281&lt;AD281))),0,IF((AND((AC281&gt;=AD281),(AC281&lt;=AB281))),O281*((AC281-AD281)*12),IF((AND((AD281&lt;=AA281),(AB281&gt;=AA281))),((AB281-AA281)*12)*O281,IF(AC281&gt;AB281,12*O281,0)))))</f>
        <v>2842.9</v>
      </c>
      <c r="Q281" s="161">
        <f>IF(M281=0,0,IF((AND((AE281&gt;=AD281),(AE281&lt;=AC281))),((AE281-AD281)*12)*O281,0))</f>
        <v>0</v>
      </c>
      <c r="R281" s="161">
        <f>IF(Q281&gt;0,Q281,P281)</f>
        <v>2842.9</v>
      </c>
      <c r="S281" s="161">
        <v>1</v>
      </c>
      <c r="T281" s="161">
        <f>S281*SUM(P281:Q281)</f>
        <v>2842.9</v>
      </c>
      <c r="U281" s="161">
        <f>IF(AA281&gt;AB281,0,IF(AC281&lt;AD281,N281,IF((AND((AC281&gt;=AD281),(AC281&lt;=AB281))),(N281-R281),IF((AND((AD281&lt;=AA281),(AB281&gt;=AA281))),0,IF(AC281&gt;AB281,((AD281-AA281)*12)*O281,0)))))</f>
        <v>10897.783333333118</v>
      </c>
      <c r="V281" s="161">
        <f>U281*S281</f>
        <v>10897.783333333118</v>
      </c>
      <c r="W281" s="161">
        <v>1</v>
      </c>
      <c r="X281" s="161">
        <f>V281*W281</f>
        <v>10897.783333333118</v>
      </c>
      <c r="Y281" s="161">
        <f>IF(M281&gt;0,0,X281+T281*W281)*W281</f>
        <v>13740.683333333118</v>
      </c>
      <c r="Z281" s="161">
        <f>IF(M281&gt;0,(L281-X281)/2,IF(AA281&gt;=AD281,(((L281*S281)*W281)-Y281)/2,((((L281*S281)*W281)-X281)+(((L281*S281)*W281)-Y281))/2))</f>
        <v>16109.766666666881</v>
      </c>
      <c r="AA281" s="161">
        <f>$D281+(($E281-1)/12)</f>
        <v>2011.9166666666667</v>
      </c>
      <c r="AB281" s="161">
        <f>($N$5+1)-($N$2/12)</f>
        <v>2016.75</v>
      </c>
      <c r="AC281" s="161">
        <f>$I281+(($E281-1)/12)</f>
        <v>2021.9166666666667</v>
      </c>
      <c r="AD281" s="197">
        <f>$N$4+($N$3/12)</f>
        <v>2015.75</v>
      </c>
      <c r="AE281" s="197">
        <f>$J281+(($K281-1)/12)</f>
        <v>-8.3333333333333329E-2</v>
      </c>
      <c r="AF281" s="197">
        <f>$I281+(($E281-1)/12)</f>
        <v>2021.9166666666667</v>
      </c>
      <c r="AG281" s="197">
        <f>$N$4+($N$3/12)</f>
        <v>2015.75</v>
      </c>
      <c r="AH281" s="197">
        <f>$J281+(($K281-1)/12)</f>
        <v>-8.3333333333333329E-2</v>
      </c>
      <c r="AI281" s="161"/>
      <c r="AJ281" s="161"/>
      <c r="AK281" s="161"/>
      <c r="AL281" s="161"/>
    </row>
    <row r="282" spans="1:38" x14ac:dyDescent="0.25">
      <c r="A282" s="203" t="s">
        <v>901</v>
      </c>
      <c r="B282" s="161" t="s">
        <v>899</v>
      </c>
      <c r="C282" s="193" t="s">
        <v>902</v>
      </c>
      <c r="D282" s="165">
        <v>2007</v>
      </c>
      <c r="E282" s="161">
        <v>5</v>
      </c>
      <c r="F282" s="178"/>
      <c r="G282" s="179" t="s">
        <v>452</v>
      </c>
      <c r="H282" s="161">
        <v>10</v>
      </c>
      <c r="I282" s="165">
        <f>D282+H282</f>
        <v>2017</v>
      </c>
      <c r="J282" s="161"/>
      <c r="K282" s="161"/>
      <c r="L282" s="244">
        <v>35312</v>
      </c>
      <c r="M282" s="161"/>
      <c r="N282" s="161">
        <f>L282-L282*F282</f>
        <v>35312</v>
      </c>
      <c r="O282" s="161">
        <f>N282/H282/12</f>
        <v>294.26666666666665</v>
      </c>
      <c r="P282" s="161">
        <f>IF(M282&gt;0,0,IF((OR((AA282&gt;AB282),(AC282&lt;AD282))),0,IF((AND((AC282&gt;=AD282),(AC282&lt;=AB282))),O282*((AC282-AD282)*12),IF((AND((AD282&lt;=AA282),(AB282&gt;=AA282))),((AB282-AA282)*12)*O282,IF(AC282&gt;AB282,12*O282,0)))))</f>
        <v>3531.2</v>
      </c>
      <c r="Q282" s="161">
        <f>IF(M282=0,0,IF((AND((AE282&gt;=AD282),(AE282&lt;=AC282))),((AE282-AD282)*12)*O282,0))</f>
        <v>0</v>
      </c>
      <c r="R282" s="161">
        <f>IF(Q282&gt;0,Q282,P282)</f>
        <v>3531.2</v>
      </c>
      <c r="S282" s="161">
        <v>1</v>
      </c>
      <c r="T282" s="161">
        <f>S282*SUM(P282:Q282)</f>
        <v>3531.2</v>
      </c>
      <c r="U282" s="161">
        <f>IF(AA282&gt;AB282,0,IF(AC282&lt;AD282,N282,IF((AND((AC282&gt;=AD282),(AC282&lt;=AB282))),(N282-R282),IF((AND((AD282&lt;=AA282),(AB282&gt;=AA282))),0,IF(AC282&gt;AB282,((AD282-AA282)*12)*O282,0)))))</f>
        <v>29720.9333333336</v>
      </c>
      <c r="V282" s="161">
        <f>U282*S282</f>
        <v>29720.9333333336</v>
      </c>
      <c r="W282" s="161">
        <v>1</v>
      </c>
      <c r="X282" s="161">
        <f>V282*W282</f>
        <v>29720.9333333336</v>
      </c>
      <c r="Y282" s="161">
        <f>IF(M282&gt;0,0,X282+T282*W282)*W282</f>
        <v>33252.133333333601</v>
      </c>
      <c r="Z282" s="161">
        <f>IF(M282&gt;0,(L282-X282)/2,IF(AA282&gt;=AD282,(((L282*S282)*W282)-Y282)/2,((((L282*S282)*W282)-X282)+(((L282*S282)*W282)-Y282))/2))</f>
        <v>3825.4666666663998</v>
      </c>
      <c r="AA282" s="161">
        <f>$D282+(($E282-1)/12)</f>
        <v>2007.3333333333333</v>
      </c>
      <c r="AB282" s="161">
        <f>($N$5+1)-($N$2/12)</f>
        <v>2016.75</v>
      </c>
      <c r="AC282" s="161">
        <f>$I282+(($E282-1)/12)</f>
        <v>2017.3333333333333</v>
      </c>
      <c r="AD282" s="197">
        <f>$N$4+($N$3/12)</f>
        <v>2015.75</v>
      </c>
      <c r="AE282" s="197">
        <f>$J282+(($K282-1)/12)</f>
        <v>-8.3333333333333329E-2</v>
      </c>
      <c r="AF282" s="197">
        <f>$I282+(($E282-1)/12)</f>
        <v>2017.3333333333333</v>
      </c>
      <c r="AG282" s="197">
        <f>$N$4+($N$3/12)</f>
        <v>2015.75</v>
      </c>
      <c r="AH282" s="197">
        <f>$J282+(($K282-1)/12)</f>
        <v>-8.3333333333333329E-2</v>
      </c>
      <c r="AI282" s="161"/>
      <c r="AJ282" s="161"/>
      <c r="AK282" s="161"/>
      <c r="AL282" s="161"/>
    </row>
    <row r="283" spans="1:38" x14ac:dyDescent="0.25">
      <c r="A283" s="163" t="s">
        <v>903</v>
      </c>
      <c r="B283" s="161" t="s">
        <v>899</v>
      </c>
      <c r="C283" s="241" t="s">
        <v>904</v>
      </c>
      <c r="D283" s="165">
        <v>2014</v>
      </c>
      <c r="E283" s="161">
        <v>8</v>
      </c>
      <c r="F283" s="178"/>
      <c r="G283" s="179" t="s">
        <v>452</v>
      </c>
      <c r="H283" s="161">
        <v>10</v>
      </c>
      <c r="I283" s="165">
        <f>D283+H283</f>
        <v>2024</v>
      </c>
      <c r="J283" s="161"/>
      <c r="K283" s="161"/>
      <c r="L283" s="242">
        <v>29371.09</v>
      </c>
      <c r="M283" s="161"/>
      <c r="N283" s="161">
        <f>L283-L283*F283</f>
        <v>29371.09</v>
      </c>
      <c r="O283" s="161">
        <f>N283/H283/12</f>
        <v>244.75908333333334</v>
      </c>
      <c r="P283" s="161">
        <f>IF(M283&gt;0,0,IF((OR((AA283&gt;AB283),(AC283&lt;AD283))),0,IF((AND((AC283&gt;=AD283),(AC283&lt;=AB283))),O283*((AC283-AD283)*12),IF((AND((AD283&lt;=AA283),(AB283&gt;=AA283))),((AB283-AA283)*12)*O283,IF(AC283&gt;AB283,12*O283,0)))))</f>
        <v>2937.1089999999999</v>
      </c>
      <c r="Q283" s="161">
        <f>IF(M283=0,0,IF((AND((AE283&gt;=AD283),(AE283&lt;=AC283))),((AE283-AD283)*12)*O283,0))</f>
        <v>0</v>
      </c>
      <c r="R283" s="161">
        <f>IF(Q283&gt;0,Q283,P283)</f>
        <v>2937.1089999999999</v>
      </c>
      <c r="S283" s="161">
        <v>1</v>
      </c>
      <c r="T283" s="161">
        <f>S283*SUM(P283:Q283)</f>
        <v>2937.1089999999999</v>
      </c>
      <c r="U283" s="161">
        <f>IF(AA283&gt;AB283,0,IF(AC283&lt;AD283,N283,IF((AND((AC283&gt;=AD283),(AC283&lt;=AB283))),(N283-R283),IF((AND((AD283&lt;=AA283),(AB283&gt;=AA283))),0,IF(AC283&gt;AB283,((AD283-AA283)*12)*O283,0)))))</f>
        <v>3426.6271666668895</v>
      </c>
      <c r="V283" s="161">
        <f>U283*S283</f>
        <v>3426.6271666668895</v>
      </c>
      <c r="W283" s="161">
        <v>1</v>
      </c>
      <c r="X283" s="161">
        <f>V283*W283</f>
        <v>3426.6271666668895</v>
      </c>
      <c r="Y283" s="161">
        <f>IF(M283&gt;0,0,X283+T283*W283)*W283</f>
        <v>6363.7361666668894</v>
      </c>
      <c r="Z283" s="161">
        <f>IF(M283&gt;0,(L283-X283)/2,IF(AA283&gt;=AD283,(((L283*S283)*W283)-Y283)/2,((((L283*S283)*W283)-X283)+(((L283*S283)*W283)-Y283))/2))</f>
        <v>24475.908333333107</v>
      </c>
      <c r="AA283" s="161">
        <f>$D283+(($E283-1)/12)</f>
        <v>2014.5833333333333</v>
      </c>
      <c r="AB283" s="161">
        <f>($N$5+1)-($N$2/12)</f>
        <v>2016.75</v>
      </c>
      <c r="AC283" s="161">
        <f>$I283+(($E283-1)/12)</f>
        <v>2024.5833333333333</v>
      </c>
      <c r="AD283" s="197">
        <f>$N$4+($N$3/12)</f>
        <v>2015.75</v>
      </c>
      <c r="AE283" s="197">
        <f>$J283+(($K283-1)/12)</f>
        <v>-8.3333333333333329E-2</v>
      </c>
      <c r="AF283" s="197">
        <f>$I283+(($E283-1)/12)</f>
        <v>2024.5833333333333</v>
      </c>
      <c r="AG283" s="197">
        <f>$N$4+($N$3/12)</f>
        <v>2015.75</v>
      </c>
      <c r="AH283" s="197">
        <f>$J283+(($K283-1)/12)</f>
        <v>-8.3333333333333329E-2</v>
      </c>
      <c r="AI283" s="161"/>
      <c r="AJ283" s="161"/>
      <c r="AK283" s="161"/>
      <c r="AL283" s="161"/>
    </row>
    <row r="284" spans="1:38" x14ac:dyDescent="0.25">
      <c r="A284" s="203" t="s">
        <v>905</v>
      </c>
      <c r="B284" s="161" t="s">
        <v>899</v>
      </c>
      <c r="C284" s="241" t="s">
        <v>906</v>
      </c>
      <c r="D284" s="165">
        <v>2014</v>
      </c>
      <c r="E284" s="161">
        <v>10</v>
      </c>
      <c r="F284" s="178"/>
      <c r="G284" s="179" t="s">
        <v>452</v>
      </c>
      <c r="H284" s="161">
        <v>10</v>
      </c>
      <c r="I284" s="165">
        <f>D284+H284</f>
        <v>2024</v>
      </c>
      <c r="J284" s="161"/>
      <c r="K284" s="161"/>
      <c r="L284" s="242">
        <v>31914</v>
      </c>
      <c r="M284" s="161"/>
      <c r="N284" s="161">
        <f>L284-L284*F284</f>
        <v>31914</v>
      </c>
      <c r="O284" s="161">
        <f>N284/H284/12</f>
        <v>265.95</v>
      </c>
      <c r="P284" s="161">
        <f>IF(M284&gt;0,0,IF((OR((AA284&gt;AB284),(AC284&lt;AD284))),0,IF((AND((AC284&gt;=AD284),(AC284&lt;=AB284))),O284*((AC284-AD284)*12),IF((AND((AD284&lt;=AA284),(AB284&gt;=AA284))),((AB284-AA284)*12)*O284,IF(AC284&gt;AB284,12*O284,0)))))</f>
        <v>3191.3999999999996</v>
      </c>
      <c r="Q284" s="161">
        <f>IF(M284=0,0,IF((AND((AE284&gt;=AD284),(AE284&lt;=AC284))),((AE284-AD284)*12)*O284,0))</f>
        <v>0</v>
      </c>
      <c r="R284" s="161">
        <f>IF(Q284&gt;0,Q284,P284)</f>
        <v>3191.3999999999996</v>
      </c>
      <c r="S284" s="161">
        <v>1</v>
      </c>
      <c r="T284" s="161">
        <f>S284*SUM(P284:Q284)</f>
        <v>3191.3999999999996</v>
      </c>
      <c r="U284" s="161">
        <f>IF(AA284&gt;AB284,0,IF(AC284&lt;AD284,N284,IF((AND((AC284&gt;=AD284),(AC284&lt;=AB284))),(N284-R284),IF((AND((AD284&lt;=AA284),(AB284&gt;=AA284))),0,IF(AC284&gt;AB284,((AD284-AA284)*12)*O284,0)))))</f>
        <v>3191.3999999999996</v>
      </c>
      <c r="V284" s="161">
        <f>U284*S284</f>
        <v>3191.3999999999996</v>
      </c>
      <c r="W284" s="161">
        <v>1</v>
      </c>
      <c r="X284" s="161">
        <f>V284*W284</f>
        <v>3191.3999999999996</v>
      </c>
      <c r="Y284" s="161">
        <f>IF(M284&gt;0,0,X284+T284*W284)*W284</f>
        <v>6382.7999999999993</v>
      </c>
      <c r="Z284" s="161">
        <f>IF(M284&gt;0,(L284-X284)/2,IF(AA284&gt;=AD284,(((L284*S284)*W284)-Y284)/2,((((L284*S284)*W284)-X284)+(((L284*S284)*W284)-Y284))/2))</f>
        <v>27126.9</v>
      </c>
      <c r="AA284" s="161">
        <f>$D284+(($E284-1)/12)</f>
        <v>2014.75</v>
      </c>
      <c r="AB284" s="161">
        <f>($N$5+1)-($N$2/12)</f>
        <v>2016.75</v>
      </c>
      <c r="AC284" s="161">
        <f>$I284+(($E284-1)/12)</f>
        <v>2024.75</v>
      </c>
      <c r="AD284" s="197">
        <f>$N$4+($N$3/12)</f>
        <v>2015.75</v>
      </c>
      <c r="AE284" s="197">
        <f>$J284+(($K284-1)/12)</f>
        <v>-8.3333333333333329E-2</v>
      </c>
      <c r="AF284" s="197">
        <f>$I284+(($E284-1)/12)</f>
        <v>2024.75</v>
      </c>
      <c r="AG284" s="197">
        <f>$N$4+($N$3/12)</f>
        <v>2015.75</v>
      </c>
      <c r="AH284" s="197">
        <f>$J284+(($K284-1)/12)</f>
        <v>-8.3333333333333329E-2</v>
      </c>
      <c r="AI284" s="161"/>
      <c r="AJ284" s="161"/>
      <c r="AK284" s="161"/>
      <c r="AL284" s="161"/>
    </row>
    <row r="285" spans="1:38" x14ac:dyDescent="0.25">
      <c r="A285" s="195" t="s">
        <v>907</v>
      </c>
      <c r="B285" s="199" t="s">
        <v>899</v>
      </c>
      <c r="C285" s="209" t="s">
        <v>908</v>
      </c>
      <c r="D285" s="210">
        <v>2016</v>
      </c>
      <c r="E285" s="199">
        <v>8</v>
      </c>
      <c r="F285" s="211"/>
      <c r="G285" s="212" t="s">
        <v>452</v>
      </c>
      <c r="H285" s="199">
        <v>10</v>
      </c>
      <c r="I285" s="210">
        <f>D285+H285</f>
        <v>2026</v>
      </c>
      <c r="J285" s="199"/>
      <c r="K285" s="199"/>
      <c r="L285" s="214">
        <v>13321.06</v>
      </c>
      <c r="M285" s="199"/>
      <c r="N285" s="199">
        <f>L285-L285*F285</f>
        <v>13321.06</v>
      </c>
      <c r="O285" s="199">
        <f>N285/H285/12</f>
        <v>111.00883333333333</v>
      </c>
      <c r="P285" s="199">
        <f>IF(M285&gt;0,0,IF((OR((AA285&gt;AB285),(AC285&lt;AD285))),0,IF((AND((AC285&gt;=AD285),(AC285&lt;=AB285))),O285*((AC285-AD285)*12),IF((AND((AD285&lt;=AA285),(AB285&gt;=AA285))),((AB285-AA285)*12)*O285,IF(AC285&gt;AB285,12*O285,0)))))</f>
        <v>222.01766666676761</v>
      </c>
      <c r="Q285" s="199">
        <f>IF(M285=0,0,IF((AND((AE285&gt;=AD285),(AE285&lt;=AC285))),((AE285-AD285)*12)*O285,0))</f>
        <v>0</v>
      </c>
      <c r="R285" s="199">
        <f>IF(Q285&gt;0,Q285,P285)</f>
        <v>222.01766666676761</v>
      </c>
      <c r="S285" s="199">
        <v>1</v>
      </c>
      <c r="T285" s="199">
        <f>S285*SUM(P285:Q285)</f>
        <v>222.01766666676761</v>
      </c>
      <c r="U285" s="199">
        <f>IF(AA285&gt;AB285,0,IF(AC285&lt;AD285,N285,IF((AND((AC285&gt;=AD285),(AC285&lt;=AB285))),(N285-R285),IF((AND((AD285&lt;=AA285),(AB285&gt;=AA285))),0,IF(AC285&gt;AB285,((AD285-AA285)*12)*O285,0)))))</f>
        <v>0</v>
      </c>
      <c r="V285" s="199">
        <f>U285*S285</f>
        <v>0</v>
      </c>
      <c r="W285" s="199">
        <v>1</v>
      </c>
      <c r="X285" s="199">
        <f>V285*W285</f>
        <v>0</v>
      </c>
      <c r="Y285" s="199">
        <f>IF(M285&gt;0,0,X285+T285*W285)*W285</f>
        <v>222.01766666676761</v>
      </c>
      <c r="Z285" s="199">
        <f>IF(M285&gt;0,(L285-X285)/2,IF(AA285&gt;=AD285,(((L285*S285)*W285)-Y285)/2,((((L285*S285)*W285)-X285)+(((L285*S285)*W285)-Y285))/2))</f>
        <v>6549.5211666666155</v>
      </c>
      <c r="AA285" s="199">
        <f>$D285+(($E285-1)/12)</f>
        <v>2016.5833333333333</v>
      </c>
      <c r="AB285" s="199">
        <f>($N$5+1)-($N$2/12)</f>
        <v>2016.75</v>
      </c>
      <c r="AC285" s="199">
        <f>$I285+(($E285-1)/12)</f>
        <v>2026.5833333333333</v>
      </c>
      <c r="AD285" s="215">
        <f>$N$4+($N$3/12)</f>
        <v>2015.75</v>
      </c>
      <c r="AE285" s="215">
        <f>$J285+(($K285-1)/12)</f>
        <v>-8.3333333333333329E-2</v>
      </c>
      <c r="AF285" s="215">
        <f>$I285+(($E285-1)/12)</f>
        <v>2026.5833333333333</v>
      </c>
      <c r="AG285" s="215">
        <f>$N$4+($N$3/12)</f>
        <v>2015.75</v>
      </c>
      <c r="AH285" s="215">
        <f>$J285+(($K285-1)/12)</f>
        <v>-8.3333333333333329E-2</v>
      </c>
      <c r="AI285" s="199"/>
      <c r="AJ285" s="199"/>
      <c r="AK285" s="199"/>
      <c r="AL285" s="199"/>
    </row>
    <row r="286" spans="1:38" ht="16.5" thickBot="1" x14ac:dyDescent="0.3">
      <c r="A286" s="163"/>
      <c r="B286" s="156"/>
      <c r="C286" s="156"/>
      <c r="D286" s="156"/>
      <c r="E286" s="161"/>
      <c r="F286" s="183"/>
      <c r="G286" s="166"/>
      <c r="H286" s="160" t="s">
        <v>909</v>
      </c>
      <c r="I286" s="156"/>
      <c r="J286" s="156"/>
      <c r="K286" s="156"/>
      <c r="L286" s="184">
        <f>SUM(L281:L285)</f>
        <v>138347.15</v>
      </c>
      <c r="M286" s="185"/>
      <c r="N286" s="185">
        <f t="shared" ref="N286:Z286" si="160">SUM(N281:N285)</f>
        <v>138347.15</v>
      </c>
      <c r="O286" s="185">
        <f t="shared" si="160"/>
        <v>1152.8929166666667</v>
      </c>
      <c r="P286" s="185">
        <f t="shared" si="160"/>
        <v>12724.626666666769</v>
      </c>
      <c r="Q286" s="185">
        <f t="shared" si="160"/>
        <v>0</v>
      </c>
      <c r="R286" s="185">
        <f t="shared" si="160"/>
        <v>12724.626666666769</v>
      </c>
      <c r="S286" s="185">
        <f t="shared" si="160"/>
        <v>5</v>
      </c>
      <c r="T286" s="185">
        <f t="shared" si="160"/>
        <v>12724.626666666769</v>
      </c>
      <c r="U286" s="185">
        <f t="shared" si="160"/>
        <v>47236.74383333361</v>
      </c>
      <c r="V286" s="185">
        <f t="shared" si="160"/>
        <v>47236.74383333361</v>
      </c>
      <c r="W286" s="185">
        <f t="shared" si="160"/>
        <v>5</v>
      </c>
      <c r="X286" s="185">
        <f t="shared" si="160"/>
        <v>47236.74383333361</v>
      </c>
      <c r="Y286" s="185">
        <f t="shared" si="160"/>
        <v>59961.370500000368</v>
      </c>
      <c r="Z286" s="185">
        <f t="shared" si="160"/>
        <v>78087.56283333301</v>
      </c>
      <c r="AA286" s="156"/>
      <c r="AB286" s="156"/>
      <c r="AC286" s="156"/>
      <c r="AD286" s="181"/>
      <c r="AE286" s="181"/>
      <c r="AF286" s="181"/>
      <c r="AG286" s="181"/>
      <c r="AH286" s="181"/>
      <c r="AI286" s="156"/>
      <c r="AJ286" s="156"/>
      <c r="AK286" s="156"/>
      <c r="AL286" s="156"/>
    </row>
    <row r="287" spans="1:38" ht="16.5" thickTop="1" x14ac:dyDescent="0.25">
      <c r="A287" s="163"/>
      <c r="B287" s="156"/>
      <c r="C287" s="156"/>
      <c r="D287" s="156"/>
      <c r="E287" s="156"/>
      <c r="F287" s="183"/>
      <c r="G287" s="166"/>
      <c r="H287" s="160"/>
      <c r="I287" s="156"/>
      <c r="J287" s="156"/>
      <c r="K287" s="156"/>
      <c r="L287" s="188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56"/>
      <c r="AB287" s="156"/>
      <c r="AC287" s="156"/>
      <c r="AD287" s="181"/>
      <c r="AE287" s="181"/>
      <c r="AF287" s="181"/>
      <c r="AG287" s="181"/>
      <c r="AH287" s="181"/>
      <c r="AI287" s="156"/>
      <c r="AJ287" s="156"/>
      <c r="AK287" s="156"/>
      <c r="AL287" s="156"/>
    </row>
    <row r="288" spans="1:38" x14ac:dyDescent="0.25">
      <c r="A288" s="163"/>
      <c r="B288" s="156"/>
      <c r="C288" s="156"/>
      <c r="D288" s="156"/>
      <c r="E288" s="156"/>
      <c r="F288" s="183"/>
      <c r="G288" s="156"/>
      <c r="H288" s="160"/>
      <c r="I288" s="156"/>
      <c r="J288" s="156"/>
      <c r="K288" s="156"/>
      <c r="L288" s="160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  <c r="AC288" s="156"/>
      <c r="AD288" s="181"/>
      <c r="AE288" s="181"/>
      <c r="AF288" s="181"/>
      <c r="AG288" s="181"/>
      <c r="AH288" s="181"/>
      <c r="AI288" s="156"/>
      <c r="AJ288" s="156"/>
      <c r="AK288" s="156"/>
      <c r="AL288" s="156"/>
    </row>
    <row r="289" spans="1:38" x14ac:dyDescent="0.25">
      <c r="A289" s="163"/>
      <c r="B289" s="156"/>
      <c r="C289" s="316" t="s">
        <v>2512</v>
      </c>
      <c r="D289" s="156"/>
      <c r="E289" s="161"/>
      <c r="F289" s="156"/>
      <c r="G289" s="156"/>
      <c r="H289" s="156"/>
      <c r="I289" s="156"/>
      <c r="J289" s="156"/>
      <c r="K289" s="156"/>
      <c r="L289" s="160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</row>
    <row r="290" spans="1:38" x14ac:dyDescent="0.25">
      <c r="A290" s="163"/>
      <c r="B290" s="156"/>
      <c r="C290" s="156" t="s">
        <v>2513</v>
      </c>
      <c r="D290" s="182">
        <v>2012</v>
      </c>
      <c r="E290" s="161">
        <v>1</v>
      </c>
      <c r="F290" s="156">
        <v>0</v>
      </c>
      <c r="G290" s="156" t="s">
        <v>452</v>
      </c>
      <c r="H290" s="156">
        <v>20</v>
      </c>
      <c r="I290" s="210">
        <f>D290+H290</f>
        <v>2032</v>
      </c>
      <c r="J290" s="156"/>
      <c r="K290" s="156"/>
      <c r="L290" s="160">
        <v>112012</v>
      </c>
      <c r="M290" s="156"/>
      <c r="N290" s="161">
        <f>L290-L290*F290</f>
        <v>112012</v>
      </c>
      <c r="O290" s="161">
        <f>N290/H290/12</f>
        <v>466.7166666666667</v>
      </c>
      <c r="P290" s="161">
        <f>IF(M290&gt;0,0,IF((OR((AA290&gt;AB290),(AC290&lt;AD290))),0,IF((AND((AC290&gt;=AD290),(AC290&lt;=AB290))),O290*((AC290-AD290)*12),IF((AND((AD290&lt;=AA290),(AB290&gt;=AA290))),((AB290-AA290)*12)*O290,IF(AC290&gt;AB290,12*O290,0)))))</f>
        <v>5600.6</v>
      </c>
      <c r="Q290" s="161">
        <f>IF(M290=0,0,IF((AND((AE290&gt;=AD290),(AE290&lt;=AC290))),((AE290-AD290)*12)*O290,0))</f>
        <v>0</v>
      </c>
      <c r="R290" s="161">
        <f>IF(Q290&gt;0,Q290,P290)</f>
        <v>5600.6</v>
      </c>
      <c r="S290" s="161">
        <v>1</v>
      </c>
      <c r="T290" s="161">
        <f>S290*SUM(P290:Q290)</f>
        <v>5600.6</v>
      </c>
      <c r="U290" s="161">
        <f>IF(AA290&gt;AB290,0,IF(AC290&lt;AD290,N290,IF((AND((AC290&gt;=AD290),(AC290&lt;=AB290))),(N290-R290),IF((AND((AD290&lt;=AA290),(AB290&gt;=AA290))),0,IF(AC290&gt;AB290,((AD290-AA290)*12)*O290,0)))))</f>
        <v>21002.25</v>
      </c>
      <c r="V290" s="161">
        <f>U290*S290</f>
        <v>21002.25</v>
      </c>
      <c r="W290" s="161">
        <v>1</v>
      </c>
      <c r="X290" s="161">
        <f>V290*W290</f>
        <v>21002.25</v>
      </c>
      <c r="Y290" s="161">
        <f>IF(M290&gt;0,0,X290+T290*W290)*W290</f>
        <v>26602.85</v>
      </c>
      <c r="Z290" s="161">
        <f>IF(M290&gt;0,(L290-X290)/2,IF(AA290&gt;=AD290,(((L290*S290)*W290)-Y290)/2,((((L290*S290)*W290)-X290)+(((L290*S290)*W290)-Y290))/2))</f>
        <v>88209.45</v>
      </c>
      <c r="AA290" s="161">
        <f>$D290+(($E290-1)/12)</f>
        <v>2012</v>
      </c>
      <c r="AB290" s="161">
        <f>($N$5+1)-($N$2/12)</f>
        <v>2016.75</v>
      </c>
      <c r="AC290" s="161">
        <f>$I290+(($E290-1)/12)</f>
        <v>2032</v>
      </c>
      <c r="AD290" s="197">
        <f>$N$4+($N$3/12)</f>
        <v>2015.75</v>
      </c>
      <c r="AE290" s="197">
        <f>$J290+(($K290-1)/12)</f>
        <v>-8.3333333333333329E-2</v>
      </c>
      <c r="AF290" s="197">
        <f>$I290+(($E290-1)/12)</f>
        <v>2032</v>
      </c>
      <c r="AG290" s="197">
        <f>$N$4+($N$3/12)</f>
        <v>2015.75</v>
      </c>
      <c r="AH290" s="197">
        <f>$J290+(($K290-1)/12)</f>
        <v>-8.3333333333333329E-2</v>
      </c>
      <c r="AI290" s="156"/>
      <c r="AJ290" s="156"/>
      <c r="AK290" s="156"/>
      <c r="AL290" s="156"/>
    </row>
    <row r="291" spans="1:38" x14ac:dyDescent="0.25">
      <c r="A291" s="163"/>
      <c r="B291" s="156"/>
      <c r="C291" s="156" t="s">
        <v>2514</v>
      </c>
      <c r="D291" s="182">
        <v>2011</v>
      </c>
      <c r="E291" s="161">
        <v>1</v>
      </c>
      <c r="F291" s="156">
        <v>0</v>
      </c>
      <c r="G291" s="156" t="s">
        <v>452</v>
      </c>
      <c r="H291" s="156">
        <v>20</v>
      </c>
      <c r="I291" s="210">
        <f>D291+H291</f>
        <v>2031</v>
      </c>
      <c r="J291" s="156"/>
      <c r="K291" s="156"/>
      <c r="L291" s="160">
        <v>493896</v>
      </c>
      <c r="M291" s="156"/>
      <c r="N291" s="161">
        <f>L291-L291*F291</f>
        <v>493896</v>
      </c>
      <c r="O291" s="161">
        <f>N291/H291/12</f>
        <v>2057.9</v>
      </c>
      <c r="P291" s="161">
        <f>IF(M291&gt;0,0,IF((OR((AA291&gt;AB291),(AC291&lt;AD291))),0,IF((AND((AC291&gt;=AD291),(AC291&lt;=AB291))),O291*((AC291-AD291)*12),IF((AND((AD291&lt;=AA291),(AB291&gt;=AA291))),((AB291-AA291)*12)*O291,IF(AC291&gt;AB291,12*O291,0)))))</f>
        <v>24694.800000000003</v>
      </c>
      <c r="Q291" s="161">
        <f>IF(M291=0,0,IF((AND((AE291&gt;=AD291),(AE291&lt;=AC291))),((AE291-AD291)*12)*O291,0))</f>
        <v>0</v>
      </c>
      <c r="R291" s="161">
        <f>IF(Q291&gt;0,Q291,P291)</f>
        <v>24694.800000000003</v>
      </c>
      <c r="S291" s="161">
        <v>1</v>
      </c>
      <c r="T291" s="161">
        <f>S291*SUM(P291:Q291)</f>
        <v>24694.800000000003</v>
      </c>
      <c r="U291" s="161">
        <f>IF(AA291&gt;AB291,0,IF(AC291&lt;AD291,N291,IF((AND((AC291&gt;=AD291),(AC291&lt;=AB291))),(N291-R291),IF((AND((AD291&lt;=AA291),(AB291&gt;=AA291))),0,IF(AC291&gt;AB291,((AD291-AA291)*12)*O291,0)))))</f>
        <v>117300.3</v>
      </c>
      <c r="V291" s="161">
        <f>U291*S291</f>
        <v>117300.3</v>
      </c>
      <c r="W291" s="161">
        <v>1</v>
      </c>
      <c r="X291" s="161">
        <f>V291*W291</f>
        <v>117300.3</v>
      </c>
      <c r="Y291" s="161">
        <f>IF(M291&gt;0,0,X291+T291*W291)*W291</f>
        <v>141995.1</v>
      </c>
      <c r="Z291" s="161">
        <f>IF(M291&gt;0,(L291-X291)/2,IF(AA291&gt;=AD291,(((L291*S291)*W291)-Y291)/2,((((L291*S291)*W291)-X291)+(((L291*S291)*W291)-Y291))/2))</f>
        <v>364248.30000000005</v>
      </c>
      <c r="AA291" s="161">
        <f>$D291+(($E291-1)/12)</f>
        <v>2011</v>
      </c>
      <c r="AB291" s="161">
        <f>($N$5+1)-($N$2/12)</f>
        <v>2016.75</v>
      </c>
      <c r="AC291" s="161">
        <f>$I291+(($E291-1)/12)</f>
        <v>2031</v>
      </c>
      <c r="AD291" s="197">
        <f>$N$4+($N$3/12)</f>
        <v>2015.75</v>
      </c>
      <c r="AE291" s="197">
        <f>$J291+(($K291-1)/12)</f>
        <v>-8.3333333333333329E-2</v>
      </c>
      <c r="AF291" s="197">
        <f>$I291+(($E291-1)/12)</f>
        <v>2031</v>
      </c>
      <c r="AG291" s="197">
        <f>$N$4+($N$3/12)</f>
        <v>2015.75</v>
      </c>
      <c r="AH291" s="197">
        <f>$J291+(($K291-1)/12)</f>
        <v>-8.3333333333333329E-2</v>
      </c>
      <c r="AI291" s="156"/>
      <c r="AJ291" s="156"/>
      <c r="AK291" s="156"/>
      <c r="AL291" s="156"/>
    </row>
    <row r="292" spans="1:38" x14ac:dyDescent="0.25">
      <c r="A292" s="163"/>
      <c r="B292" s="156"/>
      <c r="C292" s="156" t="s">
        <v>2515</v>
      </c>
      <c r="D292" s="182">
        <v>2013</v>
      </c>
      <c r="E292" s="161">
        <v>1</v>
      </c>
      <c r="F292" s="156">
        <v>0</v>
      </c>
      <c r="G292" s="156" t="s">
        <v>452</v>
      </c>
      <c r="H292" s="156">
        <v>20</v>
      </c>
      <c r="I292" s="210">
        <f>D292+H292</f>
        <v>2033</v>
      </c>
      <c r="J292" s="156"/>
      <c r="K292" s="156"/>
      <c r="L292" s="160">
        <f>+'Prior PLP Costs'!H17</f>
        <v>37330.76</v>
      </c>
      <c r="M292" s="156"/>
      <c r="N292" s="161">
        <f>L292-L292*F292</f>
        <v>37330.76</v>
      </c>
      <c r="O292" s="161">
        <f>N292/H292/12</f>
        <v>155.54483333333334</v>
      </c>
      <c r="P292" s="161">
        <f>IF(M292&gt;0,0,IF((OR((AA292&gt;AB292),(AC292&lt;AD292))),0,IF((AND((AC292&gt;=AD292),(AC292&lt;=AB292))),O292*((AC292-AD292)*12),IF((AND((AD292&lt;=AA292),(AB292&gt;=AA292))),((AB292-AA292)*12)*O292,IF(AC292&gt;AB292,12*O292,0)))))</f>
        <v>1866.538</v>
      </c>
      <c r="Q292" s="161">
        <f>IF(M292=0,0,IF((AND((AE292&gt;=AD292),(AE292&lt;=AC292))),((AE292-AD292)*12)*O292,0))</f>
        <v>0</v>
      </c>
      <c r="R292" s="161">
        <f>IF(Q292&gt;0,Q292,P292)</f>
        <v>1866.538</v>
      </c>
      <c r="S292" s="161">
        <v>1</v>
      </c>
      <c r="T292" s="161">
        <f>S292*SUM(P292:Q292)</f>
        <v>1866.538</v>
      </c>
      <c r="U292" s="161">
        <f>IF(AA292&gt;AB292,0,IF(AC292&lt;AD292,N292,IF((AND((AC292&gt;=AD292),(AC292&lt;=AB292))),(N292-R292),IF((AND((AD292&lt;=AA292),(AB292&gt;=AA292))),0,IF(AC292&gt;AB292,((AD292-AA292)*12)*O292,0)))))</f>
        <v>5132.9795000000004</v>
      </c>
      <c r="V292" s="161">
        <f>U292*S292</f>
        <v>5132.9795000000004</v>
      </c>
      <c r="W292" s="161">
        <v>1</v>
      </c>
      <c r="X292" s="161">
        <f>V292*W292</f>
        <v>5132.9795000000004</v>
      </c>
      <c r="Y292" s="161">
        <f>IF(M292&gt;0,0,X292+T292*W292)*W292</f>
        <v>6999.5174999999999</v>
      </c>
      <c r="Z292" s="161">
        <f>IF(M292&gt;0,(L292-X292)/2,IF(AA292&gt;=AD292,(((L292*S292)*W292)-Y292)/2,((((L292*S292)*W292)-X292)+(((L292*S292)*W292)-Y292))/2))</f>
        <v>31264.511500000001</v>
      </c>
      <c r="AA292" s="161">
        <f>$D292+(($E292-1)/12)</f>
        <v>2013</v>
      </c>
      <c r="AB292" s="161">
        <f>($N$5+1)-($N$2/12)</f>
        <v>2016.75</v>
      </c>
      <c r="AC292" s="161">
        <f>$I292+(($E292-1)/12)</f>
        <v>2033</v>
      </c>
      <c r="AD292" s="197">
        <f>$N$4+($N$3/12)</f>
        <v>2015.75</v>
      </c>
      <c r="AE292" s="197">
        <f>$J292+(($K292-1)/12)</f>
        <v>-8.3333333333333329E-2</v>
      </c>
      <c r="AF292" s="197">
        <f>$I292+(($E292-1)/12)</f>
        <v>2033</v>
      </c>
      <c r="AG292" s="197">
        <f>$N$4+($N$3/12)</f>
        <v>2015.75</v>
      </c>
      <c r="AH292" s="197">
        <f>$J292+(($K292-1)/12)</f>
        <v>-8.3333333333333329E-2</v>
      </c>
      <c r="AI292" s="156"/>
      <c r="AJ292" s="156"/>
      <c r="AK292" s="156"/>
      <c r="AL292" s="156"/>
    </row>
    <row r="293" spans="1:38" x14ac:dyDescent="0.25">
      <c r="A293" s="163"/>
      <c r="B293" s="156"/>
      <c r="C293" s="156" t="s">
        <v>2516</v>
      </c>
      <c r="D293" s="182">
        <v>2014</v>
      </c>
      <c r="E293" s="161">
        <v>1</v>
      </c>
      <c r="F293" s="156">
        <v>0</v>
      </c>
      <c r="G293" s="156" t="s">
        <v>452</v>
      </c>
      <c r="H293" s="156">
        <v>20</v>
      </c>
      <c r="I293" s="210">
        <f>D293+H293</f>
        <v>2034</v>
      </c>
      <c r="J293" s="156"/>
      <c r="K293" s="156"/>
      <c r="L293" s="160">
        <f>+'Prior PLP Costs'!H57</f>
        <v>181290.80000000002</v>
      </c>
      <c r="M293" s="156"/>
      <c r="N293" s="161">
        <f>L293-L293*F293</f>
        <v>181290.80000000002</v>
      </c>
      <c r="O293" s="161">
        <f>N293/H293/12</f>
        <v>755.37833333333344</v>
      </c>
      <c r="P293" s="161">
        <f>IF(M293&gt;0,0,IF((OR((AA293&gt;AB293),(AC293&lt;AD293))),0,IF((AND((AC293&gt;=AD293),(AC293&lt;=AB293))),O293*((AC293-AD293)*12),IF((AND((AD293&lt;=AA293),(AB293&gt;=AA293))),((AB293-AA293)*12)*O293,IF(AC293&gt;AB293,12*O293,0)))))</f>
        <v>9064.5400000000009</v>
      </c>
      <c r="Q293" s="161">
        <f>IF(M293=0,0,IF((AND((AE293&gt;=AD293),(AE293&lt;=AC293))),((AE293-AD293)*12)*O293,0))</f>
        <v>0</v>
      </c>
      <c r="R293" s="161">
        <f>IF(Q293&gt;0,Q293,P293)</f>
        <v>9064.5400000000009</v>
      </c>
      <c r="S293" s="161">
        <v>1</v>
      </c>
      <c r="T293" s="161">
        <f>S293*SUM(P293:Q293)</f>
        <v>9064.5400000000009</v>
      </c>
      <c r="U293" s="161">
        <f>IF(AA293&gt;AB293,0,IF(AC293&lt;AD293,N293,IF((AND((AC293&gt;=AD293),(AC293&lt;=AB293))),(N293-R293),IF((AND((AD293&lt;=AA293),(AB293&gt;=AA293))),0,IF(AC293&gt;AB293,((AD293-AA293)*12)*O293,0)))))</f>
        <v>15862.945000000002</v>
      </c>
      <c r="V293" s="161">
        <f>U293*S293</f>
        <v>15862.945000000002</v>
      </c>
      <c r="W293" s="161">
        <v>1</v>
      </c>
      <c r="X293" s="161">
        <f>V293*W293</f>
        <v>15862.945000000002</v>
      </c>
      <c r="Y293" s="161">
        <f>IF(M293&gt;0,0,X293+T293*W293)*W293</f>
        <v>24927.485000000001</v>
      </c>
      <c r="Z293" s="161">
        <f>IF(M293&gt;0,(L293-X293)/2,IF(AA293&gt;=AD293,(((L293*S293)*W293)-Y293)/2,((((L293*S293)*W293)-X293)+(((L293*S293)*W293)-Y293))/2))</f>
        <v>160895.58500000002</v>
      </c>
      <c r="AA293" s="161">
        <f>$D293+(($E293-1)/12)</f>
        <v>2014</v>
      </c>
      <c r="AB293" s="161">
        <f>($N$5+1)-($N$2/12)</f>
        <v>2016.75</v>
      </c>
      <c r="AC293" s="161">
        <f>$I293+(($E293-1)/12)</f>
        <v>2034</v>
      </c>
      <c r="AD293" s="197">
        <f>$N$4+($N$3/12)</f>
        <v>2015.75</v>
      </c>
      <c r="AE293" s="197">
        <f>$J293+(($K293-1)/12)</f>
        <v>-8.3333333333333329E-2</v>
      </c>
      <c r="AF293" s="197">
        <f>$I293+(($E293-1)/12)</f>
        <v>2034</v>
      </c>
      <c r="AG293" s="197">
        <f>$N$4+($N$3/12)</f>
        <v>2015.75</v>
      </c>
      <c r="AH293" s="197">
        <f>$J293+(($K293-1)/12)</f>
        <v>-8.3333333333333329E-2</v>
      </c>
      <c r="AI293" s="156"/>
      <c r="AJ293" s="156"/>
      <c r="AK293" s="156"/>
      <c r="AL293" s="156"/>
    </row>
    <row r="294" spans="1:38" x14ac:dyDescent="0.25">
      <c r="A294" s="163"/>
      <c r="B294" s="156"/>
      <c r="C294" s="156" t="s">
        <v>2517</v>
      </c>
      <c r="D294" s="182">
        <v>2015</v>
      </c>
      <c r="E294" s="161">
        <v>1</v>
      </c>
      <c r="F294" s="156">
        <v>0</v>
      </c>
      <c r="G294" s="156" t="s">
        <v>452</v>
      </c>
      <c r="H294" s="156">
        <v>20</v>
      </c>
      <c r="I294" s="210">
        <f>D294+H294</f>
        <v>2035</v>
      </c>
      <c r="J294" s="156"/>
      <c r="K294" s="156"/>
      <c r="L294" s="320">
        <f>+'Prior PLP Costs'!H88</f>
        <v>139413.51</v>
      </c>
      <c r="M294" s="321"/>
      <c r="N294" s="322">
        <f>L294-L294*F294</f>
        <v>139413.51</v>
      </c>
      <c r="O294" s="322">
        <f>N294/H294/12</f>
        <v>580.88962500000002</v>
      </c>
      <c r="P294" s="322">
        <f>IF(M294&gt;0,0,IF((OR((AA294&gt;AB294),(AC294&lt;AD294))),0,IF((AND((AC294&gt;=AD294),(AC294&lt;=AB294))),O294*((AC294-AD294)*12),IF((AND((AD294&lt;=AA294),(AB294&gt;=AA294))),((AB294-AA294)*12)*O294,IF(AC294&gt;AB294,12*O294,0)))))</f>
        <v>6970.6755000000003</v>
      </c>
      <c r="Q294" s="322">
        <f>IF(M294=0,0,IF((AND((AE294&gt;=AD294),(AE294&lt;=AC294))),((AE294-AD294)*12)*O294,0))</f>
        <v>0</v>
      </c>
      <c r="R294" s="322">
        <f>IF(Q294&gt;0,Q294,P294)</f>
        <v>6970.6755000000003</v>
      </c>
      <c r="S294" s="322">
        <v>1</v>
      </c>
      <c r="T294" s="322">
        <f>S294*SUM(P294:Q294)</f>
        <v>6970.6755000000003</v>
      </c>
      <c r="U294" s="322">
        <f>IF(AA294&gt;AB294,0,IF(AC294&lt;AD294,N294,IF((AND((AC294&gt;=AD294),(AC294&lt;=AB294))),(N294-R294),IF((AND((AD294&lt;=AA294),(AB294&gt;=AA294))),0,IF(AC294&gt;AB294,((AD294-AA294)*12)*O294,0)))))</f>
        <v>5228.006625</v>
      </c>
      <c r="V294" s="322">
        <f>U294*S294</f>
        <v>5228.006625</v>
      </c>
      <c r="W294" s="322">
        <v>1</v>
      </c>
      <c r="X294" s="322">
        <f>V294*W294</f>
        <v>5228.006625</v>
      </c>
      <c r="Y294" s="322">
        <f>IF(M294&gt;0,0,X294+T294*W294)*W294</f>
        <v>12198.682124999999</v>
      </c>
      <c r="Z294" s="322">
        <f>IF(M294&gt;0,(L294-X294)/2,IF(AA294&gt;=AD294,(((L294*S294)*W294)-Y294)/2,((((L294*S294)*W294)-X294)+(((L294*S294)*W294)-Y294))/2))</f>
        <v>130700.16562500001</v>
      </c>
      <c r="AA294" s="161">
        <f>$D294+(($E294-1)/12)</f>
        <v>2015</v>
      </c>
      <c r="AB294" s="161">
        <f>($N$5+1)-($N$2/12)</f>
        <v>2016.75</v>
      </c>
      <c r="AC294" s="161">
        <f>$I294+(($E294-1)/12)</f>
        <v>2035</v>
      </c>
      <c r="AD294" s="197">
        <f>$N$4+($N$3/12)</f>
        <v>2015.75</v>
      </c>
      <c r="AE294" s="197">
        <f>$J294+(($K294-1)/12)</f>
        <v>-8.3333333333333329E-2</v>
      </c>
      <c r="AF294" s="197">
        <f>$I294+(($E294-1)/12)</f>
        <v>2035</v>
      </c>
      <c r="AG294" s="197">
        <f>$N$4+($N$3/12)</f>
        <v>2015.75</v>
      </c>
      <c r="AH294" s="197">
        <f>$J294+(($K294-1)/12)</f>
        <v>-8.3333333333333329E-2</v>
      </c>
      <c r="AI294" s="156"/>
      <c r="AJ294" s="156"/>
      <c r="AK294" s="156"/>
      <c r="AL294" s="156"/>
    </row>
    <row r="295" spans="1:38" x14ac:dyDescent="0.25">
      <c r="A295" s="163"/>
      <c r="B295" s="156"/>
      <c r="C295" s="156"/>
      <c r="D295" s="156"/>
      <c r="E295" s="161"/>
      <c r="F295" s="156"/>
      <c r="G295" s="156"/>
      <c r="H295" s="156"/>
      <c r="I295" s="156"/>
      <c r="J295" s="156"/>
      <c r="K295" s="156"/>
      <c r="L295" s="156">
        <f t="shared" ref="L295:Y295" si="161">SUM(L290:L294)</f>
        <v>963943.07000000007</v>
      </c>
      <c r="M295" s="156">
        <f t="shared" si="161"/>
        <v>0</v>
      </c>
      <c r="N295" s="156">
        <f t="shared" si="161"/>
        <v>963943.07000000007</v>
      </c>
      <c r="O295" s="156">
        <f t="shared" si="161"/>
        <v>4016.429458333334</v>
      </c>
      <c r="P295" s="156">
        <f t="shared" si="161"/>
        <v>48197.1535</v>
      </c>
      <c r="Q295" s="156">
        <f t="shared" si="161"/>
        <v>0</v>
      </c>
      <c r="R295" s="156">
        <f t="shared" si="161"/>
        <v>48197.1535</v>
      </c>
      <c r="S295" s="156">
        <f t="shared" si="161"/>
        <v>5</v>
      </c>
      <c r="T295" s="156">
        <f t="shared" si="161"/>
        <v>48197.1535</v>
      </c>
      <c r="U295" s="156">
        <f t="shared" si="161"/>
        <v>164526.48112499999</v>
      </c>
      <c r="V295" s="156">
        <f t="shared" si="161"/>
        <v>164526.48112499999</v>
      </c>
      <c r="W295" s="156">
        <f t="shared" si="161"/>
        <v>5</v>
      </c>
      <c r="X295" s="156">
        <f t="shared" si="161"/>
        <v>164526.48112499999</v>
      </c>
      <c r="Y295" s="156">
        <f t="shared" si="161"/>
        <v>212723.63462500001</v>
      </c>
      <c r="Z295" s="156">
        <f>SUM(Z290:Z294)</f>
        <v>775318.01212500012</v>
      </c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</row>
    <row r="296" spans="1:38" x14ac:dyDescent="0.25">
      <c r="A296" s="163"/>
      <c r="B296" s="156"/>
      <c r="C296" s="156"/>
      <c r="D296" s="156"/>
      <c r="E296" s="161"/>
      <c r="F296" s="156"/>
      <c r="G296" s="156"/>
      <c r="H296" s="156"/>
      <c r="I296" s="156"/>
      <c r="J296" s="156"/>
      <c r="K296" s="156"/>
      <c r="L296" s="160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</row>
    <row r="297" spans="1:38" x14ac:dyDescent="0.25">
      <c r="A297" s="163"/>
      <c r="B297" s="156"/>
      <c r="C297" s="156"/>
      <c r="D297" s="156"/>
      <c r="E297" s="161"/>
      <c r="F297" s="156"/>
      <c r="G297" s="156"/>
      <c r="H297" s="156"/>
      <c r="I297" s="156"/>
      <c r="J297" s="156"/>
      <c r="K297" s="156"/>
      <c r="L297" s="160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</row>
    <row r="298" spans="1:38" x14ac:dyDescent="0.25">
      <c r="A298" s="163"/>
      <c r="B298" s="156"/>
      <c r="C298" s="323" t="s">
        <v>405</v>
      </c>
      <c r="D298" s="156"/>
      <c r="E298" s="161"/>
      <c r="F298" s="156"/>
      <c r="G298" s="156"/>
      <c r="H298" s="156"/>
      <c r="I298" s="156"/>
      <c r="J298" s="156"/>
      <c r="K298" s="156"/>
      <c r="L298" s="160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</row>
    <row r="299" spans="1:38" x14ac:dyDescent="0.25">
      <c r="A299" s="163"/>
      <c r="B299" s="156"/>
      <c r="C299" s="168" t="s">
        <v>2518</v>
      </c>
      <c r="D299" s="156"/>
      <c r="E299" s="161"/>
      <c r="F299" s="156"/>
      <c r="G299" s="156"/>
      <c r="H299" s="156"/>
      <c r="I299" s="156"/>
      <c r="J299" s="156"/>
      <c r="K299" s="156"/>
      <c r="L299" s="160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</row>
    <row r="300" spans="1:38" x14ac:dyDescent="0.25">
      <c r="A300" s="163"/>
      <c r="B300" s="156"/>
      <c r="C300" s="156"/>
      <c r="D300" s="156" t="s">
        <v>2519</v>
      </c>
      <c r="E300" s="161"/>
      <c r="F300" s="156"/>
      <c r="G300" s="156"/>
      <c r="H300" s="156"/>
      <c r="I300" s="156"/>
      <c r="J300" s="156"/>
      <c r="K300" s="156"/>
      <c r="L300" s="160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</row>
    <row r="301" spans="1:38" x14ac:dyDescent="0.25">
      <c r="A301" s="163"/>
      <c r="B301" s="156"/>
      <c r="C301" s="158"/>
      <c r="D301" s="169" t="s">
        <v>453</v>
      </c>
      <c r="E301" s="161"/>
      <c r="F301" s="156"/>
      <c r="G301" s="156"/>
      <c r="H301" s="156"/>
      <c r="I301" s="156"/>
      <c r="J301" s="156"/>
      <c r="K301" s="156"/>
      <c r="L301" s="160">
        <f>+L106</f>
        <v>9221810.959999999</v>
      </c>
      <c r="M301" s="156"/>
      <c r="N301" s="160">
        <f t="shared" ref="N301:Z301" si="162">+N106</f>
        <v>7377448.7680000039</v>
      </c>
      <c r="O301" s="160">
        <f t="shared" si="162"/>
        <v>87826.77104761904</v>
      </c>
      <c r="P301" s="160">
        <f t="shared" si="162"/>
        <v>553377.65095238597</v>
      </c>
      <c r="Q301" s="160">
        <f t="shared" si="162"/>
        <v>0</v>
      </c>
      <c r="R301" s="160">
        <f t="shared" si="162"/>
        <v>553377.65095238597</v>
      </c>
      <c r="S301" s="160">
        <f t="shared" si="162"/>
        <v>90</v>
      </c>
      <c r="T301" s="160">
        <f t="shared" si="162"/>
        <v>553377.65095238597</v>
      </c>
      <c r="U301" s="160">
        <f t="shared" si="162"/>
        <v>4039046.3328571338</v>
      </c>
      <c r="V301" s="160">
        <f t="shared" si="162"/>
        <v>4039046.3328571338</v>
      </c>
      <c r="W301" s="160">
        <f t="shared" si="162"/>
        <v>90</v>
      </c>
      <c r="X301" s="160">
        <f t="shared" si="162"/>
        <v>4039046.3328571338</v>
      </c>
      <c r="Y301" s="160">
        <f t="shared" si="162"/>
        <v>4592423.9838095205</v>
      </c>
      <c r="Z301" s="160">
        <f t="shared" si="162"/>
        <v>4050546.1666666726</v>
      </c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</row>
    <row r="302" spans="1:38" x14ac:dyDescent="0.25">
      <c r="A302" s="163"/>
      <c r="B302" s="156"/>
      <c r="C302" s="158"/>
      <c r="D302" s="157" t="s">
        <v>2520</v>
      </c>
      <c r="E302" s="161"/>
      <c r="F302" s="156"/>
      <c r="G302" s="156"/>
      <c r="H302" s="156"/>
      <c r="I302" s="156"/>
      <c r="J302" s="156"/>
      <c r="K302" s="156"/>
      <c r="L302" s="160">
        <f>+L257</f>
        <v>1784218.48</v>
      </c>
      <c r="M302" s="156"/>
      <c r="N302" s="160">
        <f t="shared" ref="N302:Z302" si="163">+N257</f>
        <v>1784218.48</v>
      </c>
      <c r="O302" s="160">
        <f t="shared" si="163"/>
        <v>14868.487333333334</v>
      </c>
      <c r="P302" s="160">
        <f t="shared" si="163"/>
        <v>129164.65566666621</v>
      </c>
      <c r="Q302" s="160">
        <f t="shared" si="163"/>
        <v>0</v>
      </c>
      <c r="R302" s="160">
        <f t="shared" si="163"/>
        <v>129164.65566666621</v>
      </c>
      <c r="S302" s="160">
        <f t="shared" si="163"/>
        <v>148</v>
      </c>
      <c r="T302" s="160">
        <f t="shared" si="163"/>
        <v>129164.65566666621</v>
      </c>
      <c r="U302" s="160">
        <f t="shared" si="163"/>
        <v>912185.55116666621</v>
      </c>
      <c r="V302" s="160">
        <f t="shared" si="163"/>
        <v>912185.55116666621</v>
      </c>
      <c r="W302" s="160">
        <f t="shared" si="163"/>
        <v>148</v>
      </c>
      <c r="X302" s="160">
        <f t="shared" si="163"/>
        <v>912185.55116666621</v>
      </c>
      <c r="Y302" s="160">
        <f t="shared" si="163"/>
        <v>1041350.2068333323</v>
      </c>
      <c r="Z302" s="160">
        <f t="shared" si="163"/>
        <v>628434.52100000018</v>
      </c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</row>
    <row r="303" spans="1:38" x14ac:dyDescent="0.25">
      <c r="A303" s="163"/>
      <c r="B303" s="156"/>
      <c r="C303" s="158"/>
      <c r="D303" s="157" t="s">
        <v>867</v>
      </c>
      <c r="E303" s="161"/>
      <c r="F303" s="156"/>
      <c r="G303" s="156"/>
      <c r="H303" s="156"/>
      <c r="I303" s="156"/>
      <c r="J303" s="156"/>
      <c r="K303" s="156"/>
      <c r="L303" s="160">
        <f>+L266</f>
        <v>190483.37</v>
      </c>
      <c r="M303" s="156"/>
      <c r="N303" s="160">
        <f t="shared" ref="N303:Z303" si="164">+N266</f>
        <v>148868.196</v>
      </c>
      <c r="O303" s="160">
        <f t="shared" si="164"/>
        <v>2481.1366000000007</v>
      </c>
      <c r="P303" s="160">
        <f t="shared" si="164"/>
        <v>12766.937600000001</v>
      </c>
      <c r="Q303" s="160">
        <f t="shared" si="164"/>
        <v>0</v>
      </c>
      <c r="R303" s="160">
        <f t="shared" si="164"/>
        <v>12766.937600000001</v>
      </c>
      <c r="S303" s="160">
        <f t="shared" si="164"/>
        <v>6</v>
      </c>
      <c r="T303" s="160">
        <f t="shared" si="164"/>
        <v>12766.937600000001</v>
      </c>
      <c r="U303" s="160">
        <f t="shared" si="164"/>
        <v>76312.238666666191</v>
      </c>
      <c r="V303" s="160">
        <f t="shared" si="164"/>
        <v>76312.238666666191</v>
      </c>
      <c r="W303" s="160">
        <f t="shared" si="164"/>
        <v>6</v>
      </c>
      <c r="X303" s="160">
        <f t="shared" si="164"/>
        <v>76312.238666666191</v>
      </c>
      <c r="Y303" s="160">
        <f t="shared" si="164"/>
        <v>89079.176266666196</v>
      </c>
      <c r="Z303" s="160">
        <f t="shared" si="164"/>
        <v>80752.422533333811</v>
      </c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</row>
    <row r="304" spans="1:38" x14ac:dyDescent="0.25">
      <c r="A304" s="163"/>
      <c r="B304" s="156"/>
      <c r="C304" s="158"/>
      <c r="D304" s="157" t="s">
        <v>2521</v>
      </c>
      <c r="E304" s="161"/>
      <c r="F304" s="156"/>
      <c r="G304" s="156"/>
      <c r="H304" s="156"/>
      <c r="I304" s="156"/>
      <c r="J304" s="156"/>
      <c r="K304" s="156"/>
      <c r="L304" s="160">
        <f>+L278</f>
        <v>110126.17</v>
      </c>
      <c r="M304" s="156"/>
      <c r="N304" s="160">
        <f t="shared" ref="N304:Z304" si="165">+N278</f>
        <v>110126.17</v>
      </c>
      <c r="O304" s="160">
        <f t="shared" si="165"/>
        <v>2291.747277777778</v>
      </c>
      <c r="P304" s="160">
        <f t="shared" si="165"/>
        <v>9103.3340000001353</v>
      </c>
      <c r="Q304" s="160">
        <f t="shared" si="165"/>
        <v>0</v>
      </c>
      <c r="R304" s="160">
        <f t="shared" si="165"/>
        <v>9103.3340000001353</v>
      </c>
      <c r="S304" s="160">
        <f t="shared" si="165"/>
        <v>9</v>
      </c>
      <c r="T304" s="160">
        <f t="shared" si="165"/>
        <v>9103.3340000001353</v>
      </c>
      <c r="U304" s="160">
        <f t="shared" si="165"/>
        <v>55012.920833333257</v>
      </c>
      <c r="V304" s="160">
        <f t="shared" si="165"/>
        <v>55012.920833333257</v>
      </c>
      <c r="W304" s="160">
        <f t="shared" si="165"/>
        <v>9</v>
      </c>
      <c r="X304" s="160">
        <f t="shared" si="165"/>
        <v>55012.920833333257</v>
      </c>
      <c r="Y304" s="160">
        <f t="shared" si="165"/>
        <v>64116.254833333376</v>
      </c>
      <c r="Z304" s="160">
        <f t="shared" si="165"/>
        <v>28973.082166666678</v>
      </c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</row>
    <row r="305" spans="1:38" x14ac:dyDescent="0.25">
      <c r="A305" s="163"/>
      <c r="B305" s="156"/>
      <c r="C305" s="158"/>
      <c r="D305" s="157" t="s">
        <v>2522</v>
      </c>
      <c r="E305" s="161"/>
      <c r="F305" s="156"/>
      <c r="G305" s="156"/>
      <c r="H305" s="156"/>
      <c r="I305" s="156"/>
      <c r="J305" s="156"/>
      <c r="K305" s="156"/>
      <c r="L305" s="160">
        <f>+L286</f>
        <v>138347.15</v>
      </c>
      <c r="M305" s="156"/>
      <c r="N305" s="160">
        <f t="shared" ref="N305:Z305" si="166">+N286</f>
        <v>138347.15</v>
      </c>
      <c r="O305" s="160">
        <f t="shared" si="166"/>
        <v>1152.8929166666667</v>
      </c>
      <c r="P305" s="160">
        <f t="shared" si="166"/>
        <v>12724.626666666769</v>
      </c>
      <c r="Q305" s="160">
        <f t="shared" si="166"/>
        <v>0</v>
      </c>
      <c r="R305" s="160">
        <f t="shared" si="166"/>
        <v>12724.626666666769</v>
      </c>
      <c r="S305" s="160">
        <f t="shared" si="166"/>
        <v>5</v>
      </c>
      <c r="T305" s="160">
        <f t="shared" si="166"/>
        <v>12724.626666666769</v>
      </c>
      <c r="U305" s="160">
        <f t="shared" si="166"/>
        <v>47236.74383333361</v>
      </c>
      <c r="V305" s="160">
        <f t="shared" si="166"/>
        <v>47236.74383333361</v>
      </c>
      <c r="W305" s="160">
        <f t="shared" si="166"/>
        <v>5</v>
      </c>
      <c r="X305" s="160">
        <f t="shared" si="166"/>
        <v>47236.74383333361</v>
      </c>
      <c r="Y305" s="160">
        <f t="shared" si="166"/>
        <v>59961.370500000368</v>
      </c>
      <c r="Z305" s="160">
        <f t="shared" si="166"/>
        <v>78087.56283333301</v>
      </c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</row>
    <row r="306" spans="1:38" x14ac:dyDescent="0.25">
      <c r="A306" s="163"/>
      <c r="B306" s="156"/>
      <c r="C306" s="158"/>
      <c r="D306" s="157" t="s">
        <v>2512</v>
      </c>
      <c r="E306" s="161"/>
      <c r="F306" s="156"/>
      <c r="G306" s="156"/>
      <c r="H306" s="156"/>
      <c r="I306" s="156"/>
      <c r="J306" s="156"/>
      <c r="K306" s="156"/>
      <c r="L306" s="320">
        <f>+L295</f>
        <v>963943.07000000007</v>
      </c>
      <c r="M306" s="321"/>
      <c r="N306" s="320">
        <f t="shared" ref="N306:Z306" si="167">+N295</f>
        <v>963943.07000000007</v>
      </c>
      <c r="O306" s="320">
        <f t="shared" si="167"/>
        <v>4016.429458333334</v>
      </c>
      <c r="P306" s="320">
        <f t="shared" si="167"/>
        <v>48197.1535</v>
      </c>
      <c r="Q306" s="320">
        <f t="shared" si="167"/>
        <v>0</v>
      </c>
      <c r="R306" s="320">
        <f t="shared" si="167"/>
        <v>48197.1535</v>
      </c>
      <c r="S306" s="320">
        <f t="shared" si="167"/>
        <v>5</v>
      </c>
      <c r="T306" s="320">
        <f t="shared" si="167"/>
        <v>48197.1535</v>
      </c>
      <c r="U306" s="320">
        <f t="shared" si="167"/>
        <v>164526.48112499999</v>
      </c>
      <c r="V306" s="320">
        <f t="shared" si="167"/>
        <v>164526.48112499999</v>
      </c>
      <c r="W306" s="320">
        <f t="shared" si="167"/>
        <v>5</v>
      </c>
      <c r="X306" s="320">
        <f t="shared" si="167"/>
        <v>164526.48112499999</v>
      </c>
      <c r="Y306" s="320">
        <f t="shared" si="167"/>
        <v>212723.63462500001</v>
      </c>
      <c r="Z306" s="320">
        <f t="shared" si="167"/>
        <v>775318.01212500012</v>
      </c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</row>
    <row r="307" spans="1:38" x14ac:dyDescent="0.25">
      <c r="A307" s="163"/>
      <c r="B307" s="156"/>
      <c r="C307" s="156"/>
      <c r="D307" s="156"/>
      <c r="E307" s="161"/>
      <c r="F307" s="156"/>
      <c r="G307" s="156"/>
      <c r="H307" s="156"/>
      <c r="I307" s="156"/>
      <c r="J307" s="156"/>
      <c r="K307" s="156"/>
      <c r="L307" s="160">
        <f>SUM(L301:L306)</f>
        <v>12408929.199999999</v>
      </c>
      <c r="M307" s="156"/>
      <c r="N307" s="160">
        <f t="shared" ref="N307:Z307" si="168">SUM(N301:N306)</f>
        <v>10522951.834000004</v>
      </c>
      <c r="O307" s="160">
        <f t="shared" si="168"/>
        <v>112637.46463373015</v>
      </c>
      <c r="P307" s="160">
        <f t="shared" si="168"/>
        <v>765334.35838571913</v>
      </c>
      <c r="Q307" s="160">
        <f t="shared" si="168"/>
        <v>0</v>
      </c>
      <c r="R307" s="160">
        <f t="shared" si="168"/>
        <v>765334.35838571913</v>
      </c>
      <c r="S307" s="160">
        <f t="shared" si="168"/>
        <v>263</v>
      </c>
      <c r="T307" s="160">
        <f t="shared" si="168"/>
        <v>765334.35838571913</v>
      </c>
      <c r="U307" s="160">
        <f t="shared" si="168"/>
        <v>5294320.2684821328</v>
      </c>
      <c r="V307" s="160">
        <f t="shared" si="168"/>
        <v>5294320.2684821328</v>
      </c>
      <c r="W307" s="160">
        <f t="shared" si="168"/>
        <v>263</v>
      </c>
      <c r="X307" s="160">
        <f t="shared" si="168"/>
        <v>5294320.2684821328</v>
      </c>
      <c r="Y307" s="160">
        <f t="shared" si="168"/>
        <v>6059654.6268678522</v>
      </c>
      <c r="Z307" s="160">
        <f t="shared" si="168"/>
        <v>5642111.7673250083</v>
      </c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</row>
    <row r="308" spans="1:38" x14ac:dyDescent="0.25">
      <c r="A308" s="163"/>
      <c r="B308" s="156"/>
      <c r="C308" s="169"/>
      <c r="D308" s="156"/>
      <c r="E308" s="161"/>
      <c r="F308" s="156"/>
      <c r="G308" s="156"/>
      <c r="H308" s="156"/>
      <c r="I308" s="156"/>
      <c r="J308" s="156"/>
      <c r="K308" s="156"/>
      <c r="L308" s="160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</row>
    <row r="309" spans="1:38" x14ac:dyDescent="0.25">
      <c r="A309" s="163"/>
      <c r="B309" s="156"/>
      <c r="D309" s="156"/>
      <c r="E309" s="161"/>
      <c r="F309" s="156"/>
      <c r="G309" s="156"/>
      <c r="H309" s="156"/>
      <c r="I309" s="156"/>
      <c r="J309" s="156"/>
      <c r="K309" s="156"/>
      <c r="L309" s="160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</row>
    <row r="310" spans="1:38" x14ac:dyDescent="0.25">
      <c r="A310" s="163"/>
      <c r="B310" s="156"/>
      <c r="D310" s="156"/>
      <c r="E310" s="161"/>
      <c r="F310" s="156"/>
      <c r="G310" s="156"/>
      <c r="H310" s="156"/>
      <c r="I310" s="156"/>
      <c r="J310" s="156"/>
      <c r="K310" s="156"/>
      <c r="L310" s="160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</row>
    <row r="311" spans="1:38" x14ac:dyDescent="0.25">
      <c r="A311" s="163"/>
      <c r="B311" s="156"/>
      <c r="D311" s="156"/>
      <c r="E311" s="161"/>
      <c r="F311" s="156"/>
      <c r="G311" s="156"/>
      <c r="H311" s="156"/>
      <c r="I311" s="156"/>
      <c r="J311" s="156"/>
      <c r="K311" s="156"/>
      <c r="L311" s="439" t="s">
        <v>2782</v>
      </c>
      <c r="M311" s="440"/>
      <c r="N311" s="440"/>
      <c r="O311" s="441"/>
      <c r="P311" s="156"/>
      <c r="Q311" s="156"/>
      <c r="R311" s="156"/>
      <c r="S311" s="156"/>
      <c r="T311" s="156"/>
      <c r="U311" s="439" t="s">
        <v>2783</v>
      </c>
      <c r="V311" s="440"/>
      <c r="W311" s="440"/>
      <c r="X311" s="440"/>
      <c r="Y311" s="440"/>
      <c r="Z311" s="441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</row>
    <row r="312" spans="1:38" x14ac:dyDescent="0.25">
      <c r="A312" s="163"/>
      <c r="B312" s="156"/>
      <c r="D312" s="156"/>
      <c r="E312" s="161"/>
      <c r="F312" s="156"/>
      <c r="G312" s="156"/>
      <c r="H312" s="156"/>
      <c r="I312" s="156"/>
      <c r="J312" s="156"/>
      <c r="K312" s="156"/>
      <c r="L312" s="442" t="s">
        <v>439</v>
      </c>
      <c r="M312" s="438"/>
      <c r="N312" s="438"/>
      <c r="O312" s="443" t="s">
        <v>2781</v>
      </c>
      <c r="P312" s="166"/>
      <c r="Q312" s="166"/>
      <c r="R312" s="166"/>
      <c r="S312" s="166"/>
      <c r="T312" s="166"/>
      <c r="U312" s="442" t="s">
        <v>439</v>
      </c>
      <c r="V312" s="438"/>
      <c r="W312" s="438"/>
      <c r="X312" s="438" t="s">
        <v>2781</v>
      </c>
      <c r="Y312" s="438"/>
      <c r="Z312" s="443" t="s">
        <v>2781</v>
      </c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</row>
    <row r="313" spans="1:38" x14ac:dyDescent="0.25">
      <c r="A313" s="163"/>
      <c r="B313" s="156"/>
      <c r="D313" s="156"/>
      <c r="E313" s="161"/>
      <c r="F313" s="156"/>
      <c r="G313" s="156"/>
      <c r="H313" s="156"/>
      <c r="I313" s="156"/>
      <c r="J313" s="156"/>
      <c r="K313" s="156"/>
      <c r="L313" s="435" t="s">
        <v>265</v>
      </c>
      <c r="M313" s="436"/>
      <c r="N313" s="436"/>
      <c r="O313" s="437" t="s">
        <v>451</v>
      </c>
      <c r="P313" s="166"/>
      <c r="Q313" s="166"/>
      <c r="R313" s="166"/>
      <c r="S313" s="166"/>
      <c r="T313" s="166"/>
      <c r="U313" s="435" t="s">
        <v>265</v>
      </c>
      <c r="V313" s="436"/>
      <c r="W313" s="436"/>
      <c r="X313" s="436" t="s">
        <v>451</v>
      </c>
      <c r="Y313" s="436"/>
      <c r="Z313" s="437" t="s">
        <v>451</v>
      </c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</row>
    <row r="314" spans="1:38" x14ac:dyDescent="0.25">
      <c r="A314" s="163"/>
      <c r="B314" s="156"/>
      <c r="D314" s="156" t="s">
        <v>2776</v>
      </c>
      <c r="E314" s="161"/>
      <c r="F314" s="156"/>
      <c r="G314" s="156"/>
      <c r="H314" s="156"/>
      <c r="I314" s="156"/>
      <c r="J314" s="156"/>
      <c r="K314" s="156"/>
      <c r="L314" s="160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</row>
    <row r="315" spans="1:38" x14ac:dyDescent="0.25">
      <c r="A315" s="163"/>
      <c r="B315" s="156"/>
      <c r="C315" s="156"/>
      <c r="D315" s="156" t="s">
        <v>2777</v>
      </c>
      <c r="E315" s="161" t="s">
        <v>389</v>
      </c>
      <c r="F315" s="156"/>
      <c r="G315" s="156" t="s">
        <v>2779</v>
      </c>
      <c r="H315" s="156"/>
      <c r="I315" s="156"/>
      <c r="J315" s="156"/>
      <c r="K315" s="156"/>
      <c r="L315" s="160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I315" s="156"/>
      <c r="AJ315" s="156"/>
      <c r="AK315" s="156"/>
      <c r="AL315" s="156"/>
    </row>
    <row r="316" spans="1:38" x14ac:dyDescent="0.25">
      <c r="A316" s="163"/>
      <c r="B316" s="156"/>
      <c r="C316" s="169" t="s">
        <v>453</v>
      </c>
      <c r="D316" s="156" t="s">
        <v>2780</v>
      </c>
      <c r="E316" s="433">
        <f>+'Allocation Matrix'!H16</f>
        <v>0.33561524827112832</v>
      </c>
      <c r="F316" s="156"/>
      <c r="G316" s="434">
        <f>1-E316</f>
        <v>0.66438475172887168</v>
      </c>
      <c r="H316" s="156"/>
      <c r="I316" s="156"/>
      <c r="J316" s="156"/>
      <c r="K316" s="156"/>
      <c r="L316" s="160">
        <f>+P301*E316</f>
        <v>185721.97771207881</v>
      </c>
      <c r="M316" s="156"/>
      <c r="N316" s="156"/>
      <c r="O316" s="156">
        <f>+Z301*E316</f>
        <v>1359425.0573595024</v>
      </c>
      <c r="P316" s="156"/>
      <c r="Q316" s="156"/>
      <c r="R316" s="156"/>
      <c r="S316" s="156"/>
      <c r="T316" s="156"/>
      <c r="U316" s="156">
        <f>+P301-L316</f>
        <v>367655.67324030714</v>
      </c>
      <c r="V316" s="156"/>
      <c r="W316" s="156"/>
      <c r="X316" s="156"/>
      <c r="Y316" s="156"/>
      <c r="Z316" s="156">
        <f>+Z301-O316</f>
        <v>2691121.1093071699</v>
      </c>
      <c r="AA316" s="156"/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</row>
    <row r="317" spans="1:38" x14ac:dyDescent="0.25">
      <c r="A317" s="163"/>
      <c r="B317" s="156"/>
      <c r="C317" s="157" t="s">
        <v>2520</v>
      </c>
      <c r="D317" s="156" t="s">
        <v>2778</v>
      </c>
      <c r="E317" s="433">
        <f>+'Allocation Matrix'!$H$15</f>
        <v>0.22146176203729326</v>
      </c>
      <c r="F317" s="156"/>
      <c r="G317" s="434">
        <f t="shared" ref="G317:G321" si="169">1-E317</f>
        <v>0.77853823796270671</v>
      </c>
      <c r="H317" s="156"/>
      <c r="I317" s="156"/>
      <c r="J317" s="156"/>
      <c r="K317" s="156"/>
      <c r="L317" s="160">
        <f t="shared" ref="L317:L321" si="170">+P302*E317</f>
        <v>28605.032236880154</v>
      </c>
      <c r="M317" s="156"/>
      <c r="N317" s="156"/>
      <c r="O317" s="156">
        <f t="shared" ref="O317:O321" si="171">+Z302*E317</f>
        <v>139174.21634572241</v>
      </c>
      <c r="P317" s="156"/>
      <c r="Q317" s="156"/>
      <c r="R317" s="156"/>
      <c r="S317" s="156"/>
      <c r="T317" s="156"/>
      <c r="U317" s="156">
        <f t="shared" ref="U317:U321" si="172">+P302-L317</f>
        <v>100559.62342978605</v>
      </c>
      <c r="V317" s="156"/>
      <c r="W317" s="156"/>
      <c r="X317" s="156"/>
      <c r="Y317" s="156"/>
      <c r="Z317" s="156">
        <f t="shared" ref="Z317:Z321" si="173">+Z302-O317</f>
        <v>489260.30465427774</v>
      </c>
      <c r="AA317" s="156"/>
      <c r="AB317" s="156"/>
      <c r="AC317" s="156"/>
      <c r="AD317" s="156"/>
      <c r="AE317" s="156"/>
      <c r="AF317" s="156"/>
      <c r="AG317" s="156"/>
      <c r="AH317" s="156"/>
      <c r="AI317" s="156"/>
      <c r="AJ317" s="156"/>
      <c r="AK317" s="156"/>
      <c r="AL317" s="156"/>
    </row>
    <row r="318" spans="1:38" x14ac:dyDescent="0.25">
      <c r="A318" s="163"/>
      <c r="B318" s="156"/>
      <c r="C318" s="157" t="s">
        <v>867</v>
      </c>
      <c r="D318" s="156" t="s">
        <v>2778</v>
      </c>
      <c r="E318" s="433">
        <f>+'Allocation Matrix'!$H$15</f>
        <v>0.22146176203729326</v>
      </c>
      <c r="F318" s="156"/>
      <c r="G318" s="434">
        <f t="shared" si="169"/>
        <v>0.77853823796270671</v>
      </c>
      <c r="H318" s="156"/>
      <c r="I318" s="156"/>
      <c r="J318" s="156"/>
      <c r="K318" s="156"/>
      <c r="L318" s="160">
        <f t="shared" si="170"/>
        <v>2827.3884967161721</v>
      </c>
      <c r="M318" s="156"/>
      <c r="N318" s="156"/>
      <c r="O318" s="156">
        <f t="shared" si="171"/>
        <v>17883.573783012129</v>
      </c>
      <c r="P318" s="156"/>
      <c r="Q318" s="156"/>
      <c r="R318" s="156"/>
      <c r="S318" s="156"/>
      <c r="T318" s="156"/>
      <c r="U318" s="156">
        <f t="shared" si="172"/>
        <v>9939.549103283829</v>
      </c>
      <c r="V318" s="156"/>
      <c r="W318" s="156"/>
      <c r="X318" s="156"/>
      <c r="Y318" s="156"/>
      <c r="Z318" s="156">
        <f t="shared" si="173"/>
        <v>62868.848750321682</v>
      </c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</row>
    <row r="319" spans="1:38" x14ac:dyDescent="0.25">
      <c r="A319" s="163"/>
      <c r="B319" s="156"/>
      <c r="C319" s="157" t="s">
        <v>2521</v>
      </c>
      <c r="D319" s="156" t="s">
        <v>2778</v>
      </c>
      <c r="E319" s="433">
        <f>+'Allocation Matrix'!$H$15</f>
        <v>0.22146176203729326</v>
      </c>
      <c r="F319" s="156"/>
      <c r="G319" s="434">
        <f t="shared" si="169"/>
        <v>0.77853823796270671</v>
      </c>
      <c r="H319" s="156"/>
      <c r="I319" s="156"/>
      <c r="J319" s="156"/>
      <c r="K319" s="156"/>
      <c r="L319" s="160">
        <f t="shared" si="170"/>
        <v>2016.0403880540309</v>
      </c>
      <c r="M319" s="156"/>
      <c r="N319" s="156"/>
      <c r="O319" s="156">
        <f t="shared" si="171"/>
        <v>6416.4298282812806</v>
      </c>
      <c r="P319" s="156"/>
      <c r="Q319" s="156"/>
      <c r="R319" s="156"/>
      <c r="S319" s="156"/>
      <c r="T319" s="156"/>
      <c r="U319" s="156">
        <f t="shared" si="172"/>
        <v>7087.2936119461046</v>
      </c>
      <c r="V319" s="156"/>
      <c r="W319" s="156"/>
      <c r="X319" s="156"/>
      <c r="Y319" s="156"/>
      <c r="Z319" s="156">
        <f t="shared" si="173"/>
        <v>22556.652338385396</v>
      </c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</row>
    <row r="320" spans="1:38" x14ac:dyDescent="0.25">
      <c r="A320" s="163"/>
      <c r="B320" s="156"/>
      <c r="C320" s="157" t="s">
        <v>2522</v>
      </c>
      <c r="D320" s="156" t="s">
        <v>2778</v>
      </c>
      <c r="E320" s="433">
        <f>+'Allocation Matrix'!$H$15</f>
        <v>0.22146176203729326</v>
      </c>
      <c r="F320" s="156"/>
      <c r="G320" s="434">
        <f t="shared" si="169"/>
        <v>0.77853823796270671</v>
      </c>
      <c r="H320" s="156"/>
      <c r="I320" s="156"/>
      <c r="J320" s="156"/>
      <c r="K320" s="156"/>
      <c r="L320" s="160">
        <f t="shared" si="170"/>
        <v>2818.0182428667522</v>
      </c>
      <c r="M320" s="156"/>
      <c r="N320" s="156"/>
      <c r="O320" s="156">
        <f t="shared" si="171"/>
        <v>17293.40925826778</v>
      </c>
      <c r="P320" s="156"/>
      <c r="Q320" s="156"/>
      <c r="R320" s="156"/>
      <c r="S320" s="156"/>
      <c r="T320" s="156"/>
      <c r="U320" s="156">
        <f t="shared" si="172"/>
        <v>9906.6084238000167</v>
      </c>
      <c r="V320" s="156"/>
      <c r="W320" s="156"/>
      <c r="X320" s="156"/>
      <c r="Y320" s="156"/>
      <c r="Z320" s="156">
        <f t="shared" si="173"/>
        <v>60794.153575065226</v>
      </c>
      <c r="AA320" s="156"/>
      <c r="AB320" s="156"/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</row>
    <row r="321" spans="1:38" x14ac:dyDescent="0.25">
      <c r="A321" s="163"/>
      <c r="B321" s="156"/>
      <c r="C321" s="157" t="s">
        <v>2512</v>
      </c>
      <c r="D321" s="156" t="s">
        <v>2778</v>
      </c>
      <c r="E321" s="433">
        <f>+'Allocation Matrix'!$H$15</f>
        <v>0.22146176203729326</v>
      </c>
      <c r="F321" s="156"/>
      <c r="G321" s="434">
        <f t="shared" si="169"/>
        <v>0.77853823796270671</v>
      </c>
      <c r="H321" s="156"/>
      <c r="I321" s="156"/>
      <c r="J321" s="156"/>
      <c r="K321" s="156"/>
      <c r="L321" s="320">
        <f t="shared" si="170"/>
        <v>10673.826539291897</v>
      </c>
      <c r="M321" s="156"/>
      <c r="N321" s="156"/>
      <c r="O321" s="321">
        <f t="shared" si="171"/>
        <v>171703.29310445403</v>
      </c>
      <c r="P321" s="156"/>
      <c r="Q321" s="156"/>
      <c r="R321" s="156"/>
      <c r="S321" s="156"/>
      <c r="T321" s="156"/>
      <c r="U321" s="321">
        <f t="shared" si="172"/>
        <v>37523.326960708102</v>
      </c>
      <c r="V321" s="156"/>
      <c r="W321" s="156"/>
      <c r="X321" s="156"/>
      <c r="Y321" s="156"/>
      <c r="Z321" s="321">
        <f t="shared" si="173"/>
        <v>603614.71902054606</v>
      </c>
      <c r="AA321" s="156"/>
      <c r="AB321" s="156"/>
      <c r="AC321" s="156"/>
      <c r="AD321" s="156"/>
      <c r="AE321" s="156"/>
      <c r="AF321" s="156"/>
      <c r="AG321" s="156"/>
      <c r="AH321" s="156"/>
      <c r="AI321" s="156"/>
      <c r="AJ321" s="156"/>
      <c r="AK321" s="156"/>
      <c r="AL321" s="156"/>
    </row>
    <row r="322" spans="1:38" x14ac:dyDescent="0.25">
      <c r="A322" s="163"/>
      <c r="B322" s="156"/>
      <c r="C322" s="156"/>
      <c r="D322" s="156"/>
      <c r="E322" s="161"/>
      <c r="F322" s="156"/>
      <c r="G322" s="156"/>
      <c r="H322" s="156"/>
      <c r="I322" s="156"/>
      <c r="J322" s="156"/>
      <c r="K322" s="156"/>
      <c r="L322" s="160">
        <f>SUM(L316:L321)</f>
        <v>232662.28361588783</v>
      </c>
      <c r="M322" s="156"/>
      <c r="N322" s="156"/>
      <c r="O322" s="160">
        <f>SUM(O316:O321)</f>
        <v>1711895.9796792399</v>
      </c>
      <c r="P322" s="156"/>
      <c r="Q322" s="156"/>
      <c r="R322" s="156"/>
      <c r="S322" s="156"/>
      <c r="T322" s="156"/>
      <c r="U322" s="160">
        <f>SUM(U316:U321)</f>
        <v>532672.07476983126</v>
      </c>
      <c r="V322" s="156"/>
      <c r="W322" s="156"/>
      <c r="X322" s="156"/>
      <c r="Y322" s="156"/>
      <c r="Z322" s="160">
        <f>SUM(Z316:Z321)</f>
        <v>3930215.787645766</v>
      </c>
      <c r="AA322" s="156"/>
      <c r="AB322" s="156"/>
      <c r="AC322" s="156"/>
      <c r="AD322" s="156"/>
      <c r="AE322" s="156"/>
      <c r="AF322" s="156"/>
      <c r="AG322" s="156"/>
      <c r="AH322" s="156"/>
      <c r="AI322" s="156"/>
      <c r="AJ322" s="156"/>
      <c r="AK322" s="156"/>
      <c r="AL322" s="156"/>
    </row>
    <row r="323" spans="1:38" x14ac:dyDescent="0.25">
      <c r="A323" s="163"/>
      <c r="B323" s="156"/>
      <c r="C323" s="156"/>
      <c r="D323" s="156"/>
      <c r="E323" s="161"/>
      <c r="F323" s="156"/>
      <c r="G323" s="156"/>
      <c r="H323" s="156"/>
      <c r="I323" s="156"/>
      <c r="J323" s="156"/>
      <c r="K323" s="156"/>
      <c r="L323" s="160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  <c r="AC323" s="156"/>
      <c r="AD323" s="156"/>
      <c r="AE323" s="156"/>
      <c r="AF323" s="156"/>
      <c r="AG323" s="156"/>
      <c r="AH323" s="156"/>
      <c r="AI323" s="156"/>
      <c r="AJ323" s="156"/>
      <c r="AK323" s="156"/>
      <c r="AL323" s="156"/>
    </row>
    <row r="324" spans="1:38" x14ac:dyDescent="0.25">
      <c r="A324" s="163"/>
      <c r="B324" s="156"/>
      <c r="C324" s="156"/>
      <c r="D324" s="156"/>
      <c r="E324" s="161"/>
      <c r="F324" s="156"/>
      <c r="G324" s="156"/>
      <c r="H324" s="156"/>
      <c r="I324" s="156"/>
      <c r="J324" s="156"/>
      <c r="K324" s="156"/>
      <c r="L324" s="160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  <c r="AC324" s="156"/>
      <c r="AD324" s="156"/>
      <c r="AE324" s="156"/>
      <c r="AF324" s="156"/>
      <c r="AG324" s="156"/>
      <c r="AH324" s="156"/>
      <c r="AI324" s="156"/>
      <c r="AJ324" s="156"/>
      <c r="AK324" s="156"/>
      <c r="AL324" s="156"/>
    </row>
    <row r="325" spans="1:38" x14ac:dyDescent="0.25">
      <c r="A325" s="163"/>
      <c r="B325" s="156"/>
      <c r="C325" s="156"/>
      <c r="D325" s="156"/>
      <c r="E325" s="161"/>
      <c r="F325" s="156"/>
      <c r="G325" s="156"/>
      <c r="H325" s="156"/>
      <c r="I325" s="156"/>
      <c r="J325" s="156"/>
      <c r="K325" s="156"/>
      <c r="L325" s="160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  <c r="AC325" s="156"/>
      <c r="AD325" s="156"/>
      <c r="AE325" s="156"/>
      <c r="AF325" s="156"/>
      <c r="AG325" s="156"/>
      <c r="AH325" s="156"/>
      <c r="AI325" s="156"/>
      <c r="AJ325" s="156"/>
      <c r="AK325" s="156"/>
      <c r="AL325" s="156"/>
    </row>
    <row r="326" spans="1:38" x14ac:dyDescent="0.25">
      <c r="A326" s="163"/>
      <c r="B326" s="156"/>
      <c r="C326" s="156"/>
      <c r="D326" s="156"/>
      <c r="E326" s="161"/>
      <c r="F326" s="156"/>
      <c r="G326" s="156"/>
      <c r="H326" s="156"/>
      <c r="I326" s="156"/>
      <c r="J326" s="156"/>
      <c r="K326" s="156"/>
      <c r="L326" s="160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  <c r="AC326" s="156"/>
      <c r="AD326" s="156"/>
      <c r="AE326" s="156"/>
      <c r="AF326" s="156"/>
      <c r="AG326" s="156"/>
      <c r="AH326" s="156"/>
      <c r="AI326" s="156"/>
      <c r="AJ326" s="156"/>
      <c r="AK326" s="156"/>
      <c r="AL326" s="156"/>
    </row>
    <row r="327" spans="1:38" x14ac:dyDescent="0.25">
      <c r="A327" s="163"/>
      <c r="B327" s="156"/>
      <c r="C327" s="156"/>
      <c r="D327" s="156"/>
      <c r="E327" s="161"/>
      <c r="F327" s="156"/>
      <c r="G327" s="156"/>
      <c r="H327" s="156"/>
      <c r="I327" s="156"/>
      <c r="J327" s="156"/>
      <c r="K327" s="156"/>
      <c r="L327" s="160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  <c r="AC327" s="156"/>
      <c r="AD327" s="156"/>
      <c r="AE327" s="156"/>
      <c r="AF327" s="156"/>
      <c r="AG327" s="156"/>
      <c r="AH327" s="156"/>
      <c r="AI327" s="156"/>
      <c r="AJ327" s="156"/>
      <c r="AK327" s="156"/>
      <c r="AL327" s="156"/>
    </row>
    <row r="328" spans="1:38" x14ac:dyDescent="0.25">
      <c r="A328" s="163"/>
      <c r="B328" s="156"/>
      <c r="C328" s="156"/>
      <c r="D328" s="156"/>
      <c r="E328" s="161"/>
      <c r="F328" s="156"/>
      <c r="G328" s="156"/>
      <c r="H328" s="156"/>
      <c r="I328" s="156"/>
      <c r="J328" s="156"/>
      <c r="K328" s="156"/>
      <c r="L328" s="160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  <c r="AC328" s="156"/>
      <c r="AD328" s="156"/>
      <c r="AE328" s="156"/>
      <c r="AF328" s="156"/>
      <c r="AG328" s="156"/>
      <c r="AH328" s="156"/>
      <c r="AI328" s="156"/>
      <c r="AJ328" s="156"/>
      <c r="AK328" s="156"/>
      <c r="AL328" s="156"/>
    </row>
    <row r="329" spans="1:38" x14ac:dyDescent="0.25">
      <c r="A329" s="163"/>
      <c r="B329" s="156"/>
      <c r="C329" s="156"/>
      <c r="D329" s="156"/>
      <c r="E329" s="161"/>
      <c r="F329" s="156"/>
      <c r="G329" s="156"/>
      <c r="H329" s="156"/>
      <c r="I329" s="156"/>
      <c r="J329" s="156"/>
      <c r="K329" s="156"/>
      <c r="L329" s="160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  <c r="AD329" s="156"/>
      <c r="AE329" s="156"/>
      <c r="AF329" s="156"/>
      <c r="AG329" s="156"/>
      <c r="AH329" s="156"/>
      <c r="AI329" s="156"/>
      <c r="AJ329" s="156"/>
      <c r="AK329" s="156"/>
      <c r="AL329" s="156"/>
    </row>
    <row r="330" spans="1:38" x14ac:dyDescent="0.25">
      <c r="A330" s="163"/>
      <c r="B330" s="156"/>
      <c r="C330" s="156"/>
      <c r="D330" s="156"/>
      <c r="E330" s="161"/>
      <c r="F330" s="156"/>
      <c r="G330" s="156"/>
      <c r="H330" s="156"/>
      <c r="I330" s="156"/>
      <c r="J330" s="156"/>
      <c r="K330" s="156"/>
      <c r="L330" s="160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  <c r="AD330" s="156"/>
      <c r="AE330" s="156"/>
      <c r="AF330" s="156"/>
      <c r="AG330" s="156"/>
      <c r="AH330" s="156"/>
      <c r="AI330" s="156"/>
      <c r="AJ330" s="156"/>
      <c r="AK330" s="156"/>
      <c r="AL330" s="156"/>
    </row>
    <row r="331" spans="1:38" x14ac:dyDescent="0.25">
      <c r="A331" s="163"/>
      <c r="B331" s="156"/>
      <c r="C331" s="156"/>
      <c r="D331" s="156"/>
      <c r="E331" s="161"/>
      <c r="F331" s="156"/>
      <c r="G331" s="156"/>
      <c r="H331" s="156"/>
      <c r="I331" s="156"/>
      <c r="J331" s="156"/>
      <c r="K331" s="156"/>
      <c r="L331" s="160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  <c r="AD331" s="156"/>
      <c r="AE331" s="156"/>
      <c r="AF331" s="156"/>
      <c r="AG331" s="156"/>
      <c r="AH331" s="156"/>
      <c r="AI331" s="156"/>
      <c r="AJ331" s="156"/>
      <c r="AK331" s="156"/>
      <c r="AL331" s="156"/>
    </row>
    <row r="332" spans="1:38" x14ac:dyDescent="0.25">
      <c r="A332" s="163"/>
      <c r="B332" s="156"/>
      <c r="C332" s="156"/>
      <c r="D332" s="156"/>
      <c r="E332" s="161"/>
      <c r="F332" s="156"/>
      <c r="G332" s="156"/>
      <c r="H332" s="156"/>
      <c r="I332" s="156"/>
      <c r="J332" s="156"/>
      <c r="K332" s="156"/>
      <c r="L332" s="160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  <c r="AC332" s="156"/>
      <c r="AD332" s="156"/>
      <c r="AE332" s="156"/>
      <c r="AF332" s="156"/>
      <c r="AG332" s="156"/>
      <c r="AH332" s="156"/>
      <c r="AI332" s="156"/>
      <c r="AJ332" s="156"/>
      <c r="AK332" s="156"/>
      <c r="AL332" s="156"/>
    </row>
    <row r="333" spans="1:38" x14ac:dyDescent="0.25">
      <c r="A333" s="163"/>
      <c r="B333" s="156"/>
      <c r="C333" s="156"/>
      <c r="D333" s="156"/>
      <c r="E333" s="161"/>
      <c r="F333" s="156"/>
      <c r="G333" s="156"/>
      <c r="H333" s="156"/>
      <c r="I333" s="156"/>
      <c r="J333" s="156"/>
      <c r="K333" s="156"/>
      <c r="L333" s="160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  <c r="AD333" s="156"/>
      <c r="AE333" s="156"/>
      <c r="AF333" s="156"/>
      <c r="AG333" s="156"/>
      <c r="AH333" s="156"/>
      <c r="AI333" s="156"/>
      <c r="AJ333" s="156"/>
      <c r="AK333" s="156"/>
      <c r="AL333" s="156"/>
    </row>
    <row r="334" spans="1:38" x14ac:dyDescent="0.25">
      <c r="A334" s="163"/>
      <c r="B334" s="156"/>
      <c r="C334" s="156"/>
      <c r="D334" s="156"/>
      <c r="E334" s="161"/>
      <c r="F334" s="156"/>
      <c r="G334" s="156"/>
      <c r="H334" s="156"/>
      <c r="I334" s="156"/>
      <c r="J334" s="156"/>
      <c r="K334" s="156"/>
      <c r="L334" s="160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  <c r="AD334" s="156"/>
      <c r="AE334" s="156"/>
      <c r="AF334" s="156"/>
      <c r="AG334" s="156"/>
      <c r="AH334" s="156"/>
      <c r="AI334" s="156"/>
      <c r="AJ334" s="156"/>
      <c r="AK334" s="156"/>
      <c r="AL334" s="156"/>
    </row>
    <row r="335" spans="1:38" x14ac:dyDescent="0.25">
      <c r="A335" s="163"/>
      <c r="B335" s="156"/>
      <c r="C335" s="156"/>
      <c r="D335" s="156"/>
      <c r="E335" s="161"/>
      <c r="F335" s="156"/>
      <c r="G335" s="156"/>
      <c r="H335" s="156"/>
      <c r="I335" s="156"/>
      <c r="J335" s="156"/>
      <c r="K335" s="156"/>
      <c r="L335" s="160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  <c r="AD335" s="156"/>
      <c r="AE335" s="156"/>
      <c r="AF335" s="156"/>
      <c r="AG335" s="156"/>
      <c r="AH335" s="156"/>
      <c r="AI335" s="156"/>
      <c r="AJ335" s="156"/>
      <c r="AK335" s="156"/>
      <c r="AL335" s="156"/>
    </row>
    <row r="336" spans="1:38" x14ac:dyDescent="0.25">
      <c r="A336" s="163"/>
      <c r="B336" s="156"/>
      <c r="C336" s="156"/>
      <c r="D336" s="156"/>
      <c r="E336" s="161"/>
      <c r="F336" s="156"/>
      <c r="G336" s="156"/>
      <c r="H336" s="156"/>
      <c r="I336" s="156"/>
      <c r="J336" s="156"/>
      <c r="K336" s="156"/>
      <c r="L336" s="160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  <c r="AC336" s="156"/>
      <c r="AD336" s="156"/>
      <c r="AE336" s="156"/>
      <c r="AF336" s="156"/>
      <c r="AG336" s="156"/>
      <c r="AH336" s="156"/>
      <c r="AI336" s="156"/>
      <c r="AJ336" s="156"/>
      <c r="AK336" s="156"/>
      <c r="AL336" s="156"/>
    </row>
    <row r="337" spans="1:38" x14ac:dyDescent="0.25">
      <c r="A337" s="163"/>
      <c r="B337" s="156"/>
      <c r="C337" s="156"/>
      <c r="D337" s="156"/>
      <c r="E337" s="161"/>
      <c r="F337" s="156"/>
      <c r="G337" s="156"/>
      <c r="H337" s="156"/>
      <c r="I337" s="156"/>
      <c r="J337" s="156"/>
      <c r="K337" s="156"/>
      <c r="L337" s="160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  <c r="AC337" s="156"/>
      <c r="AD337" s="156"/>
      <c r="AE337" s="156"/>
      <c r="AF337" s="156"/>
      <c r="AG337" s="156"/>
      <c r="AH337" s="156"/>
      <c r="AI337" s="156"/>
      <c r="AJ337" s="156"/>
      <c r="AK337" s="156"/>
      <c r="AL337" s="156"/>
    </row>
    <row r="338" spans="1:38" x14ac:dyDescent="0.25">
      <c r="A338" s="163"/>
      <c r="B338" s="156"/>
      <c r="C338" s="156"/>
      <c r="D338" s="156"/>
      <c r="E338" s="161"/>
      <c r="F338" s="156"/>
      <c r="G338" s="156"/>
      <c r="H338" s="156"/>
      <c r="I338" s="156"/>
      <c r="J338" s="156"/>
      <c r="K338" s="156"/>
      <c r="L338" s="160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  <c r="AC338" s="156"/>
      <c r="AD338" s="156"/>
      <c r="AE338" s="156"/>
      <c r="AF338" s="156"/>
      <c r="AG338" s="156"/>
      <c r="AH338" s="156"/>
      <c r="AI338" s="156"/>
      <c r="AJ338" s="156"/>
      <c r="AK338" s="156"/>
      <c r="AL338" s="156"/>
    </row>
    <row r="339" spans="1:38" x14ac:dyDescent="0.25">
      <c r="A339" s="163"/>
      <c r="B339" s="156"/>
      <c r="C339" s="156"/>
      <c r="D339" s="156"/>
      <c r="E339" s="161"/>
      <c r="F339" s="156"/>
      <c r="G339" s="156"/>
      <c r="H339" s="156"/>
      <c r="I339" s="156"/>
      <c r="J339" s="156"/>
      <c r="K339" s="156"/>
      <c r="L339" s="160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  <c r="AC339" s="156"/>
      <c r="AD339" s="156"/>
      <c r="AE339" s="156"/>
      <c r="AF339" s="156"/>
      <c r="AG339" s="156"/>
      <c r="AH339" s="156"/>
      <c r="AI339" s="156"/>
      <c r="AJ339" s="156"/>
      <c r="AK339" s="156"/>
      <c r="AL339" s="156"/>
    </row>
    <row r="340" spans="1:38" x14ac:dyDescent="0.25">
      <c r="A340" s="163"/>
      <c r="B340" s="156"/>
      <c r="C340" s="156"/>
      <c r="D340" s="156"/>
      <c r="E340" s="161"/>
      <c r="F340" s="156"/>
      <c r="G340" s="156"/>
      <c r="H340" s="156"/>
      <c r="I340" s="156"/>
      <c r="J340" s="156"/>
      <c r="K340" s="156"/>
      <c r="L340" s="160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  <c r="AC340" s="156"/>
      <c r="AD340" s="156"/>
      <c r="AE340" s="156"/>
      <c r="AF340" s="156"/>
      <c r="AG340" s="156"/>
      <c r="AH340" s="156"/>
      <c r="AI340" s="156"/>
      <c r="AJ340" s="156"/>
      <c r="AK340" s="156"/>
      <c r="AL340" s="156"/>
    </row>
    <row r="341" spans="1:38" x14ac:dyDescent="0.25">
      <c r="A341" s="163"/>
      <c r="B341" s="156"/>
      <c r="C341" s="156"/>
      <c r="D341" s="156"/>
      <c r="E341" s="161"/>
      <c r="F341" s="156"/>
      <c r="G341" s="156"/>
      <c r="H341" s="156"/>
      <c r="I341" s="156"/>
      <c r="J341" s="156"/>
      <c r="K341" s="156"/>
      <c r="L341" s="160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  <c r="AC341" s="156"/>
      <c r="AD341" s="156"/>
      <c r="AE341" s="156"/>
      <c r="AF341" s="156"/>
      <c r="AG341" s="156"/>
      <c r="AH341" s="156"/>
      <c r="AI341" s="156"/>
      <c r="AJ341" s="156"/>
      <c r="AK341" s="156"/>
      <c r="AL341" s="156"/>
    </row>
    <row r="342" spans="1:38" x14ac:dyDescent="0.25">
      <c r="A342" s="163"/>
      <c r="B342" s="156"/>
      <c r="C342" s="156"/>
      <c r="D342" s="156"/>
      <c r="E342" s="161"/>
      <c r="F342" s="156"/>
      <c r="G342" s="156"/>
      <c r="H342" s="156"/>
      <c r="I342" s="156"/>
      <c r="J342" s="156"/>
      <c r="K342" s="156"/>
      <c r="L342" s="160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  <c r="AC342" s="156"/>
      <c r="AD342" s="156"/>
      <c r="AE342" s="156"/>
      <c r="AF342" s="156"/>
      <c r="AG342" s="156"/>
      <c r="AH342" s="156"/>
      <c r="AI342" s="156"/>
      <c r="AJ342" s="156"/>
      <c r="AK342" s="156"/>
      <c r="AL342" s="156"/>
    </row>
    <row r="343" spans="1:38" x14ac:dyDescent="0.25">
      <c r="A343" s="163"/>
      <c r="B343" s="156"/>
      <c r="C343" s="156"/>
      <c r="D343" s="156"/>
      <c r="E343" s="161"/>
      <c r="F343" s="156"/>
      <c r="G343" s="156"/>
      <c r="H343" s="156"/>
      <c r="I343" s="156"/>
      <c r="J343" s="156"/>
      <c r="K343" s="156"/>
      <c r="L343" s="160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  <c r="AC343" s="156"/>
      <c r="AD343" s="156"/>
      <c r="AE343" s="156"/>
      <c r="AF343" s="156"/>
      <c r="AG343" s="156"/>
      <c r="AH343" s="156"/>
      <c r="AI343" s="156"/>
      <c r="AJ343" s="156"/>
      <c r="AK343" s="156"/>
      <c r="AL343" s="156"/>
    </row>
    <row r="344" spans="1:38" x14ac:dyDescent="0.25">
      <c r="A344" s="163"/>
      <c r="B344" s="156"/>
      <c r="C344" s="156"/>
      <c r="D344" s="156"/>
      <c r="E344" s="161"/>
      <c r="F344" s="156"/>
      <c r="G344" s="156"/>
      <c r="H344" s="156"/>
      <c r="I344" s="156"/>
      <c r="J344" s="156"/>
      <c r="K344" s="156"/>
      <c r="L344" s="160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  <c r="AC344" s="156"/>
      <c r="AD344" s="156"/>
      <c r="AE344" s="156"/>
      <c r="AF344" s="156"/>
      <c r="AG344" s="156"/>
      <c r="AH344" s="156"/>
      <c r="AI344" s="156"/>
      <c r="AJ344" s="156"/>
      <c r="AK344" s="156"/>
      <c r="AL344" s="156"/>
    </row>
    <row r="345" spans="1:38" x14ac:dyDescent="0.25">
      <c r="A345" s="163"/>
      <c r="B345" s="156"/>
      <c r="C345" s="156"/>
      <c r="D345" s="156"/>
      <c r="E345" s="161"/>
      <c r="F345" s="156"/>
      <c r="G345" s="156"/>
      <c r="H345" s="156"/>
      <c r="I345" s="156"/>
      <c r="J345" s="156"/>
      <c r="K345" s="156"/>
      <c r="L345" s="160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  <c r="AC345" s="156"/>
      <c r="AD345" s="156"/>
      <c r="AE345" s="156"/>
      <c r="AF345" s="156"/>
      <c r="AG345" s="156"/>
      <c r="AH345" s="156"/>
      <c r="AI345" s="156"/>
      <c r="AJ345" s="156"/>
      <c r="AK345" s="156"/>
      <c r="AL345" s="156"/>
    </row>
    <row r="346" spans="1:38" x14ac:dyDescent="0.25">
      <c r="A346" s="163"/>
      <c r="B346" s="156"/>
      <c r="C346" s="156"/>
      <c r="D346" s="156"/>
      <c r="E346" s="161"/>
      <c r="F346" s="156"/>
      <c r="G346" s="156"/>
      <c r="H346" s="156"/>
      <c r="I346" s="156"/>
      <c r="J346" s="156"/>
      <c r="K346" s="156"/>
      <c r="L346" s="160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  <c r="AC346" s="156"/>
      <c r="AD346" s="156"/>
      <c r="AE346" s="156"/>
      <c r="AF346" s="156"/>
      <c r="AG346" s="156"/>
      <c r="AH346" s="156"/>
      <c r="AI346" s="156"/>
      <c r="AJ346" s="156"/>
      <c r="AK346" s="156"/>
      <c r="AL346" s="156"/>
    </row>
    <row r="347" spans="1:38" x14ac:dyDescent="0.25">
      <c r="A347" s="163"/>
      <c r="B347" s="156"/>
      <c r="C347" s="156"/>
      <c r="D347" s="156"/>
      <c r="E347" s="161"/>
      <c r="F347" s="156"/>
      <c r="G347" s="156"/>
      <c r="H347" s="156"/>
      <c r="I347" s="156"/>
      <c r="J347" s="156"/>
      <c r="K347" s="156"/>
      <c r="L347" s="160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  <c r="AC347" s="156"/>
      <c r="AD347" s="156"/>
      <c r="AE347" s="156"/>
      <c r="AF347" s="156"/>
      <c r="AG347" s="156"/>
      <c r="AH347" s="156"/>
      <c r="AI347" s="156"/>
      <c r="AJ347" s="156"/>
      <c r="AK347" s="156"/>
      <c r="AL347" s="156"/>
    </row>
    <row r="348" spans="1:38" x14ac:dyDescent="0.25">
      <c r="A348" s="163"/>
      <c r="B348" s="156"/>
      <c r="C348" s="156"/>
      <c r="D348" s="156"/>
      <c r="E348" s="161"/>
      <c r="F348" s="156"/>
      <c r="G348" s="156"/>
      <c r="H348" s="156"/>
      <c r="I348" s="156"/>
      <c r="J348" s="156"/>
      <c r="K348" s="156"/>
      <c r="L348" s="160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  <c r="AC348" s="156"/>
      <c r="AD348" s="156"/>
      <c r="AE348" s="156"/>
      <c r="AF348" s="156"/>
      <c r="AG348" s="156"/>
      <c r="AH348" s="156"/>
      <c r="AI348" s="156"/>
      <c r="AJ348" s="156"/>
      <c r="AK348" s="156"/>
      <c r="AL348" s="156"/>
    </row>
    <row r="349" spans="1:38" x14ac:dyDescent="0.25">
      <c r="A349" s="163"/>
      <c r="B349" s="156"/>
      <c r="C349" s="156"/>
      <c r="D349" s="156"/>
      <c r="E349" s="161"/>
      <c r="F349" s="156"/>
      <c r="G349" s="156"/>
      <c r="H349" s="156"/>
      <c r="I349" s="156"/>
      <c r="J349" s="156"/>
      <c r="K349" s="156"/>
      <c r="L349" s="160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  <c r="AC349" s="156"/>
      <c r="AD349" s="156"/>
      <c r="AE349" s="156"/>
      <c r="AF349" s="156"/>
      <c r="AG349" s="156"/>
      <c r="AH349" s="156"/>
      <c r="AI349" s="156"/>
      <c r="AJ349" s="156"/>
      <c r="AK349" s="156"/>
      <c r="AL349" s="156"/>
    </row>
    <row r="350" spans="1:38" x14ac:dyDescent="0.25">
      <c r="A350" s="163"/>
      <c r="B350" s="156"/>
      <c r="C350" s="156"/>
      <c r="D350" s="156"/>
      <c r="E350" s="161"/>
      <c r="F350" s="156"/>
      <c r="G350" s="156"/>
      <c r="H350" s="156"/>
      <c r="I350" s="156"/>
      <c r="J350" s="156"/>
      <c r="K350" s="156"/>
      <c r="L350" s="160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  <c r="AC350" s="156"/>
      <c r="AD350" s="156"/>
      <c r="AE350" s="156"/>
      <c r="AF350" s="156"/>
      <c r="AG350" s="156"/>
      <c r="AH350" s="156"/>
      <c r="AI350" s="156"/>
      <c r="AJ350" s="156"/>
      <c r="AK350" s="156"/>
      <c r="AL350" s="156"/>
    </row>
    <row r="351" spans="1:38" x14ac:dyDescent="0.25">
      <c r="A351" s="163"/>
      <c r="B351" s="156"/>
      <c r="C351" s="156"/>
      <c r="D351" s="156"/>
      <c r="E351" s="161"/>
      <c r="F351" s="156"/>
      <c r="G351" s="156"/>
      <c r="H351" s="156"/>
      <c r="I351" s="156"/>
      <c r="J351" s="156"/>
      <c r="K351" s="156"/>
      <c r="L351" s="160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  <c r="AC351" s="156"/>
      <c r="AD351" s="156"/>
      <c r="AE351" s="156"/>
      <c r="AF351" s="156"/>
      <c r="AG351" s="156"/>
      <c r="AH351" s="156"/>
      <c r="AI351" s="156"/>
      <c r="AJ351" s="156"/>
      <c r="AK351" s="156"/>
      <c r="AL351" s="156"/>
    </row>
    <row r="352" spans="1:38" x14ac:dyDescent="0.25">
      <c r="A352" s="163"/>
      <c r="B352" s="156"/>
      <c r="C352" s="156"/>
      <c r="D352" s="156"/>
      <c r="E352" s="161"/>
      <c r="F352" s="156"/>
      <c r="G352" s="156"/>
      <c r="H352" s="156"/>
      <c r="I352" s="156"/>
      <c r="J352" s="156"/>
      <c r="K352" s="156"/>
      <c r="L352" s="160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  <c r="AC352" s="156"/>
      <c r="AD352" s="156"/>
      <c r="AE352" s="156"/>
      <c r="AF352" s="156"/>
      <c r="AG352" s="156"/>
      <c r="AH352" s="156"/>
      <c r="AI352" s="156"/>
      <c r="AJ352" s="156"/>
      <c r="AK352" s="156"/>
      <c r="AL352" s="156"/>
    </row>
    <row r="353" spans="1:38" x14ac:dyDescent="0.25">
      <c r="A353" s="163"/>
      <c r="B353" s="156"/>
      <c r="C353" s="156"/>
      <c r="D353" s="156"/>
      <c r="E353" s="161"/>
      <c r="F353" s="156"/>
      <c r="G353" s="156"/>
      <c r="H353" s="156"/>
      <c r="I353" s="156"/>
      <c r="J353" s="156"/>
      <c r="K353" s="156"/>
      <c r="L353" s="160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  <c r="AC353" s="156"/>
      <c r="AD353" s="156"/>
      <c r="AE353" s="156"/>
      <c r="AF353" s="156"/>
      <c r="AG353" s="156"/>
      <c r="AH353" s="156"/>
      <c r="AI353" s="156"/>
      <c r="AJ353" s="156"/>
      <c r="AK353" s="156"/>
      <c r="AL353" s="156"/>
    </row>
    <row r="354" spans="1:38" x14ac:dyDescent="0.25">
      <c r="A354" s="163"/>
      <c r="B354" s="156"/>
      <c r="C354" s="156"/>
      <c r="D354" s="156"/>
      <c r="E354" s="161"/>
      <c r="F354" s="156"/>
      <c r="G354" s="156"/>
      <c r="H354" s="156"/>
      <c r="I354" s="156"/>
      <c r="J354" s="156"/>
      <c r="K354" s="156"/>
      <c r="L354" s="160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  <c r="AC354" s="156"/>
      <c r="AD354" s="156"/>
      <c r="AE354" s="156"/>
      <c r="AF354" s="156"/>
      <c r="AG354" s="156"/>
      <c r="AH354" s="156"/>
      <c r="AI354" s="156"/>
      <c r="AJ354" s="156"/>
      <c r="AK354" s="156"/>
      <c r="AL354" s="156"/>
    </row>
    <row r="355" spans="1:38" x14ac:dyDescent="0.25">
      <c r="A355" s="163"/>
      <c r="B355" s="156"/>
      <c r="C355" s="156"/>
      <c r="D355" s="156"/>
      <c r="E355" s="161"/>
      <c r="F355" s="156"/>
      <c r="G355" s="156"/>
      <c r="H355" s="156"/>
      <c r="I355" s="156"/>
      <c r="J355" s="156"/>
      <c r="K355" s="156"/>
      <c r="L355" s="160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  <c r="AC355" s="156"/>
      <c r="AD355" s="156"/>
      <c r="AE355" s="156"/>
      <c r="AF355" s="156"/>
      <c r="AG355" s="156"/>
      <c r="AH355" s="156"/>
      <c r="AI355" s="156"/>
      <c r="AJ355" s="156"/>
      <c r="AK355" s="156"/>
      <c r="AL355" s="156"/>
    </row>
    <row r="356" spans="1:38" x14ac:dyDescent="0.25">
      <c r="A356" s="163"/>
      <c r="B356" s="156"/>
      <c r="C356" s="156"/>
      <c r="D356" s="156"/>
      <c r="E356" s="161"/>
      <c r="F356" s="156"/>
      <c r="G356" s="156"/>
      <c r="H356" s="156"/>
      <c r="I356" s="156"/>
      <c r="J356" s="156"/>
      <c r="K356" s="156"/>
      <c r="L356" s="160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  <c r="AC356" s="156"/>
      <c r="AD356" s="156"/>
      <c r="AE356" s="156"/>
      <c r="AF356" s="156"/>
      <c r="AG356" s="156"/>
      <c r="AH356" s="156"/>
      <c r="AI356" s="156"/>
      <c r="AJ356" s="156"/>
      <c r="AK356" s="156"/>
      <c r="AL356" s="156"/>
    </row>
    <row r="357" spans="1:38" x14ac:dyDescent="0.25">
      <c r="A357" s="163"/>
      <c r="B357" s="156"/>
      <c r="C357" s="156"/>
      <c r="D357" s="156"/>
      <c r="E357" s="161"/>
      <c r="F357" s="156"/>
      <c r="G357" s="156"/>
      <c r="H357" s="156"/>
      <c r="I357" s="156"/>
      <c r="J357" s="156"/>
      <c r="K357" s="156"/>
      <c r="L357" s="160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  <c r="AC357" s="156"/>
      <c r="AD357" s="156"/>
      <c r="AE357" s="156"/>
      <c r="AF357" s="156"/>
      <c r="AG357" s="156"/>
      <c r="AH357" s="156"/>
      <c r="AI357" s="156"/>
      <c r="AJ357" s="156"/>
      <c r="AK357" s="156"/>
      <c r="AL357" s="156"/>
    </row>
    <row r="358" spans="1:38" x14ac:dyDescent="0.25">
      <c r="A358" s="163"/>
      <c r="B358" s="156"/>
      <c r="C358" s="156"/>
      <c r="D358" s="156"/>
      <c r="E358" s="161"/>
      <c r="F358" s="156"/>
      <c r="G358" s="156"/>
      <c r="H358" s="156"/>
      <c r="I358" s="156"/>
      <c r="J358" s="156"/>
      <c r="K358" s="156"/>
      <c r="L358" s="160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  <c r="AC358" s="156"/>
      <c r="AD358" s="156"/>
      <c r="AE358" s="156"/>
      <c r="AF358" s="156"/>
      <c r="AG358" s="156"/>
      <c r="AH358" s="156"/>
      <c r="AI358" s="156"/>
      <c r="AJ358" s="156"/>
      <c r="AK358" s="156"/>
      <c r="AL358" s="156"/>
    </row>
    <row r="359" spans="1:38" x14ac:dyDescent="0.25">
      <c r="A359" s="163"/>
      <c r="B359" s="156"/>
      <c r="C359" s="156"/>
      <c r="D359" s="156"/>
      <c r="E359" s="161"/>
      <c r="F359" s="156"/>
      <c r="G359" s="156"/>
      <c r="H359" s="156"/>
      <c r="I359" s="156"/>
      <c r="J359" s="156"/>
      <c r="K359" s="156"/>
      <c r="L359" s="160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  <c r="AC359" s="156"/>
      <c r="AD359" s="156"/>
      <c r="AE359" s="156"/>
      <c r="AF359" s="156"/>
      <c r="AG359" s="156"/>
      <c r="AH359" s="156"/>
      <c r="AI359" s="156"/>
      <c r="AJ359" s="156"/>
      <c r="AK359" s="156"/>
      <c r="AL359" s="156"/>
    </row>
    <row r="360" spans="1:38" x14ac:dyDescent="0.25">
      <c r="A360" s="163"/>
      <c r="B360" s="156"/>
      <c r="C360" s="156"/>
      <c r="D360" s="156"/>
      <c r="E360" s="161"/>
      <c r="F360" s="156"/>
      <c r="G360" s="156"/>
      <c r="H360" s="156"/>
      <c r="I360" s="156"/>
      <c r="J360" s="156"/>
      <c r="K360" s="156"/>
      <c r="L360" s="160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  <c r="AC360" s="156"/>
      <c r="AD360" s="156"/>
      <c r="AE360" s="156"/>
      <c r="AF360" s="156"/>
      <c r="AG360" s="156"/>
      <c r="AH360" s="156"/>
      <c r="AI360" s="156"/>
      <c r="AJ360" s="156"/>
      <c r="AK360" s="156"/>
      <c r="AL360" s="156"/>
    </row>
    <row r="361" spans="1:38" x14ac:dyDescent="0.25">
      <c r="A361" s="163"/>
      <c r="B361" s="156"/>
      <c r="C361" s="156"/>
      <c r="D361" s="156"/>
      <c r="E361" s="161"/>
      <c r="F361" s="156"/>
      <c r="G361" s="156"/>
      <c r="H361" s="156"/>
      <c r="I361" s="156"/>
      <c r="J361" s="156"/>
      <c r="K361" s="156"/>
      <c r="L361" s="160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  <c r="AC361" s="156"/>
      <c r="AD361" s="156"/>
      <c r="AE361" s="156"/>
      <c r="AF361" s="156"/>
      <c r="AG361" s="156"/>
      <c r="AH361" s="156"/>
      <c r="AI361" s="156"/>
      <c r="AJ361" s="156"/>
      <c r="AK361" s="156"/>
      <c r="AL361" s="156"/>
    </row>
    <row r="362" spans="1:38" x14ac:dyDescent="0.25">
      <c r="A362" s="163"/>
      <c r="B362" s="156"/>
      <c r="C362" s="156"/>
      <c r="D362" s="156"/>
      <c r="E362" s="161"/>
      <c r="F362" s="156"/>
      <c r="G362" s="156"/>
      <c r="H362" s="156"/>
      <c r="I362" s="156"/>
      <c r="J362" s="156"/>
      <c r="K362" s="156"/>
      <c r="L362" s="160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  <c r="AC362" s="156"/>
      <c r="AD362" s="156"/>
      <c r="AE362" s="156"/>
      <c r="AF362" s="156"/>
      <c r="AG362" s="156"/>
      <c r="AH362" s="156"/>
      <c r="AI362" s="156"/>
      <c r="AJ362" s="156"/>
      <c r="AK362" s="156"/>
      <c r="AL362" s="156"/>
    </row>
    <row r="363" spans="1:38" x14ac:dyDescent="0.25">
      <c r="A363" s="163"/>
      <c r="B363" s="156"/>
      <c r="C363" s="156"/>
      <c r="D363" s="156"/>
      <c r="E363" s="161"/>
      <c r="F363" s="156"/>
      <c r="G363" s="156"/>
      <c r="H363" s="156"/>
      <c r="I363" s="156"/>
      <c r="J363" s="156"/>
      <c r="K363" s="156"/>
      <c r="L363" s="160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  <c r="AC363" s="156"/>
      <c r="AD363" s="156"/>
      <c r="AE363" s="156"/>
      <c r="AF363" s="156"/>
      <c r="AG363" s="156"/>
      <c r="AH363" s="156"/>
      <c r="AI363" s="156"/>
      <c r="AJ363" s="156"/>
      <c r="AK363" s="156"/>
      <c r="AL363" s="156"/>
    </row>
    <row r="364" spans="1:38" x14ac:dyDescent="0.25">
      <c r="A364" s="163"/>
      <c r="B364" s="156"/>
      <c r="C364" s="156"/>
      <c r="D364" s="156"/>
      <c r="E364" s="161"/>
      <c r="F364" s="156"/>
      <c r="G364" s="156"/>
      <c r="H364" s="156"/>
      <c r="I364" s="156"/>
      <c r="J364" s="156"/>
      <c r="K364" s="156"/>
      <c r="L364" s="160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  <c r="AC364" s="156"/>
      <c r="AD364" s="156"/>
      <c r="AE364" s="156"/>
      <c r="AF364" s="156"/>
      <c r="AG364" s="156"/>
      <c r="AH364" s="156"/>
      <c r="AI364" s="156"/>
      <c r="AJ364" s="156"/>
      <c r="AK364" s="156"/>
      <c r="AL364" s="156"/>
    </row>
    <row r="365" spans="1:38" x14ac:dyDescent="0.25">
      <c r="A365" s="163"/>
      <c r="B365" s="156"/>
      <c r="C365" s="156"/>
      <c r="D365" s="156"/>
      <c r="E365" s="161"/>
      <c r="F365" s="156"/>
      <c r="G365" s="156"/>
      <c r="H365" s="156"/>
      <c r="I365" s="156"/>
      <c r="J365" s="156"/>
      <c r="K365" s="156"/>
      <c r="L365" s="160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  <c r="AC365" s="156"/>
      <c r="AD365" s="156"/>
      <c r="AE365" s="156"/>
      <c r="AF365" s="156"/>
      <c r="AG365" s="156"/>
      <c r="AH365" s="156"/>
      <c r="AI365" s="156"/>
      <c r="AJ365" s="156"/>
      <c r="AK365" s="156"/>
      <c r="AL365" s="156"/>
    </row>
    <row r="366" spans="1:38" x14ac:dyDescent="0.25">
      <c r="A366" s="163"/>
      <c r="B366" s="156"/>
      <c r="C366" s="156"/>
      <c r="D366" s="156"/>
      <c r="E366" s="161"/>
      <c r="F366" s="156"/>
      <c r="G366" s="156"/>
      <c r="H366" s="156"/>
      <c r="I366" s="156"/>
      <c r="J366" s="156"/>
      <c r="K366" s="156"/>
      <c r="L366" s="160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  <c r="AC366" s="156"/>
      <c r="AD366" s="156"/>
      <c r="AE366" s="156"/>
      <c r="AF366" s="156"/>
      <c r="AG366" s="156"/>
      <c r="AH366" s="156"/>
      <c r="AI366" s="156"/>
      <c r="AJ366" s="156"/>
      <c r="AK366" s="156"/>
      <c r="AL366" s="156"/>
    </row>
  </sheetData>
  <mergeCells count="1">
    <mergeCell ref="C3:L3"/>
  </mergeCells>
  <pageMargins left="0.25" right="0.25" top="0.75" bottom="0.75" header="0.3" footer="0.3"/>
  <pageSetup scale="58" fitToHeight="0" orientation="landscape" r:id="rId1"/>
  <headerFooter>
    <oddFooter>&amp;L&amp;D&amp;C&amp;A&amp;RPage &amp;P of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"/>
  <sheetViews>
    <sheetView workbookViewId="0">
      <selection activeCell="N31" sqref="N31"/>
    </sheetView>
  </sheetViews>
  <sheetFormatPr defaultRowHeight="15.75" x14ac:dyDescent="0.25"/>
  <cols>
    <col min="1" max="1" width="19" customWidth="1"/>
    <col min="2" max="2" width="9.21875" customWidth="1"/>
    <col min="4" max="4" width="8.33203125" customWidth="1"/>
    <col min="6" max="6" width="9.21875" customWidth="1"/>
    <col min="8" max="8" width="9.33203125" customWidth="1"/>
    <col min="10" max="10" width="9.6640625" customWidth="1"/>
    <col min="12" max="12" width="9.5546875" customWidth="1"/>
    <col min="14" max="14" width="9.6640625" customWidth="1"/>
  </cols>
  <sheetData>
    <row r="1" spans="1:15" ht="20.25" x14ac:dyDescent="0.25">
      <c r="A1" s="331" t="s">
        <v>2539</v>
      </c>
      <c r="B1" s="327"/>
      <c r="C1" s="328"/>
      <c r="D1" s="332"/>
      <c r="E1" s="333"/>
      <c r="F1" s="328"/>
      <c r="G1" s="333"/>
      <c r="H1" s="332"/>
      <c r="I1" s="333"/>
      <c r="J1" s="328"/>
      <c r="K1" s="333"/>
      <c r="L1" s="328"/>
      <c r="M1" s="333"/>
      <c r="N1" s="328"/>
    </row>
    <row r="2" spans="1:15" x14ac:dyDescent="0.25">
      <c r="O2" s="623"/>
    </row>
    <row r="3" spans="1:15" x14ac:dyDescent="0.25">
      <c r="A3" s="324"/>
      <c r="B3" s="324"/>
      <c r="C3" s="324"/>
      <c r="D3" s="334" t="s">
        <v>2523</v>
      </c>
      <c r="E3" s="329"/>
      <c r="F3" s="329"/>
      <c r="G3" s="329"/>
      <c r="H3" s="335"/>
      <c r="I3" s="329"/>
      <c r="J3" s="329"/>
      <c r="K3" s="336"/>
      <c r="L3" s="330" t="s">
        <v>2526</v>
      </c>
      <c r="M3" s="330"/>
      <c r="N3" s="337"/>
      <c r="O3" s="623"/>
    </row>
    <row r="4" spans="1:15" x14ac:dyDescent="0.25">
      <c r="A4" s="324" t="s">
        <v>83</v>
      </c>
      <c r="B4" s="338"/>
      <c r="C4" s="338"/>
      <c r="D4" s="338" t="s">
        <v>2523</v>
      </c>
      <c r="E4" s="339"/>
      <c r="F4" s="338" t="s">
        <v>2523</v>
      </c>
      <c r="G4" s="339"/>
      <c r="H4" s="338" t="s">
        <v>2524</v>
      </c>
      <c r="I4" s="339"/>
      <c r="J4" s="338"/>
      <c r="K4" s="339"/>
      <c r="L4" s="338" t="s">
        <v>2526</v>
      </c>
      <c r="M4" s="339"/>
      <c r="N4" s="338" t="s">
        <v>2540</v>
      </c>
      <c r="O4" s="623"/>
    </row>
    <row r="5" spans="1:15" x14ac:dyDescent="0.25">
      <c r="A5" s="324" t="s">
        <v>2527</v>
      </c>
      <c r="B5" s="338" t="s">
        <v>2528</v>
      </c>
      <c r="C5" s="338"/>
      <c r="D5" s="338" t="s">
        <v>2529</v>
      </c>
      <c r="E5" s="339"/>
      <c r="F5" s="338" t="s">
        <v>2525</v>
      </c>
      <c r="G5" s="339"/>
      <c r="H5" s="338" t="s">
        <v>2525</v>
      </c>
      <c r="I5" s="339"/>
      <c r="J5" s="338" t="s">
        <v>2541</v>
      </c>
      <c r="K5" s="339"/>
      <c r="L5" s="338"/>
      <c r="M5" s="339"/>
      <c r="N5" s="338" t="s">
        <v>2542</v>
      </c>
      <c r="O5" s="623"/>
    </row>
    <row r="6" spans="1:15" ht="16.5" thickBot="1" x14ac:dyDescent="0.3">
      <c r="A6" s="325"/>
      <c r="B6" s="325" t="s">
        <v>2530</v>
      </c>
      <c r="C6" s="324"/>
      <c r="D6" s="325" t="s">
        <v>2531</v>
      </c>
      <c r="E6" s="324"/>
      <c r="F6" s="325" t="s">
        <v>2532</v>
      </c>
      <c r="G6" s="324"/>
      <c r="H6" s="325" t="s">
        <v>2533</v>
      </c>
      <c r="I6" s="324"/>
      <c r="J6" s="325" t="s">
        <v>2534</v>
      </c>
      <c r="K6" s="324"/>
      <c r="L6" s="325" t="s">
        <v>2535</v>
      </c>
      <c r="M6" s="324"/>
      <c r="N6" s="325" t="s">
        <v>2536</v>
      </c>
      <c r="O6" s="324"/>
    </row>
    <row r="7" spans="1:15" x14ac:dyDescent="0.25">
      <c r="A7" s="324"/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</row>
    <row r="8" spans="1:15" ht="16.5" thickBot="1" x14ac:dyDescent="0.3">
      <c r="A8" s="324">
        <v>1</v>
      </c>
      <c r="B8" s="325" t="s">
        <v>347</v>
      </c>
      <c r="C8" s="324"/>
      <c r="D8" s="325" t="s">
        <v>2537</v>
      </c>
      <c r="E8" s="324"/>
      <c r="F8" s="325"/>
      <c r="G8" s="324"/>
      <c r="H8" s="325"/>
      <c r="I8" s="324"/>
      <c r="J8" s="325"/>
      <c r="K8" s="324"/>
      <c r="L8" s="325" t="s">
        <v>2537</v>
      </c>
      <c r="M8" s="324"/>
      <c r="N8" s="325" t="s">
        <v>2537</v>
      </c>
      <c r="O8" s="324"/>
    </row>
    <row r="9" spans="1:15" ht="16.5" thickBot="1" x14ac:dyDescent="0.3">
      <c r="A9" s="324">
        <v>2</v>
      </c>
      <c r="B9" s="325" t="s">
        <v>2509</v>
      </c>
      <c r="C9" s="324"/>
      <c r="D9" s="325" t="s">
        <v>2537</v>
      </c>
      <c r="E9" s="324"/>
      <c r="F9" s="325"/>
      <c r="G9" s="324"/>
      <c r="H9" s="325"/>
      <c r="I9" s="324"/>
      <c r="J9" s="325"/>
      <c r="K9" s="324"/>
      <c r="L9" s="325" t="s">
        <v>2537</v>
      </c>
      <c r="M9" s="324"/>
      <c r="N9" s="325" t="s">
        <v>2537</v>
      </c>
      <c r="O9" s="324"/>
    </row>
    <row r="10" spans="1:15" ht="16.5" thickBot="1" x14ac:dyDescent="0.3">
      <c r="A10" s="324">
        <v>3</v>
      </c>
      <c r="B10" s="325" t="s">
        <v>349</v>
      </c>
      <c r="C10" s="324"/>
      <c r="D10" s="325" t="s">
        <v>2537</v>
      </c>
      <c r="E10" s="324"/>
      <c r="F10" s="325"/>
      <c r="G10" s="324"/>
      <c r="H10" s="325"/>
      <c r="I10" s="324"/>
      <c r="J10" s="325"/>
      <c r="K10" s="324"/>
      <c r="L10" s="325" t="s">
        <v>2537</v>
      </c>
      <c r="M10" s="324"/>
      <c r="N10" s="325" t="s">
        <v>2537</v>
      </c>
      <c r="O10" s="324"/>
    </row>
    <row r="11" spans="1:15" ht="16.5" thickBot="1" x14ac:dyDescent="0.3">
      <c r="A11" s="324">
        <v>4</v>
      </c>
      <c r="B11" s="325" t="s">
        <v>350</v>
      </c>
      <c r="C11" s="324"/>
      <c r="D11" s="325" t="s">
        <v>2537</v>
      </c>
      <c r="E11" s="324"/>
      <c r="F11" s="325"/>
      <c r="G11" s="324"/>
      <c r="H11" s="325"/>
      <c r="I11" s="324"/>
      <c r="J11" s="325"/>
      <c r="K11" s="324"/>
      <c r="L11" s="325" t="s">
        <v>2537</v>
      </c>
      <c r="M11" s="324"/>
      <c r="N11" s="325" t="s">
        <v>2537</v>
      </c>
      <c r="O11" s="324"/>
    </row>
    <row r="12" spans="1:15" ht="16.5" thickBot="1" x14ac:dyDescent="0.3">
      <c r="A12" s="324">
        <v>5</v>
      </c>
      <c r="B12" s="325" t="s">
        <v>351</v>
      </c>
      <c r="C12" s="324"/>
      <c r="D12" s="325" t="s">
        <v>2537</v>
      </c>
      <c r="E12" s="324"/>
      <c r="F12" s="325"/>
      <c r="G12" s="324"/>
      <c r="H12" s="325"/>
      <c r="I12" s="324"/>
      <c r="J12" s="325"/>
      <c r="K12" s="324"/>
      <c r="L12" s="325" t="s">
        <v>2537</v>
      </c>
      <c r="M12" s="324"/>
      <c r="N12" s="325" t="s">
        <v>2537</v>
      </c>
      <c r="O12" s="324"/>
    </row>
    <row r="13" spans="1:15" ht="16.5" thickBot="1" x14ac:dyDescent="0.3">
      <c r="A13" s="324">
        <v>6</v>
      </c>
      <c r="B13" s="325" t="s">
        <v>352</v>
      </c>
      <c r="C13" s="324"/>
      <c r="D13" s="325" t="s">
        <v>2537</v>
      </c>
      <c r="E13" s="324"/>
      <c r="F13" s="325"/>
      <c r="G13" s="324"/>
      <c r="H13" s="325"/>
      <c r="I13" s="324"/>
      <c r="J13" s="325"/>
      <c r="K13" s="324"/>
      <c r="L13" s="325" t="s">
        <v>2537</v>
      </c>
      <c r="M13" s="324"/>
      <c r="N13" s="325" t="s">
        <v>2537</v>
      </c>
      <c r="O13" s="324"/>
    </row>
    <row r="14" spans="1:15" ht="16.5" thickBot="1" x14ac:dyDescent="0.3">
      <c r="A14" s="324">
        <v>7</v>
      </c>
      <c r="B14" s="325" t="s">
        <v>353</v>
      </c>
      <c r="C14" s="324"/>
      <c r="D14" s="325" t="s">
        <v>2537</v>
      </c>
      <c r="E14" s="324"/>
      <c r="F14" s="325"/>
      <c r="G14" s="324"/>
      <c r="H14" s="325"/>
      <c r="I14" s="324"/>
      <c r="J14" s="325"/>
      <c r="K14" s="324"/>
      <c r="L14" s="325" t="s">
        <v>2537</v>
      </c>
      <c r="M14" s="324"/>
      <c r="N14" s="325" t="s">
        <v>2537</v>
      </c>
      <c r="O14" s="324"/>
    </row>
    <row r="15" spans="1:15" ht="16.5" thickBot="1" x14ac:dyDescent="0.3">
      <c r="A15" s="324">
        <v>8</v>
      </c>
      <c r="B15" s="325" t="s">
        <v>354</v>
      </c>
      <c r="C15" s="324"/>
      <c r="D15" s="325" t="s">
        <v>2537</v>
      </c>
      <c r="E15" s="324"/>
      <c r="F15" s="325"/>
      <c r="G15" s="324"/>
      <c r="H15" s="325"/>
      <c r="I15" s="324"/>
      <c r="J15" s="325"/>
      <c r="K15" s="324"/>
      <c r="L15" s="325" t="s">
        <v>2537</v>
      </c>
      <c r="M15" s="324"/>
      <c r="N15" s="325" t="s">
        <v>2537</v>
      </c>
      <c r="O15" s="324"/>
    </row>
    <row r="16" spans="1:15" ht="16.5" thickBot="1" x14ac:dyDescent="0.3">
      <c r="A16" s="324">
        <v>9</v>
      </c>
      <c r="B16" s="325" t="s">
        <v>355</v>
      </c>
      <c r="C16" s="324"/>
      <c r="D16" s="325" t="s">
        <v>2537</v>
      </c>
      <c r="E16" s="324"/>
      <c r="F16" s="325"/>
      <c r="G16" s="324"/>
      <c r="H16" s="325"/>
      <c r="I16" s="324"/>
      <c r="J16" s="325"/>
      <c r="K16" s="324"/>
      <c r="L16" s="325" t="s">
        <v>2537</v>
      </c>
      <c r="M16" s="324"/>
      <c r="N16" s="325" t="s">
        <v>2537</v>
      </c>
      <c r="O16" s="324"/>
    </row>
    <row r="17" spans="1:15" ht="26.25" thickBot="1" x14ac:dyDescent="0.3">
      <c r="A17" s="324">
        <v>10</v>
      </c>
      <c r="B17" s="325" t="s">
        <v>2538</v>
      </c>
      <c r="C17" s="324"/>
      <c r="D17" s="325"/>
      <c r="E17" s="324"/>
      <c r="F17" s="325"/>
      <c r="G17" s="324"/>
      <c r="H17" s="325"/>
      <c r="I17" s="324"/>
      <c r="J17" s="325"/>
      <c r="K17" s="324"/>
      <c r="L17" s="325"/>
      <c r="M17" s="324"/>
      <c r="N17" s="340" t="s">
        <v>2537</v>
      </c>
      <c r="O17" s="326"/>
    </row>
    <row r="18" spans="1:15" x14ac:dyDescent="0.25">
      <c r="A18" s="326"/>
      <c r="B18" s="326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</row>
  </sheetData>
  <mergeCells count="1">
    <mergeCell ref="O2:O5"/>
  </mergeCells>
  <pageMargins left="0.25" right="0.25" top="0.75" bottom="0.75" header="0.3" footer="0.3"/>
  <pageSetup scale="76" fitToHeight="0" orientation="landscape" r:id="rId1"/>
  <headerFooter>
    <oddFooter>&amp;L&amp;D&amp;C&amp;A&amp;RPage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"/>
  <sheetViews>
    <sheetView workbookViewId="0">
      <selection activeCell="E18" sqref="E18"/>
    </sheetView>
  </sheetViews>
  <sheetFormatPr defaultRowHeight="15.75" x14ac:dyDescent="0.25"/>
  <cols>
    <col min="1" max="1" width="9.21875" bestFit="1" customWidth="1"/>
    <col min="2" max="2" width="14.21875" customWidth="1"/>
    <col min="3" max="3" width="11.5546875" customWidth="1"/>
    <col min="4" max="4" width="10.5546875" customWidth="1"/>
    <col min="5" max="5" width="10.33203125" customWidth="1"/>
    <col min="6" max="6" width="12.88671875" customWidth="1"/>
    <col min="7" max="7" width="11" customWidth="1"/>
    <col min="8" max="8" width="11.21875" customWidth="1"/>
    <col min="9" max="9" width="14.44140625" customWidth="1"/>
  </cols>
  <sheetData>
    <row r="1" spans="1:14" x14ac:dyDescent="0.25">
      <c r="A1" s="247" t="s">
        <v>345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</row>
    <row r="2" spans="1:14" x14ac:dyDescent="0.25">
      <c r="A2" s="247" t="s">
        <v>2550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x14ac:dyDescent="0.2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</row>
    <row r="4" spans="1:14" ht="30" x14ac:dyDescent="0.25">
      <c r="A4" s="342" t="s">
        <v>2551</v>
      </c>
      <c r="B4" s="343" t="s">
        <v>2552</v>
      </c>
      <c r="C4" s="344" t="s">
        <v>2553</v>
      </c>
      <c r="D4" s="344" t="s">
        <v>2554</v>
      </c>
      <c r="E4" s="344" t="s">
        <v>2555</v>
      </c>
      <c r="F4" s="344" t="s">
        <v>2556</v>
      </c>
      <c r="G4" s="344" t="s">
        <v>2557</v>
      </c>
      <c r="H4" s="344" t="s">
        <v>2558</v>
      </c>
      <c r="I4" s="362" t="s">
        <v>2559</v>
      </c>
      <c r="J4" s="247"/>
      <c r="K4" s="247"/>
      <c r="L4" s="247"/>
      <c r="M4" s="247"/>
      <c r="N4" s="247"/>
    </row>
    <row r="5" spans="1:14" x14ac:dyDescent="0.25">
      <c r="A5" s="345" t="s">
        <v>357</v>
      </c>
      <c r="B5" s="346" t="s">
        <v>2560</v>
      </c>
      <c r="C5" s="347">
        <v>2851.1208324599315</v>
      </c>
      <c r="D5" s="347">
        <v>2261.3588814262807</v>
      </c>
      <c r="E5" s="347">
        <v>450.20852288279229</v>
      </c>
      <c r="F5" s="347">
        <v>196.75074159031377</v>
      </c>
      <c r="G5" s="347">
        <v>158.74694400049682</v>
      </c>
      <c r="H5" s="361">
        <f>SUM(C5:G5)</f>
        <v>5918.1859223598158</v>
      </c>
      <c r="I5" s="357">
        <f>H5/$H$20</f>
        <v>8.628812857824944E-2</v>
      </c>
      <c r="J5" s="247"/>
      <c r="K5" s="247"/>
      <c r="L5" s="247"/>
      <c r="M5" s="247"/>
      <c r="N5" s="247"/>
    </row>
    <row r="6" spans="1:14" x14ac:dyDescent="0.25">
      <c r="A6" s="345" t="s">
        <v>357</v>
      </c>
      <c r="B6" s="346" t="s">
        <v>2561</v>
      </c>
      <c r="C6" s="348">
        <v>2379.7992358911883</v>
      </c>
      <c r="D6" s="348">
        <v>4188.8211096406603</v>
      </c>
      <c r="E6" s="348">
        <v>3681.3229130482705</v>
      </c>
      <c r="F6" s="348">
        <v>562.46437652685472</v>
      </c>
      <c r="G6" s="348">
        <v>453.82040322219945</v>
      </c>
      <c r="H6" s="363">
        <f t="shared" ref="H6:H18" si="0">SUM(C6:G6)</f>
        <v>11266.228038329175</v>
      </c>
      <c r="I6" s="358">
        <f t="shared" ref="I6:I18" si="1">H6/$H$20</f>
        <v>0.16426346625751076</v>
      </c>
      <c r="J6" s="247"/>
      <c r="K6" s="247"/>
      <c r="L6" s="247"/>
      <c r="M6" s="247"/>
      <c r="N6" s="247"/>
    </row>
    <row r="7" spans="1:14" x14ac:dyDescent="0.25">
      <c r="A7" s="345" t="s">
        <v>357</v>
      </c>
      <c r="B7" s="346" t="s">
        <v>2562</v>
      </c>
      <c r="C7" s="349">
        <v>3740.0351607875937</v>
      </c>
      <c r="D7" s="349">
        <v>630.21477023355374</v>
      </c>
      <c r="E7" s="349">
        <v>985.20614808171933</v>
      </c>
      <c r="F7" s="349">
        <v>264.96359045335873</v>
      </c>
      <c r="G7" s="349">
        <v>213.78399855515804</v>
      </c>
      <c r="H7" s="366">
        <f t="shared" si="0"/>
        <v>5834.2036681113841</v>
      </c>
      <c r="I7" s="359">
        <f t="shared" si="1"/>
        <v>8.5063653435368092E-2</v>
      </c>
      <c r="J7" s="247"/>
      <c r="K7" s="247"/>
      <c r="L7" s="247"/>
      <c r="M7" s="247"/>
      <c r="N7" s="247"/>
    </row>
    <row r="8" spans="1:14" x14ac:dyDescent="0.25">
      <c r="A8" s="342"/>
      <c r="B8" s="350" t="s">
        <v>2563</v>
      </c>
      <c r="C8" s="351">
        <f t="shared" ref="C8:H8" si="2">SUM(C5:C7)</f>
        <v>8970.9552291387135</v>
      </c>
      <c r="D8" s="351">
        <f t="shared" si="2"/>
        <v>7080.3947613004948</v>
      </c>
      <c r="E8" s="351">
        <f t="shared" si="2"/>
        <v>5116.7375840127825</v>
      </c>
      <c r="F8" s="351">
        <f t="shared" si="2"/>
        <v>1024.1787085705273</v>
      </c>
      <c r="G8" s="351">
        <f t="shared" si="2"/>
        <v>826.35134577785436</v>
      </c>
      <c r="H8" s="351">
        <f t="shared" si="2"/>
        <v>23018.617628800377</v>
      </c>
      <c r="I8" s="360">
        <f>H8/$H$20</f>
        <v>0.33561524827112832</v>
      </c>
      <c r="J8" s="247"/>
      <c r="K8" s="247"/>
      <c r="L8" s="247"/>
      <c r="M8" s="247"/>
      <c r="N8" s="247"/>
    </row>
    <row r="9" spans="1:14" x14ac:dyDescent="0.25">
      <c r="A9" s="345" t="s">
        <v>356</v>
      </c>
      <c r="B9" s="352" t="s">
        <v>347</v>
      </c>
      <c r="C9" s="347">
        <v>7670.3912353851047</v>
      </c>
      <c r="D9" s="347">
        <v>12162.471174843711</v>
      </c>
      <c r="E9" s="347">
        <v>2182.0754592566736</v>
      </c>
      <c r="F9" s="347">
        <v>3236.2080794371209</v>
      </c>
      <c r="G9" s="347">
        <v>2611.1115953509161</v>
      </c>
      <c r="H9" s="347">
        <f t="shared" si="0"/>
        <v>27862.257544273525</v>
      </c>
      <c r="I9" s="364">
        <f t="shared" si="1"/>
        <v>0.40623631852747394</v>
      </c>
      <c r="J9" s="247"/>
      <c r="K9" s="247"/>
      <c r="L9" s="247"/>
      <c r="M9" s="247"/>
      <c r="N9" s="247"/>
    </row>
    <row r="10" spans="1:14" x14ac:dyDescent="0.25">
      <c r="A10" s="345" t="s">
        <v>356</v>
      </c>
      <c r="B10" s="346" t="s">
        <v>2509</v>
      </c>
      <c r="C10" s="348">
        <v>84.37480089636108</v>
      </c>
      <c r="D10" s="348">
        <v>0</v>
      </c>
      <c r="E10" s="348">
        <v>0</v>
      </c>
      <c r="F10" s="348">
        <v>14.442459856996493</v>
      </c>
      <c r="G10" s="348">
        <v>11.652796566947819</v>
      </c>
      <c r="H10" s="348">
        <f t="shared" si="0"/>
        <v>110.47005732030539</v>
      </c>
      <c r="I10" s="364">
        <f t="shared" si="1"/>
        <v>1.6106716881074611E-3</v>
      </c>
      <c r="J10" s="247"/>
      <c r="K10" s="247"/>
      <c r="L10" s="247"/>
      <c r="M10" s="247"/>
      <c r="N10" s="247"/>
    </row>
    <row r="11" spans="1:14" x14ac:dyDescent="0.25">
      <c r="A11" s="345" t="s">
        <v>356</v>
      </c>
      <c r="B11" s="346" t="s">
        <v>353</v>
      </c>
      <c r="C11" s="348">
        <v>4015.7377993257724</v>
      </c>
      <c r="D11" s="348">
        <v>2780.3592804421487</v>
      </c>
      <c r="E11" s="348">
        <v>529.49019426442328</v>
      </c>
      <c r="F11" s="348">
        <v>34.340489490070247</v>
      </c>
      <c r="G11" s="348">
        <v>27.707381013999751</v>
      </c>
      <c r="H11" s="348">
        <f t="shared" si="0"/>
        <v>7387.6351445364153</v>
      </c>
      <c r="I11" s="364">
        <f t="shared" si="1"/>
        <v>0.10771294102682902</v>
      </c>
      <c r="J11" s="247"/>
      <c r="K11" s="247"/>
      <c r="L11" s="247"/>
      <c r="M11" s="247"/>
      <c r="N11" s="247"/>
    </row>
    <row r="12" spans="1:14" x14ac:dyDescent="0.25">
      <c r="A12" s="345" t="s">
        <v>356</v>
      </c>
      <c r="B12" s="346" t="s">
        <v>351</v>
      </c>
      <c r="C12" s="348">
        <v>1195.2358218713343</v>
      </c>
      <c r="D12" s="348">
        <v>919.94912305825403</v>
      </c>
      <c r="E12" s="348">
        <v>174.44498000929099</v>
      </c>
      <c r="F12" s="348">
        <v>103.10860927367484</v>
      </c>
      <c r="G12" s="348">
        <v>83.192451982823883</v>
      </c>
      <c r="H12" s="348">
        <f t="shared" si="0"/>
        <v>2475.9309861953784</v>
      </c>
      <c r="I12" s="364">
        <f t="shared" si="1"/>
        <v>3.6099482863578336E-2</v>
      </c>
      <c r="J12" s="247"/>
      <c r="K12" s="247"/>
      <c r="L12" s="247"/>
      <c r="M12" s="247"/>
      <c r="N12" s="247"/>
    </row>
    <row r="13" spans="1:14" x14ac:dyDescent="0.25">
      <c r="A13" s="345" t="s">
        <v>356</v>
      </c>
      <c r="B13" s="346" t="s">
        <v>349</v>
      </c>
      <c r="C13" s="348">
        <v>246.05870245062158</v>
      </c>
      <c r="D13" s="348">
        <v>192.09755028509389</v>
      </c>
      <c r="E13" s="348">
        <v>24.241997385996509</v>
      </c>
      <c r="F13" s="348">
        <v>2.8055866970278855</v>
      </c>
      <c r="G13" s="348">
        <v>2.2636677792504494</v>
      </c>
      <c r="H13" s="348">
        <f t="shared" si="0"/>
        <v>467.46750459799034</v>
      </c>
      <c r="I13" s="364">
        <f t="shared" si="1"/>
        <v>6.8157534541971399E-3</v>
      </c>
      <c r="J13" s="247"/>
      <c r="K13" s="247"/>
      <c r="L13" s="247"/>
      <c r="M13" s="247"/>
      <c r="N13" s="247"/>
    </row>
    <row r="14" spans="1:14" x14ac:dyDescent="0.25">
      <c r="A14" s="345" t="s">
        <v>356</v>
      </c>
      <c r="B14" s="346" t="s">
        <v>354</v>
      </c>
      <c r="C14" s="348">
        <v>884.5074978653422</v>
      </c>
      <c r="D14" s="348">
        <v>1438.3725344154047</v>
      </c>
      <c r="E14" s="348">
        <v>0</v>
      </c>
      <c r="F14" s="348">
        <v>197.84781306022023</v>
      </c>
      <c r="G14" s="348">
        <v>159.63210835510151</v>
      </c>
      <c r="H14" s="348">
        <f t="shared" si="0"/>
        <v>2680.3599536960687</v>
      </c>
      <c r="I14" s="364">
        <f t="shared" si="1"/>
        <v>3.9080090986444584E-2</v>
      </c>
      <c r="J14" s="247"/>
      <c r="K14" s="247"/>
      <c r="L14" s="247"/>
      <c r="M14" s="247"/>
      <c r="N14" s="247"/>
    </row>
    <row r="15" spans="1:14" x14ac:dyDescent="0.25">
      <c r="A15" s="345" t="s">
        <v>356</v>
      </c>
      <c r="B15" s="346" t="s">
        <v>355</v>
      </c>
      <c r="C15" s="348">
        <v>219.05147889106624</v>
      </c>
      <c r="D15" s="348">
        <v>366.35209732559701</v>
      </c>
      <c r="E15" s="348">
        <v>0</v>
      </c>
      <c r="F15" s="348">
        <v>9.9852945534372672</v>
      </c>
      <c r="G15" s="348">
        <v>8.0565642725943842</v>
      </c>
      <c r="H15" s="348">
        <f t="shared" si="0"/>
        <v>603.44543504269495</v>
      </c>
      <c r="I15" s="364">
        <f t="shared" si="1"/>
        <v>8.7983341469879475E-3</v>
      </c>
      <c r="J15" s="247"/>
      <c r="K15" s="247"/>
      <c r="L15" s="247"/>
      <c r="M15" s="247"/>
      <c r="N15" s="247"/>
    </row>
    <row r="16" spans="1:14" x14ac:dyDescent="0.25">
      <c r="A16" s="345" t="s">
        <v>356</v>
      </c>
      <c r="B16" s="346" t="s">
        <v>350</v>
      </c>
      <c r="C16" s="348">
        <v>120.35817186686805</v>
      </c>
      <c r="D16" s="348">
        <v>470.13347832930879</v>
      </c>
      <c r="E16" s="348">
        <v>87.077713185438725</v>
      </c>
      <c r="F16" s="348">
        <v>1.6954614653275979</v>
      </c>
      <c r="G16" s="348">
        <v>1.3679710892871721</v>
      </c>
      <c r="H16" s="348">
        <f t="shared" si="0"/>
        <v>680.63279593623031</v>
      </c>
      <c r="I16" s="364">
        <f t="shared" si="1"/>
        <v>9.923738622070976E-3</v>
      </c>
      <c r="J16" s="247"/>
      <c r="K16" s="247"/>
      <c r="L16" s="247"/>
      <c r="M16" s="247"/>
      <c r="N16" s="247"/>
    </row>
    <row r="17" spans="1:14" x14ac:dyDescent="0.25">
      <c r="A17" s="345" t="s">
        <v>356</v>
      </c>
      <c r="B17" s="346" t="s">
        <v>356</v>
      </c>
      <c r="C17" s="348">
        <v>576.35926230879704</v>
      </c>
      <c r="D17" s="348">
        <v>0</v>
      </c>
      <c r="E17" s="348">
        <v>0</v>
      </c>
      <c r="F17" s="348">
        <v>0</v>
      </c>
      <c r="G17" s="348">
        <v>0</v>
      </c>
      <c r="H17" s="348">
        <f t="shared" si="0"/>
        <v>576.35926230879704</v>
      </c>
      <c r="I17" s="364">
        <f t="shared" si="1"/>
        <v>8.4034132732240963E-3</v>
      </c>
      <c r="J17" s="247"/>
      <c r="K17" s="247"/>
      <c r="L17" s="247"/>
      <c r="M17" s="247"/>
      <c r="N17" s="247"/>
    </row>
    <row r="18" spans="1:14" x14ac:dyDescent="0.25">
      <c r="A18" s="345" t="s">
        <v>356</v>
      </c>
      <c r="B18" s="346" t="s">
        <v>2564</v>
      </c>
      <c r="C18" s="353"/>
      <c r="D18" s="354"/>
      <c r="E18" s="348">
        <v>2723.1520718853917</v>
      </c>
      <c r="F18" s="354"/>
      <c r="G18" s="353"/>
      <c r="H18" s="348">
        <f t="shared" si="0"/>
        <v>2723.1520718853917</v>
      </c>
      <c r="I18" s="365">
        <f t="shared" si="1"/>
        <v>3.9704007139957996E-2</v>
      </c>
      <c r="J18" s="247"/>
      <c r="K18" s="247"/>
      <c r="L18" s="247"/>
      <c r="M18" s="247"/>
      <c r="N18" s="247"/>
    </row>
    <row r="19" spans="1:14" x14ac:dyDescent="0.25">
      <c r="A19" s="342"/>
      <c r="B19" s="350" t="s">
        <v>2565</v>
      </c>
      <c r="C19" s="351">
        <f t="shared" ref="C19:H19" si="3">SUM(C9:C18)</f>
        <v>15012.074770861269</v>
      </c>
      <c r="D19" s="351">
        <f t="shared" si="3"/>
        <v>18329.735238699523</v>
      </c>
      <c r="E19" s="351">
        <f t="shared" si="3"/>
        <v>5720.4824159872151</v>
      </c>
      <c r="F19" s="351">
        <f t="shared" si="3"/>
        <v>3600.4337938338758</v>
      </c>
      <c r="G19" s="351">
        <f t="shared" si="3"/>
        <v>2904.9845364109206</v>
      </c>
      <c r="H19" s="351">
        <f t="shared" si="3"/>
        <v>45567.710755792803</v>
      </c>
      <c r="I19" s="360">
        <f>H19/$H$20</f>
        <v>0.66438475172887157</v>
      </c>
      <c r="J19" s="247"/>
      <c r="K19" s="247"/>
      <c r="L19" s="247"/>
      <c r="M19" s="247"/>
      <c r="N19" s="247"/>
    </row>
    <row r="20" spans="1:14" x14ac:dyDescent="0.25">
      <c r="A20" s="355"/>
      <c r="B20" s="356" t="s">
        <v>2566</v>
      </c>
      <c r="C20" s="351">
        <f t="shared" ref="C20:H20" si="4">+C8+C19</f>
        <v>23983.029999999984</v>
      </c>
      <c r="D20" s="351">
        <f t="shared" si="4"/>
        <v>25410.130000000019</v>
      </c>
      <c r="E20" s="351">
        <f t="shared" si="4"/>
        <v>10837.219999999998</v>
      </c>
      <c r="F20" s="351">
        <f t="shared" si="4"/>
        <v>4624.6125024044031</v>
      </c>
      <c r="G20" s="351">
        <f t="shared" si="4"/>
        <v>3731.335882188775</v>
      </c>
      <c r="H20" s="351">
        <f t="shared" si="4"/>
        <v>68586.328384593187</v>
      </c>
      <c r="I20" s="360">
        <f>H20/$H$20</f>
        <v>1</v>
      </c>
      <c r="J20" s="247"/>
      <c r="K20" s="247"/>
      <c r="L20" s="247"/>
      <c r="M20" s="247"/>
      <c r="N20" s="247"/>
    </row>
    <row r="21" spans="1:14" x14ac:dyDescent="0.25">
      <c r="A21" s="247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</row>
    <row r="22" spans="1:14" x14ac:dyDescent="0.25">
      <c r="A22" s="247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</row>
    <row r="23" spans="1:14" x14ac:dyDescent="0.25">
      <c r="A23" s="247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</row>
    <row r="24" spans="1:14" x14ac:dyDescent="0.25">
      <c r="A24" s="247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</row>
    <row r="25" spans="1:14" x14ac:dyDescent="0.25">
      <c r="A25" s="247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</row>
    <row r="26" spans="1:14" x14ac:dyDescent="0.25">
      <c r="A26" s="247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</row>
    <row r="27" spans="1:14" x14ac:dyDescent="0.25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</row>
    <row r="28" spans="1:14" x14ac:dyDescent="0.25">
      <c r="A28" s="247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</row>
    <row r="29" spans="1:14" x14ac:dyDescent="0.25">
      <c r="A29" s="247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</row>
    <row r="30" spans="1:14" x14ac:dyDescent="0.25">
      <c r="A30" s="247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</row>
    <row r="31" spans="1:14" x14ac:dyDescent="0.25">
      <c r="A31" s="247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</row>
    <row r="32" spans="1:14" x14ac:dyDescent="0.25">
      <c r="A32" s="247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</row>
    <row r="33" spans="1:14" x14ac:dyDescent="0.25">
      <c r="A33" s="247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</row>
    <row r="34" spans="1:14" x14ac:dyDescent="0.25">
      <c r="A34" s="247"/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</row>
    <row r="35" spans="1:14" x14ac:dyDescent="0.25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</row>
    <row r="36" spans="1:14" x14ac:dyDescent="0.25">
      <c r="A36" s="247"/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</row>
    <row r="37" spans="1:14" x14ac:dyDescent="0.25">
      <c r="A37" s="247"/>
      <c r="B37" s="247"/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</row>
    <row r="38" spans="1:14" x14ac:dyDescent="0.25">
      <c r="A38" s="247"/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</row>
    <row r="39" spans="1:14" x14ac:dyDescent="0.25">
      <c r="A39" s="247"/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</row>
    <row r="40" spans="1:14" x14ac:dyDescent="0.25">
      <c r="A40" s="247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</row>
    <row r="41" spans="1:14" x14ac:dyDescent="0.25">
      <c r="A41" s="247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</row>
    <row r="42" spans="1:14" x14ac:dyDescent="0.25">
      <c r="A42" s="247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</row>
    <row r="43" spans="1:14" x14ac:dyDescent="0.25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</row>
    <row r="44" spans="1:14" x14ac:dyDescent="0.25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</row>
    <row r="45" spans="1:14" x14ac:dyDescent="0.25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</row>
    <row r="46" spans="1:14" x14ac:dyDescent="0.25">
      <c r="A46" s="247"/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</row>
    <row r="47" spans="1:14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</row>
    <row r="48" spans="1:14" x14ac:dyDescent="0.25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</row>
    <row r="49" spans="1:14" x14ac:dyDescent="0.25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</row>
    <row r="50" spans="1:14" x14ac:dyDescent="0.25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</row>
    <row r="51" spans="1:14" x14ac:dyDescent="0.25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</row>
    <row r="52" spans="1:14" x14ac:dyDescent="0.25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</row>
    <row r="53" spans="1:14" x14ac:dyDescent="0.25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</row>
    <row r="54" spans="1:14" x14ac:dyDescent="0.25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</row>
    <row r="55" spans="1:14" x14ac:dyDescent="0.25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</row>
    <row r="56" spans="1:14" x14ac:dyDescent="0.25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</row>
    <row r="57" spans="1:14" x14ac:dyDescent="0.25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</row>
    <row r="58" spans="1:14" x14ac:dyDescent="0.25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</row>
    <row r="59" spans="1:14" x14ac:dyDescent="0.25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</row>
    <row r="60" spans="1:14" x14ac:dyDescent="0.25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</row>
    <row r="61" spans="1:14" x14ac:dyDescent="0.25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</row>
    <row r="62" spans="1:14" x14ac:dyDescent="0.25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</row>
    <row r="63" spans="1:14" x14ac:dyDescent="0.25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</row>
    <row r="64" spans="1:14" x14ac:dyDescent="0.25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</row>
    <row r="65" spans="1:14" x14ac:dyDescent="0.25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</row>
  </sheetData>
  <pageMargins left="0.25" right="0.25" top="0.75" bottom="0.75" header="0.3" footer="0.3"/>
  <pageSetup fitToHeight="0" orientation="landscape" r:id="rId1"/>
  <headerFooter>
    <oddFooter>&amp;L&amp;D&amp;C&amp;A&amp;RPage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1"/>
  <sheetViews>
    <sheetView workbookViewId="0">
      <selection activeCell="B5" sqref="B5"/>
    </sheetView>
  </sheetViews>
  <sheetFormatPr defaultRowHeight="15.75" x14ac:dyDescent="0.25"/>
  <cols>
    <col min="1" max="1" width="5.6640625" customWidth="1"/>
    <col min="2" max="2" width="23.21875" customWidth="1"/>
    <col min="3" max="5" width="9" bestFit="1" customWidth="1"/>
    <col min="6" max="6" width="5.21875" customWidth="1"/>
    <col min="7" max="7" width="6.33203125" customWidth="1"/>
    <col min="8" max="9" width="9" bestFit="1" customWidth="1"/>
    <col min="10" max="10" width="12" customWidth="1"/>
    <col min="11" max="11" width="6.6640625" customWidth="1"/>
    <col min="12" max="12" width="10.88671875" bestFit="1" customWidth="1"/>
    <col min="13" max="13" width="11.88671875" bestFit="1" customWidth="1"/>
    <col min="14" max="14" width="9" bestFit="1" customWidth="1"/>
    <col min="15" max="15" width="2" customWidth="1"/>
    <col min="16" max="17" width="9" bestFit="1" customWidth="1"/>
    <col min="18" max="18" width="11.88671875" bestFit="1" customWidth="1"/>
    <col min="19" max="19" width="10.88671875" bestFit="1" customWidth="1"/>
    <col min="20" max="20" width="11.88671875" bestFit="1" customWidth="1"/>
    <col min="21" max="21" width="9" bestFit="1" customWidth="1"/>
  </cols>
  <sheetData>
    <row r="1" spans="1:21" x14ac:dyDescent="0.25">
      <c r="A1" s="381"/>
      <c r="B1" s="368" t="s">
        <v>345</v>
      </c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</row>
    <row r="2" spans="1:21" x14ac:dyDescent="0.25">
      <c r="A2" s="381"/>
      <c r="B2" s="368" t="s">
        <v>2567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</row>
    <row r="3" spans="1:21" x14ac:dyDescent="0.25">
      <c r="A3" s="381"/>
      <c r="B3" s="382" t="s">
        <v>2568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</row>
    <row r="4" spans="1:21" ht="16.5" thickBot="1" x14ac:dyDescent="0.3">
      <c r="A4" s="381"/>
      <c r="B4" s="383" t="s">
        <v>2569</v>
      </c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</row>
    <row r="5" spans="1:21" ht="16.5" thickBot="1" x14ac:dyDescent="0.3">
      <c r="A5" s="381"/>
      <c r="B5" s="384"/>
      <c r="C5" s="624" t="s">
        <v>2570</v>
      </c>
      <c r="D5" s="625"/>
      <c r="E5" s="625"/>
      <c r="F5" s="625"/>
      <c r="G5" s="625"/>
      <c r="H5" s="626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</row>
    <row r="6" spans="1:21" ht="16.5" thickBot="1" x14ac:dyDescent="0.3">
      <c r="A6" s="381"/>
      <c r="B6" s="384"/>
      <c r="C6" s="386">
        <v>32</v>
      </c>
      <c r="D6" s="387">
        <v>64</v>
      </c>
      <c r="E6" s="387">
        <v>96</v>
      </c>
      <c r="F6" s="387" t="s">
        <v>2571</v>
      </c>
      <c r="G6" s="387">
        <v>220</v>
      </c>
      <c r="H6" s="388">
        <v>300</v>
      </c>
      <c r="I6" s="389" t="s">
        <v>2572</v>
      </c>
      <c r="J6" s="390" t="s">
        <v>2573</v>
      </c>
      <c r="K6" s="390" t="s">
        <v>53</v>
      </c>
      <c r="L6" s="391" t="s">
        <v>2574</v>
      </c>
      <c r="M6" s="391" t="s">
        <v>2575</v>
      </c>
      <c r="N6" s="392" t="s">
        <v>2576</v>
      </c>
      <c r="O6" s="385"/>
      <c r="P6" s="369" t="s">
        <v>2577</v>
      </c>
      <c r="Q6" s="369" t="s">
        <v>2578</v>
      </c>
      <c r="R6" s="370" t="s">
        <v>2579</v>
      </c>
      <c r="S6" s="370" t="s">
        <v>2580</v>
      </c>
      <c r="T6" s="370" t="s">
        <v>2581</v>
      </c>
      <c r="U6" s="385"/>
    </row>
    <row r="7" spans="1:21" x14ac:dyDescent="0.25">
      <c r="A7" s="381"/>
      <c r="B7" s="371" t="s">
        <v>2582</v>
      </c>
      <c r="C7" s="385"/>
      <c r="D7" s="385"/>
      <c r="E7" s="385"/>
      <c r="F7" s="385"/>
      <c r="G7" s="385"/>
      <c r="H7" s="372">
        <v>2.9</v>
      </c>
      <c r="I7" s="373">
        <v>1.5</v>
      </c>
      <c r="J7" s="385"/>
      <c r="K7" s="385"/>
      <c r="L7" s="385"/>
      <c r="M7" s="385"/>
      <c r="N7" s="385"/>
      <c r="O7" s="385"/>
      <c r="P7" s="385"/>
      <c r="Q7" s="385"/>
      <c r="R7" s="385"/>
      <c r="S7" s="385"/>
      <c r="T7" s="385"/>
      <c r="U7" s="385"/>
    </row>
    <row r="8" spans="1:21" x14ac:dyDescent="0.25">
      <c r="A8" s="393" t="s">
        <v>2583</v>
      </c>
      <c r="B8" s="385" t="s">
        <v>2584</v>
      </c>
      <c r="C8" s="394">
        <v>40</v>
      </c>
      <c r="D8" s="394">
        <v>1657</v>
      </c>
      <c r="E8" s="394">
        <v>10148</v>
      </c>
      <c r="F8" s="394">
        <v>0</v>
      </c>
      <c r="G8" s="394">
        <v>0</v>
      </c>
      <c r="H8" s="394">
        <v>34</v>
      </c>
      <c r="I8" s="395">
        <f>SUM(C8:E8)</f>
        <v>11845</v>
      </c>
      <c r="J8" s="396">
        <f>+(H8*H$7)+(I8*I$7)</f>
        <v>17866.099999999999</v>
      </c>
      <c r="K8" s="397">
        <v>0.08</v>
      </c>
      <c r="L8" s="396">
        <f>+J8*K8</f>
        <v>1429.288</v>
      </c>
      <c r="M8" s="398">
        <f>+J8+L8</f>
        <v>19295.387999999999</v>
      </c>
      <c r="N8" s="395">
        <f>+I8+H8+G8</f>
        <v>11879</v>
      </c>
      <c r="O8" s="385"/>
      <c r="P8" s="395">
        <f>+I8</f>
        <v>11845</v>
      </c>
      <c r="Q8" s="395">
        <f>+H8</f>
        <v>34</v>
      </c>
      <c r="R8" s="398">
        <f>+J8</f>
        <v>17866.099999999999</v>
      </c>
      <c r="S8" s="398">
        <f>+L8</f>
        <v>1429.288</v>
      </c>
      <c r="T8" s="398">
        <f>+R8+S8</f>
        <v>19295.387999999999</v>
      </c>
      <c r="U8" s="385"/>
    </row>
    <row r="9" spans="1:21" x14ac:dyDescent="0.25">
      <c r="A9" s="393" t="s">
        <v>2585</v>
      </c>
      <c r="B9" s="384" t="s">
        <v>2586</v>
      </c>
      <c r="C9" s="394">
        <v>108</v>
      </c>
      <c r="D9" s="394">
        <v>5090</v>
      </c>
      <c r="E9" s="394">
        <v>31183</v>
      </c>
      <c r="F9" s="394">
        <v>0</v>
      </c>
      <c r="G9" s="394">
        <v>0</v>
      </c>
      <c r="H9" s="394">
        <v>445</v>
      </c>
      <c r="I9" s="395">
        <f>SUM(C9:E9)</f>
        <v>36381</v>
      </c>
      <c r="J9" s="396">
        <f>+(H9*H$7)+(I9*I$7)</f>
        <v>55862</v>
      </c>
      <c r="K9" s="397">
        <v>0.08</v>
      </c>
      <c r="L9" s="396">
        <f>+J9*K9</f>
        <v>4468.96</v>
      </c>
      <c r="M9" s="398">
        <f>+J9+L9</f>
        <v>60330.96</v>
      </c>
      <c r="N9" s="395">
        <f>+I9+H9+G9</f>
        <v>36826</v>
      </c>
      <c r="O9" s="385"/>
      <c r="P9" s="395">
        <f>+I9</f>
        <v>36381</v>
      </c>
      <c r="Q9" s="395">
        <f>+H9</f>
        <v>445</v>
      </c>
      <c r="R9" s="398">
        <f>+J9</f>
        <v>55862</v>
      </c>
      <c r="S9" s="398">
        <f>+L9</f>
        <v>4468.96</v>
      </c>
      <c r="T9" s="398">
        <f>+R9+S9</f>
        <v>60330.96</v>
      </c>
      <c r="U9" s="385"/>
    </row>
    <row r="10" spans="1:21" x14ac:dyDescent="0.25">
      <c r="A10" s="393" t="s">
        <v>2587</v>
      </c>
      <c r="B10" s="384" t="s">
        <v>2588</v>
      </c>
      <c r="C10" s="394">
        <v>36</v>
      </c>
      <c r="D10" s="394">
        <v>1826</v>
      </c>
      <c r="E10" s="394">
        <v>14777</v>
      </c>
      <c r="F10" s="394">
        <v>0</v>
      </c>
      <c r="G10" s="394">
        <v>0</v>
      </c>
      <c r="H10" s="394">
        <v>83</v>
      </c>
      <c r="I10" s="395">
        <f>SUM(C10:E10)</f>
        <v>16639</v>
      </c>
      <c r="J10" s="396">
        <f>+(H10*H$7)+(I10*I$7)</f>
        <v>25199.200000000001</v>
      </c>
      <c r="K10" s="397">
        <v>8.1000000000000003E-2</v>
      </c>
      <c r="L10" s="396">
        <f>+J10*K10</f>
        <v>2041.1352000000002</v>
      </c>
      <c r="M10" s="398">
        <f>+J10+L10</f>
        <v>27240.335200000001</v>
      </c>
      <c r="N10" s="395">
        <f>+I10+H10+G10</f>
        <v>16722</v>
      </c>
      <c r="O10" s="385"/>
      <c r="P10" s="395">
        <f>+I10</f>
        <v>16639</v>
      </c>
      <c r="Q10" s="395">
        <f>+H10</f>
        <v>83</v>
      </c>
      <c r="R10" s="398">
        <f>+J10</f>
        <v>25199.200000000001</v>
      </c>
      <c r="S10" s="398">
        <f>+L10</f>
        <v>2041.1352000000002</v>
      </c>
      <c r="T10" s="398">
        <f>+R10+S10</f>
        <v>27240.335200000001</v>
      </c>
      <c r="U10" s="385"/>
    </row>
    <row r="11" spans="1:21" x14ac:dyDescent="0.25">
      <c r="A11" s="381"/>
      <c r="B11" s="385"/>
      <c r="C11" s="399">
        <f t="shared" ref="C11:H11" si="0">SUM(C8:C10)</f>
        <v>184</v>
      </c>
      <c r="D11" s="399">
        <f t="shared" si="0"/>
        <v>8573</v>
      </c>
      <c r="E11" s="399">
        <f t="shared" si="0"/>
        <v>56108</v>
      </c>
      <c r="F11" s="399">
        <f t="shared" si="0"/>
        <v>0</v>
      </c>
      <c r="G11" s="399">
        <f t="shared" si="0"/>
        <v>0</v>
      </c>
      <c r="H11" s="400">
        <f t="shared" si="0"/>
        <v>562</v>
      </c>
      <c r="I11" s="399">
        <f>SUM(I8:I10)</f>
        <v>64865</v>
      </c>
      <c r="J11" s="401">
        <f>SUM(J8:J10)</f>
        <v>98927.3</v>
      </c>
      <c r="K11" s="397"/>
      <c r="L11" s="401">
        <f>SUM(L8:L10)</f>
        <v>7939.3832000000002</v>
      </c>
      <c r="M11" s="401">
        <f>SUM(M8:M10)</f>
        <v>106866.6832</v>
      </c>
      <c r="N11" s="374">
        <f>+I11+H11+G11</f>
        <v>65427</v>
      </c>
      <c r="O11" s="385"/>
      <c r="P11" s="399">
        <f>SUM(P8:P10)</f>
        <v>64865</v>
      </c>
      <c r="Q11" s="399">
        <f>SUM(Q8:Q10)</f>
        <v>562</v>
      </c>
      <c r="R11" s="401">
        <f>SUM(R8:R10)</f>
        <v>98927.3</v>
      </c>
      <c r="S11" s="401">
        <f>SUM(S8:S10)</f>
        <v>7939.3832000000002</v>
      </c>
      <c r="T11" s="401">
        <f>SUM(T8:T10)</f>
        <v>106866.6832</v>
      </c>
      <c r="U11" s="402">
        <f>+T11/T25</f>
        <v>0.15523023185554491</v>
      </c>
    </row>
    <row r="12" spans="1:21" x14ac:dyDescent="0.25">
      <c r="A12" s="381"/>
      <c r="B12" s="375" t="s">
        <v>2589</v>
      </c>
      <c r="C12" s="385"/>
      <c r="D12" s="385"/>
      <c r="E12" s="385"/>
      <c r="F12" s="385"/>
      <c r="G12" s="385"/>
      <c r="H12" s="403"/>
      <c r="I12" s="385"/>
      <c r="J12" s="385"/>
      <c r="K12" s="397"/>
      <c r="L12" s="385"/>
      <c r="M12" s="385"/>
      <c r="N12" s="385"/>
      <c r="O12" s="385"/>
      <c r="P12" s="385"/>
      <c r="Q12" s="385"/>
      <c r="R12" s="385"/>
      <c r="S12" s="385"/>
      <c r="T12" s="385"/>
      <c r="U12" s="385"/>
    </row>
    <row r="13" spans="1:21" x14ac:dyDescent="0.25">
      <c r="A13" s="393" t="s">
        <v>2590</v>
      </c>
      <c r="B13" s="384" t="s">
        <v>2591</v>
      </c>
      <c r="C13" s="394">
        <v>74</v>
      </c>
      <c r="D13" s="394">
        <v>1425</v>
      </c>
      <c r="E13" s="394">
        <v>290481</v>
      </c>
      <c r="F13" s="394">
        <v>0</v>
      </c>
      <c r="G13" s="394">
        <v>0</v>
      </c>
      <c r="H13" s="394">
        <v>0</v>
      </c>
      <c r="I13" s="395">
        <f t="shared" ref="I13:I22" si="1">SUM(C13:E13)</f>
        <v>291980</v>
      </c>
      <c r="J13" s="396">
        <f t="shared" ref="J13:J21" si="2">+(H13*H$7)+(I13*I$7)</f>
        <v>437970</v>
      </c>
      <c r="K13" s="397">
        <v>8.5999999999999993E-2</v>
      </c>
      <c r="L13" s="396">
        <f t="shared" ref="L13:L21" si="3">+J13*K13</f>
        <v>37665.42</v>
      </c>
      <c r="M13" s="398">
        <f t="shared" ref="M13:M21" si="4">+J13+L13</f>
        <v>475635.42</v>
      </c>
      <c r="N13" s="395">
        <f t="shared" ref="N13:N21" si="5">+I13+H13+G13</f>
        <v>291980</v>
      </c>
      <c r="O13" s="385"/>
      <c r="P13" s="395">
        <f t="shared" ref="P13:P22" si="6">+I13</f>
        <v>291980</v>
      </c>
      <c r="Q13" s="395">
        <f t="shared" ref="Q13:Q22" si="7">+H13</f>
        <v>0</v>
      </c>
      <c r="R13" s="398">
        <f t="shared" ref="R13:R22" si="8">+J13</f>
        <v>437970</v>
      </c>
      <c r="S13" s="398">
        <f t="shared" ref="S13:S22" si="9">+L13</f>
        <v>37665.42</v>
      </c>
      <c r="T13" s="398">
        <f t="shared" ref="T13:T22" si="10">+R13+S13</f>
        <v>475635.42</v>
      </c>
      <c r="U13" s="402">
        <f>+T13/$T$25</f>
        <v>0.69088881880175612</v>
      </c>
    </row>
    <row r="14" spans="1:21" x14ac:dyDescent="0.25">
      <c r="A14" s="393" t="s">
        <v>650</v>
      </c>
      <c r="B14" s="385" t="s">
        <v>2592</v>
      </c>
      <c r="C14" s="394">
        <v>0</v>
      </c>
      <c r="D14" s="394">
        <v>91</v>
      </c>
      <c r="E14" s="394">
        <v>1129</v>
      </c>
      <c r="F14" s="394">
        <v>0</v>
      </c>
      <c r="G14" s="394">
        <v>0</v>
      </c>
      <c r="H14" s="394">
        <v>0</v>
      </c>
      <c r="I14" s="395">
        <f t="shared" si="1"/>
        <v>1220</v>
      </c>
      <c r="J14" s="396">
        <f t="shared" si="2"/>
        <v>1830</v>
      </c>
      <c r="K14" s="397">
        <v>8.5999999999999993E-2</v>
      </c>
      <c r="L14" s="396">
        <f t="shared" si="3"/>
        <v>157.38</v>
      </c>
      <c r="M14" s="398">
        <f t="shared" si="4"/>
        <v>1987.38</v>
      </c>
      <c r="N14" s="395">
        <f t="shared" si="5"/>
        <v>1220</v>
      </c>
      <c r="O14" s="385"/>
      <c r="P14" s="395">
        <f t="shared" si="6"/>
        <v>1220</v>
      </c>
      <c r="Q14" s="395">
        <f t="shared" si="7"/>
        <v>0</v>
      </c>
      <c r="R14" s="398">
        <f t="shared" si="8"/>
        <v>1830</v>
      </c>
      <c r="S14" s="398">
        <f t="shared" si="9"/>
        <v>157.38</v>
      </c>
      <c r="T14" s="398">
        <f t="shared" si="10"/>
        <v>1987.38</v>
      </c>
      <c r="U14" s="402">
        <f t="shared" ref="U14:U21" si="11">+T14/$T$25</f>
        <v>2.8867879955412788E-3</v>
      </c>
    </row>
    <row r="15" spans="1:21" x14ac:dyDescent="0.25">
      <c r="A15" s="393" t="s">
        <v>2593</v>
      </c>
      <c r="B15" s="385" t="s">
        <v>2594</v>
      </c>
      <c r="C15" s="394">
        <v>0</v>
      </c>
      <c r="D15" s="394">
        <v>0</v>
      </c>
      <c r="E15" s="394">
        <v>10766</v>
      </c>
      <c r="F15" s="394">
        <v>0</v>
      </c>
      <c r="G15" s="394">
        <v>0</v>
      </c>
      <c r="H15" s="394">
        <v>84</v>
      </c>
      <c r="I15" s="395">
        <f t="shared" si="1"/>
        <v>10766</v>
      </c>
      <c r="J15" s="396">
        <f>+(H15*H$7)+(I15*I$7)</f>
        <v>16392.599999999999</v>
      </c>
      <c r="K15" s="397">
        <v>0.08</v>
      </c>
      <c r="L15" s="396">
        <f t="shared" si="3"/>
        <v>1311.4079999999999</v>
      </c>
      <c r="M15" s="398">
        <f t="shared" si="4"/>
        <v>17704.007999999998</v>
      </c>
      <c r="N15" s="395">
        <f t="shared" si="5"/>
        <v>10850</v>
      </c>
      <c r="O15" s="385"/>
      <c r="P15" s="395">
        <f t="shared" si="6"/>
        <v>10766</v>
      </c>
      <c r="Q15" s="395">
        <f t="shared" si="7"/>
        <v>84</v>
      </c>
      <c r="R15" s="398">
        <f t="shared" si="8"/>
        <v>16392.599999999999</v>
      </c>
      <c r="S15" s="398">
        <f t="shared" si="9"/>
        <v>1311.4079999999999</v>
      </c>
      <c r="T15" s="398">
        <f t="shared" si="10"/>
        <v>17704.007999999998</v>
      </c>
      <c r="U15" s="402">
        <f t="shared" si="11"/>
        <v>2.571612764914951E-2</v>
      </c>
    </row>
    <row r="16" spans="1:21" x14ac:dyDescent="0.25">
      <c r="A16" s="393" t="s">
        <v>849</v>
      </c>
      <c r="B16" s="385" t="s">
        <v>2595</v>
      </c>
      <c r="C16" s="394">
        <v>0</v>
      </c>
      <c r="D16" s="394">
        <v>12</v>
      </c>
      <c r="E16" s="394">
        <v>13426</v>
      </c>
      <c r="F16" s="394">
        <v>0</v>
      </c>
      <c r="G16" s="394">
        <v>0</v>
      </c>
      <c r="H16" s="394">
        <v>455</v>
      </c>
      <c r="I16" s="395">
        <f t="shared" si="1"/>
        <v>13438</v>
      </c>
      <c r="J16" s="396">
        <f t="shared" si="2"/>
        <v>21476.5</v>
      </c>
      <c r="K16" s="397">
        <v>8.1000000000000003E-2</v>
      </c>
      <c r="L16" s="396">
        <f t="shared" si="3"/>
        <v>1739.5965000000001</v>
      </c>
      <c r="M16" s="398">
        <f t="shared" si="4"/>
        <v>23216.0965</v>
      </c>
      <c r="N16" s="395">
        <f t="shared" si="5"/>
        <v>13893</v>
      </c>
      <c r="O16" s="385"/>
      <c r="P16" s="395">
        <f t="shared" si="6"/>
        <v>13438</v>
      </c>
      <c r="Q16" s="395">
        <f t="shared" si="7"/>
        <v>455</v>
      </c>
      <c r="R16" s="398">
        <f t="shared" si="8"/>
        <v>21476.5</v>
      </c>
      <c r="S16" s="398">
        <f t="shared" si="9"/>
        <v>1739.5965000000001</v>
      </c>
      <c r="T16" s="398">
        <f t="shared" si="10"/>
        <v>23216.0965</v>
      </c>
      <c r="U16" s="402">
        <f t="shared" si="11"/>
        <v>3.3722764986830848E-2</v>
      </c>
    </row>
    <row r="17" spans="1:21" x14ac:dyDescent="0.25">
      <c r="A17" s="393">
        <v>10</v>
      </c>
      <c r="B17" s="385" t="s">
        <v>2596</v>
      </c>
      <c r="C17" s="394">
        <v>0</v>
      </c>
      <c r="D17" s="394">
        <v>0</v>
      </c>
      <c r="E17" s="394">
        <v>480</v>
      </c>
      <c r="F17" s="394">
        <v>0</v>
      </c>
      <c r="G17" s="394">
        <v>0</v>
      </c>
      <c r="H17" s="394">
        <v>0</v>
      </c>
      <c r="I17" s="395">
        <f t="shared" si="1"/>
        <v>480</v>
      </c>
      <c r="J17" s="396">
        <f t="shared" si="2"/>
        <v>720</v>
      </c>
      <c r="K17" s="397">
        <v>7.6999999999999999E-2</v>
      </c>
      <c r="L17" s="396">
        <f t="shared" si="3"/>
        <v>55.44</v>
      </c>
      <c r="M17" s="398">
        <f t="shared" si="4"/>
        <v>775.44</v>
      </c>
      <c r="N17" s="395">
        <f t="shared" si="5"/>
        <v>480</v>
      </c>
      <c r="O17" s="385"/>
      <c r="P17" s="395">
        <f t="shared" si="6"/>
        <v>480</v>
      </c>
      <c r="Q17" s="395">
        <f t="shared" si="7"/>
        <v>0</v>
      </c>
      <c r="R17" s="398">
        <f t="shared" si="8"/>
        <v>720</v>
      </c>
      <c r="S17" s="398">
        <f t="shared" si="9"/>
        <v>55.44</v>
      </c>
      <c r="T17" s="398">
        <f t="shared" si="10"/>
        <v>775.44</v>
      </c>
      <c r="U17" s="402">
        <f t="shared" si="11"/>
        <v>1.1263728543421637E-3</v>
      </c>
    </row>
    <row r="18" spans="1:21" x14ac:dyDescent="0.25">
      <c r="A18" s="393" t="s">
        <v>2597</v>
      </c>
      <c r="B18" s="385" t="s">
        <v>2598</v>
      </c>
      <c r="C18" s="394">
        <v>0</v>
      </c>
      <c r="D18" s="394">
        <v>0</v>
      </c>
      <c r="E18" s="394">
        <v>984</v>
      </c>
      <c r="F18" s="394">
        <v>0</v>
      </c>
      <c r="G18" s="394">
        <v>0</v>
      </c>
      <c r="H18" s="394">
        <v>84</v>
      </c>
      <c r="I18" s="395">
        <f t="shared" si="1"/>
        <v>984</v>
      </c>
      <c r="J18" s="396">
        <f t="shared" si="2"/>
        <v>1719.6</v>
      </c>
      <c r="K18" s="397">
        <v>0.08</v>
      </c>
      <c r="L18" s="396">
        <f t="shared" si="3"/>
        <v>137.56799999999998</v>
      </c>
      <c r="M18" s="398">
        <f t="shared" si="4"/>
        <v>1857.1679999999999</v>
      </c>
      <c r="N18" s="395">
        <f t="shared" si="5"/>
        <v>1068</v>
      </c>
      <c r="O18" s="385"/>
      <c r="P18" s="395">
        <f t="shared" si="6"/>
        <v>984</v>
      </c>
      <c r="Q18" s="395">
        <f t="shared" si="7"/>
        <v>84</v>
      </c>
      <c r="R18" s="398">
        <f t="shared" si="8"/>
        <v>1719.6</v>
      </c>
      <c r="S18" s="398">
        <f t="shared" si="9"/>
        <v>137.56799999999998</v>
      </c>
      <c r="T18" s="398">
        <f t="shared" si="10"/>
        <v>1857.1679999999999</v>
      </c>
      <c r="U18" s="402">
        <f t="shared" si="11"/>
        <v>2.6976472985052705E-3</v>
      </c>
    </row>
    <row r="19" spans="1:21" x14ac:dyDescent="0.25">
      <c r="A19" s="393" t="s">
        <v>2599</v>
      </c>
      <c r="B19" s="385" t="s">
        <v>2600</v>
      </c>
      <c r="C19" s="394">
        <v>0</v>
      </c>
      <c r="D19" s="394">
        <v>12</v>
      </c>
      <c r="E19" s="394">
        <v>1608</v>
      </c>
      <c r="F19" s="394">
        <v>0</v>
      </c>
      <c r="G19" s="394">
        <v>0</v>
      </c>
      <c r="H19" s="394">
        <v>0</v>
      </c>
      <c r="I19" s="395">
        <f t="shared" si="1"/>
        <v>1620</v>
      </c>
      <c r="J19" s="396">
        <f t="shared" si="2"/>
        <v>2430</v>
      </c>
      <c r="K19" s="397">
        <v>0.08</v>
      </c>
      <c r="L19" s="396">
        <f t="shared" si="3"/>
        <v>194.4</v>
      </c>
      <c r="M19" s="398">
        <f t="shared" si="4"/>
        <v>2624.4</v>
      </c>
      <c r="N19" s="395">
        <f t="shared" si="5"/>
        <v>1620</v>
      </c>
      <c r="O19" s="385"/>
      <c r="P19" s="395">
        <f t="shared" si="6"/>
        <v>1620</v>
      </c>
      <c r="Q19" s="395">
        <f t="shared" si="7"/>
        <v>0</v>
      </c>
      <c r="R19" s="398">
        <f t="shared" si="8"/>
        <v>2430</v>
      </c>
      <c r="S19" s="398">
        <f t="shared" si="9"/>
        <v>194.4</v>
      </c>
      <c r="T19" s="398">
        <f t="shared" si="10"/>
        <v>2624.4</v>
      </c>
      <c r="U19" s="402">
        <f t="shared" si="11"/>
        <v>3.8120975432471551E-3</v>
      </c>
    </row>
    <row r="20" spans="1:21" x14ac:dyDescent="0.25">
      <c r="A20" s="393" t="s">
        <v>2601</v>
      </c>
      <c r="B20" s="385" t="s">
        <v>2602</v>
      </c>
      <c r="C20" s="394">
        <v>0</v>
      </c>
      <c r="D20" s="394">
        <v>411</v>
      </c>
      <c r="E20" s="394">
        <v>25458</v>
      </c>
      <c r="F20" s="394">
        <v>0</v>
      </c>
      <c r="G20" s="394">
        <v>0</v>
      </c>
      <c r="H20" s="394">
        <v>24</v>
      </c>
      <c r="I20" s="395">
        <f t="shared" si="1"/>
        <v>25869</v>
      </c>
      <c r="J20" s="396">
        <f t="shared" si="2"/>
        <v>38873.1</v>
      </c>
      <c r="K20" s="397">
        <v>8.5999999999999993E-2</v>
      </c>
      <c r="L20" s="396">
        <f t="shared" si="3"/>
        <v>3343.0865999999996</v>
      </c>
      <c r="M20" s="398">
        <f t="shared" si="4"/>
        <v>42216.186600000001</v>
      </c>
      <c r="N20" s="395">
        <f t="shared" si="5"/>
        <v>25893</v>
      </c>
      <c r="O20" s="385"/>
      <c r="P20" s="395">
        <f t="shared" si="6"/>
        <v>25869</v>
      </c>
      <c r="Q20" s="395">
        <f t="shared" si="7"/>
        <v>24</v>
      </c>
      <c r="R20" s="398">
        <f t="shared" si="8"/>
        <v>38873.1</v>
      </c>
      <c r="S20" s="398">
        <f t="shared" si="9"/>
        <v>3343.0865999999996</v>
      </c>
      <c r="T20" s="398">
        <f t="shared" si="10"/>
        <v>42216.186600000001</v>
      </c>
      <c r="U20" s="402">
        <f t="shared" si="11"/>
        <v>6.1321529196434799E-2</v>
      </c>
    </row>
    <row r="21" spans="1:21" x14ac:dyDescent="0.25">
      <c r="A21" s="393" t="s">
        <v>847</v>
      </c>
      <c r="B21" s="385" t="s">
        <v>2603</v>
      </c>
      <c r="C21" s="394">
        <v>0</v>
      </c>
      <c r="D21" s="394">
        <v>0</v>
      </c>
      <c r="E21" s="394">
        <v>9394</v>
      </c>
      <c r="F21" s="394">
        <v>0</v>
      </c>
      <c r="G21" s="394">
        <v>0</v>
      </c>
      <c r="H21" s="394">
        <v>99</v>
      </c>
      <c r="I21" s="395">
        <f t="shared" si="1"/>
        <v>9394</v>
      </c>
      <c r="J21" s="396">
        <f t="shared" si="2"/>
        <v>14378.1</v>
      </c>
      <c r="K21" s="397">
        <v>8.2000000000000003E-2</v>
      </c>
      <c r="L21" s="396">
        <f t="shared" si="3"/>
        <v>1179.0042000000001</v>
      </c>
      <c r="M21" s="398">
        <f t="shared" si="4"/>
        <v>15557.1042</v>
      </c>
      <c r="N21" s="395">
        <f t="shared" si="5"/>
        <v>9493</v>
      </c>
      <c r="O21" s="385"/>
      <c r="P21" s="395">
        <f t="shared" si="6"/>
        <v>9394</v>
      </c>
      <c r="Q21" s="395">
        <f t="shared" si="7"/>
        <v>99</v>
      </c>
      <c r="R21" s="398">
        <f t="shared" si="8"/>
        <v>14378.1</v>
      </c>
      <c r="S21" s="398">
        <f t="shared" si="9"/>
        <v>1179.0042000000001</v>
      </c>
      <c r="T21" s="398">
        <f t="shared" si="10"/>
        <v>15557.1042</v>
      </c>
      <c r="U21" s="402">
        <f t="shared" si="11"/>
        <v>2.2597621818648071E-2</v>
      </c>
    </row>
    <row r="22" spans="1:21" x14ac:dyDescent="0.25">
      <c r="A22" s="393"/>
      <c r="B22" s="385"/>
      <c r="C22" s="394">
        <v>0</v>
      </c>
      <c r="D22" s="394">
        <v>0</v>
      </c>
      <c r="E22" s="394">
        <v>0</v>
      </c>
      <c r="F22" s="394">
        <v>0</v>
      </c>
      <c r="G22" s="394">
        <v>0</v>
      </c>
      <c r="H22" s="394">
        <v>0</v>
      </c>
      <c r="I22" s="395">
        <f t="shared" si="1"/>
        <v>0</v>
      </c>
      <c r="J22" s="385"/>
      <c r="K22" s="397"/>
      <c r="L22" s="385"/>
      <c r="M22" s="385"/>
      <c r="N22" s="385"/>
      <c r="O22" s="385"/>
      <c r="P22" s="395">
        <f t="shared" si="6"/>
        <v>0</v>
      </c>
      <c r="Q22" s="395">
        <f t="shared" si="7"/>
        <v>0</v>
      </c>
      <c r="R22" s="398">
        <f t="shared" si="8"/>
        <v>0</v>
      </c>
      <c r="S22" s="398">
        <f t="shared" si="9"/>
        <v>0</v>
      </c>
      <c r="T22" s="398">
        <f t="shared" si="10"/>
        <v>0</v>
      </c>
      <c r="U22" s="385"/>
    </row>
    <row r="23" spans="1:21" x14ac:dyDescent="0.25">
      <c r="A23" s="393"/>
      <c r="B23" s="385"/>
      <c r="C23" s="404">
        <f>SUM(C13:C22)</f>
        <v>74</v>
      </c>
      <c r="D23" s="404">
        <f>SUM(D13:D22)</f>
        <v>1951</v>
      </c>
      <c r="E23" s="404">
        <f>SUM(E13:E22)</f>
        <v>353726</v>
      </c>
      <c r="F23" s="404"/>
      <c r="G23" s="404">
        <f>SUM(G13:G22)</f>
        <v>0</v>
      </c>
      <c r="H23" s="405">
        <f>SUM(H13:H22)</f>
        <v>746</v>
      </c>
      <c r="I23" s="406">
        <f>SUM(I13:I22)</f>
        <v>355751</v>
      </c>
      <c r="J23" s="401">
        <f>SUM(J13:J22)</f>
        <v>535789.89999999991</v>
      </c>
      <c r="K23" s="401"/>
      <c r="L23" s="401">
        <f>SUM(L13:L22)</f>
        <v>45783.303300000007</v>
      </c>
      <c r="M23" s="401">
        <f>SUM(M13:M22)</f>
        <v>581573.20329999994</v>
      </c>
      <c r="N23" s="374">
        <f>+I23+H23+G23</f>
        <v>356497</v>
      </c>
      <c r="O23" s="385"/>
      <c r="P23" s="404">
        <f>SUM(P13:P22)</f>
        <v>355751</v>
      </c>
      <c r="Q23" s="404">
        <f>SUM(Q13:Q22)</f>
        <v>746</v>
      </c>
      <c r="R23" s="401">
        <f>SUM(R13:R22)</f>
        <v>535789.89999999991</v>
      </c>
      <c r="S23" s="401">
        <f>SUM(S13:S22)</f>
        <v>45783.303300000007</v>
      </c>
      <c r="T23" s="401">
        <f>SUM(T13:T22)</f>
        <v>581573.20329999994</v>
      </c>
      <c r="U23" s="402">
        <f>+T23/T25</f>
        <v>0.84476976814445515</v>
      </c>
    </row>
    <row r="24" spans="1:21" x14ac:dyDescent="0.25">
      <c r="A24" s="393"/>
      <c r="B24" s="385"/>
      <c r="C24" s="385"/>
      <c r="D24" s="385"/>
      <c r="E24" s="385"/>
      <c r="F24" s="385"/>
      <c r="G24" s="385"/>
      <c r="H24" s="403"/>
      <c r="I24" s="385"/>
      <c r="J24" s="385"/>
      <c r="K24" s="397"/>
      <c r="L24" s="385"/>
      <c r="M24" s="385"/>
      <c r="N24" s="385"/>
      <c r="O24" s="385"/>
      <c r="P24" s="385"/>
      <c r="Q24" s="385"/>
      <c r="R24" s="385"/>
      <c r="S24" s="385"/>
      <c r="T24" s="385"/>
      <c r="U24" s="385"/>
    </row>
    <row r="25" spans="1:21" x14ac:dyDescent="0.25">
      <c r="A25" s="393"/>
      <c r="B25" s="376" t="s">
        <v>2604</v>
      </c>
      <c r="C25" s="377">
        <f>+C23+C11</f>
        <v>258</v>
      </c>
      <c r="D25" s="377">
        <f>+D23+D11</f>
        <v>10524</v>
      </c>
      <c r="E25" s="377">
        <f>+E23+E11</f>
        <v>409834</v>
      </c>
      <c r="F25" s="377"/>
      <c r="G25" s="377">
        <f>+G23+G11</f>
        <v>0</v>
      </c>
      <c r="H25" s="378">
        <f>+H23+H11</f>
        <v>1308</v>
      </c>
      <c r="I25" s="377">
        <f>+I23+I11</f>
        <v>420616</v>
      </c>
      <c r="J25" s="379">
        <f>+J11+J23</f>
        <v>634717.19999999995</v>
      </c>
      <c r="K25" s="380"/>
      <c r="L25" s="373">
        <f>+L11+L23</f>
        <v>53722.686500000011</v>
      </c>
      <c r="M25" s="373">
        <f>+M11+M23</f>
        <v>688439.88649999991</v>
      </c>
      <c r="N25" s="395">
        <f>+N11+N23</f>
        <v>421924</v>
      </c>
      <c r="O25" s="394"/>
      <c r="P25" s="377">
        <f>+P23+P11</f>
        <v>420616</v>
      </c>
      <c r="Q25" s="377">
        <f>+Q23+Q11</f>
        <v>1308</v>
      </c>
      <c r="R25" s="373">
        <f>+R11+R23</f>
        <v>634717.19999999995</v>
      </c>
      <c r="S25" s="373">
        <f>+S11+S23</f>
        <v>53722.686500000011</v>
      </c>
      <c r="T25" s="373">
        <f>+T11+T23</f>
        <v>688439.88649999991</v>
      </c>
      <c r="U25" s="385"/>
    </row>
    <row r="26" spans="1:21" x14ac:dyDescent="0.25">
      <c r="A26" s="385"/>
      <c r="B26" s="385"/>
      <c r="C26" s="385"/>
      <c r="D26" s="385"/>
      <c r="E26" s="385"/>
      <c r="F26" s="385"/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</row>
    <row r="27" spans="1:21" x14ac:dyDescent="0.25">
      <c r="A27" s="385"/>
      <c r="B27" s="385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</row>
    <row r="28" spans="1:21" x14ac:dyDescent="0.25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</row>
    <row r="29" spans="1:21" x14ac:dyDescent="0.25">
      <c r="A29" s="385"/>
      <c r="B29" s="385"/>
      <c r="C29" s="385"/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</row>
    <row r="30" spans="1:21" x14ac:dyDescent="0.25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</row>
    <row r="31" spans="1:21" x14ac:dyDescent="0.25">
      <c r="A31" s="385"/>
      <c r="B31" s="385"/>
      <c r="C31" s="385"/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</row>
    <row r="32" spans="1:21" x14ac:dyDescent="0.25">
      <c r="A32" s="385"/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</row>
    <row r="33" spans="1:21" x14ac:dyDescent="0.25">
      <c r="A33" s="385"/>
      <c r="B33" s="385"/>
      <c r="C33" s="385"/>
      <c r="D33" s="385"/>
      <c r="E33" s="385"/>
      <c r="F33" s="385"/>
      <c r="G33" s="385"/>
      <c r="H33" s="38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</row>
    <row r="34" spans="1:21" x14ac:dyDescent="0.25">
      <c r="A34" s="385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</row>
    <row r="35" spans="1:21" x14ac:dyDescent="0.25">
      <c r="A35" s="385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</row>
    <row r="36" spans="1:21" x14ac:dyDescent="0.25">
      <c r="A36" s="385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</row>
    <row r="37" spans="1:21" x14ac:dyDescent="0.25">
      <c r="A37" s="385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</row>
    <row r="38" spans="1:21" x14ac:dyDescent="0.25">
      <c r="A38" s="385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</row>
    <row r="39" spans="1:21" x14ac:dyDescent="0.25">
      <c r="A39" s="385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</row>
    <row r="40" spans="1:21" x14ac:dyDescent="0.25">
      <c r="A40" s="385"/>
      <c r="B40" s="385"/>
      <c r="C40" s="385"/>
      <c r="D40" s="385"/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</row>
    <row r="41" spans="1:21" x14ac:dyDescent="0.25">
      <c r="A41" s="385"/>
      <c r="B41" s="385"/>
      <c r="C41" s="385"/>
      <c r="D41" s="385"/>
      <c r="E41" s="385"/>
      <c r="F41" s="385"/>
      <c r="G41" s="385"/>
      <c r="H41" s="385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</row>
  </sheetData>
  <mergeCells count="1">
    <mergeCell ref="C5:H5"/>
  </mergeCells>
  <pageMargins left="0.25" right="0.25" top="0.75" bottom="0.75" header="0.3" footer="0.3"/>
  <pageSetup scale="56" fitToHeight="0" orientation="landscape" r:id="rId1"/>
  <headerFooter>
    <oddFooter>&amp;L&amp;D&amp;C&amp;A&amp;RPage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"/>
  <sheetViews>
    <sheetView workbookViewId="0">
      <selection activeCell="P28" sqref="P28"/>
    </sheetView>
  </sheetViews>
  <sheetFormatPr defaultRowHeight="15.75" x14ac:dyDescent="0.25"/>
  <cols>
    <col min="1" max="1" width="21.44140625" customWidth="1"/>
    <col min="4" max="4" width="31.109375" customWidth="1"/>
    <col min="5" max="6" width="9.5546875" bestFit="1" customWidth="1"/>
    <col min="7" max="7" width="9.21875" bestFit="1" customWidth="1"/>
    <col min="8" max="14" width="9.5546875" bestFit="1" customWidth="1"/>
    <col min="15" max="15" width="9" bestFit="1" customWidth="1"/>
    <col min="16" max="16" width="9.5546875" bestFit="1" customWidth="1"/>
    <col min="17" max="17" width="10.5546875" bestFit="1" customWidth="1"/>
  </cols>
  <sheetData>
    <row r="1" spans="1:17" x14ac:dyDescent="0.25">
      <c r="A1" s="411"/>
      <c r="B1" s="411" t="s">
        <v>2605</v>
      </c>
      <c r="C1" s="411"/>
      <c r="D1" s="412"/>
      <c r="E1" s="412"/>
      <c r="F1" s="412"/>
      <c r="G1" s="412"/>
      <c r="H1" s="411"/>
      <c r="I1" s="411"/>
      <c r="J1" s="411"/>
      <c r="K1" s="411"/>
      <c r="L1" s="411"/>
      <c r="M1" s="411"/>
      <c r="N1" s="411"/>
      <c r="O1" s="411"/>
      <c r="P1" s="411"/>
      <c r="Q1" s="411"/>
    </row>
    <row r="2" spans="1:17" x14ac:dyDescent="0.25">
      <c r="A2" s="411"/>
      <c r="B2" s="411"/>
      <c r="C2" s="411"/>
      <c r="D2" s="412"/>
      <c r="E2" s="412"/>
      <c r="F2" s="412"/>
      <c r="G2" s="412"/>
      <c r="H2" s="411"/>
      <c r="I2" s="411"/>
      <c r="J2" s="411"/>
      <c r="K2" s="411"/>
      <c r="L2" s="411"/>
      <c r="M2" s="411"/>
      <c r="N2" s="411"/>
      <c r="O2" s="411"/>
      <c r="P2" s="411"/>
      <c r="Q2" s="411"/>
    </row>
    <row r="3" spans="1:17" x14ac:dyDescent="0.25">
      <c r="A3" s="411"/>
      <c r="B3" s="413" t="s">
        <v>2606</v>
      </c>
      <c r="C3" s="411"/>
      <c r="D3" s="411"/>
      <c r="E3" s="413" t="s">
        <v>2607</v>
      </c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</row>
    <row r="4" spans="1:17" x14ac:dyDescent="0.25">
      <c r="A4" s="411"/>
      <c r="B4" s="413" t="s">
        <v>2608</v>
      </c>
      <c r="C4" s="413" t="s">
        <v>2609</v>
      </c>
      <c r="D4" s="413" t="s">
        <v>2610</v>
      </c>
      <c r="E4" s="411" t="s">
        <v>2611</v>
      </c>
      <c r="F4" s="411" t="s">
        <v>2612</v>
      </c>
      <c r="G4" s="411" t="s">
        <v>2613</v>
      </c>
      <c r="H4" s="411" t="s">
        <v>2614</v>
      </c>
      <c r="I4" s="411" t="s">
        <v>2615</v>
      </c>
      <c r="J4" s="411" t="s">
        <v>2616</v>
      </c>
      <c r="K4" s="411" t="s">
        <v>2617</v>
      </c>
      <c r="L4" s="411" t="s">
        <v>2618</v>
      </c>
      <c r="M4" s="411" t="s">
        <v>2619</v>
      </c>
      <c r="N4" s="411" t="s">
        <v>2620</v>
      </c>
      <c r="O4" s="411" t="s">
        <v>2621</v>
      </c>
      <c r="P4" s="411" t="s">
        <v>2622</v>
      </c>
      <c r="Q4" s="411" t="s">
        <v>2623</v>
      </c>
    </row>
    <row r="5" spans="1:17" x14ac:dyDescent="0.25">
      <c r="A5" s="411" t="s">
        <v>328</v>
      </c>
      <c r="B5" s="411" t="s">
        <v>2624</v>
      </c>
      <c r="C5" s="411" t="s">
        <v>2625</v>
      </c>
      <c r="D5" s="411" t="s">
        <v>2626</v>
      </c>
      <c r="E5" s="414"/>
      <c r="F5" s="414"/>
      <c r="G5" s="414"/>
      <c r="H5" s="414"/>
      <c r="I5" s="414"/>
      <c r="J5" s="414"/>
      <c r="K5" s="414">
        <v>0</v>
      </c>
      <c r="L5" s="414">
        <v>0</v>
      </c>
      <c r="M5" s="414">
        <v>0</v>
      </c>
      <c r="N5" s="414"/>
      <c r="O5" s="414">
        <v>0</v>
      </c>
      <c r="P5" s="414"/>
      <c r="Q5" s="414">
        <v>0</v>
      </c>
    </row>
    <row r="6" spans="1:17" x14ac:dyDescent="0.25">
      <c r="A6" s="411"/>
      <c r="B6" s="411"/>
      <c r="C6" s="411"/>
      <c r="D6" s="411" t="s">
        <v>2627</v>
      </c>
      <c r="E6" s="414"/>
      <c r="F6" s="414"/>
      <c r="G6" s="414">
        <v>-8670.82</v>
      </c>
      <c r="H6" s="414">
        <v>-5645.35</v>
      </c>
      <c r="I6" s="414">
        <v>-7146.33</v>
      </c>
      <c r="J6" s="414">
        <v>-13003.8</v>
      </c>
      <c r="K6" s="414">
        <v>-6343.35</v>
      </c>
      <c r="L6" s="414">
        <v>-5951.02</v>
      </c>
      <c r="M6" s="414">
        <v>-3369.16</v>
      </c>
      <c r="N6" s="414">
        <v>-2538.7399999999998</v>
      </c>
      <c r="O6" s="414">
        <v>-1549.88</v>
      </c>
      <c r="P6" s="414">
        <v>-20.83</v>
      </c>
      <c r="Q6" s="414">
        <v>-54239.28</v>
      </c>
    </row>
    <row r="7" spans="1:17" x14ac:dyDescent="0.25">
      <c r="A7" s="411"/>
      <c r="B7" s="411"/>
      <c r="C7" s="411"/>
      <c r="D7" s="411" t="s">
        <v>2628</v>
      </c>
      <c r="E7" s="414"/>
      <c r="F7" s="414"/>
      <c r="G7" s="414"/>
      <c r="H7" s="414"/>
      <c r="I7" s="414"/>
      <c r="J7" s="414"/>
      <c r="K7" s="414"/>
      <c r="L7" s="414"/>
      <c r="M7" s="414">
        <v>5330</v>
      </c>
      <c r="N7" s="414">
        <v>-5330</v>
      </c>
      <c r="O7" s="414"/>
      <c r="P7" s="414"/>
      <c r="Q7" s="414">
        <v>0</v>
      </c>
    </row>
    <row r="8" spans="1:17" x14ac:dyDescent="0.25">
      <c r="A8" s="411"/>
      <c r="B8" s="411"/>
      <c r="C8" s="411"/>
      <c r="D8" s="411" t="s">
        <v>2629</v>
      </c>
      <c r="E8" s="414"/>
      <c r="F8" s="414"/>
      <c r="G8" s="414"/>
      <c r="H8" s="414"/>
      <c r="I8" s="414"/>
      <c r="J8" s="414">
        <v>8352.5</v>
      </c>
      <c r="K8" s="414">
        <v>-8352.5</v>
      </c>
      <c r="L8" s="414"/>
      <c r="M8" s="414"/>
      <c r="N8" s="414"/>
      <c r="O8" s="414"/>
      <c r="P8" s="414"/>
      <c r="Q8" s="414">
        <v>0</v>
      </c>
    </row>
    <row r="9" spans="1:17" x14ac:dyDescent="0.25">
      <c r="A9" s="411"/>
      <c r="B9" s="411"/>
      <c r="C9" s="411"/>
      <c r="D9" s="411" t="s">
        <v>2630</v>
      </c>
      <c r="E9" s="414"/>
      <c r="F9" s="414"/>
      <c r="G9" s="414"/>
      <c r="H9" s="414"/>
      <c r="I9" s="414">
        <v>7865</v>
      </c>
      <c r="J9" s="414">
        <v>-7865</v>
      </c>
      <c r="K9" s="414"/>
      <c r="L9" s="414"/>
      <c r="M9" s="414"/>
      <c r="N9" s="414"/>
      <c r="O9" s="414"/>
      <c r="P9" s="414"/>
      <c r="Q9" s="414">
        <v>0</v>
      </c>
    </row>
    <row r="10" spans="1:17" x14ac:dyDescent="0.25">
      <c r="A10" s="411"/>
      <c r="B10" s="411"/>
      <c r="C10" s="411"/>
      <c r="D10" s="411" t="s">
        <v>2631</v>
      </c>
      <c r="E10" s="414"/>
      <c r="F10" s="414"/>
      <c r="G10" s="414">
        <v>8547</v>
      </c>
      <c r="H10" s="414">
        <v>-8547</v>
      </c>
      <c r="I10" s="414"/>
      <c r="J10" s="414"/>
      <c r="K10" s="414"/>
      <c r="L10" s="414"/>
      <c r="M10" s="414"/>
      <c r="N10" s="414"/>
      <c r="O10" s="414"/>
      <c r="P10" s="414"/>
      <c r="Q10" s="414">
        <v>0</v>
      </c>
    </row>
    <row r="11" spans="1:17" x14ac:dyDescent="0.25">
      <c r="A11" s="411"/>
      <c r="B11" s="411"/>
      <c r="C11" s="411"/>
      <c r="D11" s="411" t="s">
        <v>2632</v>
      </c>
      <c r="E11" s="414">
        <v>-5582.57</v>
      </c>
      <c r="F11" s="414">
        <v>-51.64</v>
      </c>
      <c r="G11" s="414"/>
      <c r="H11" s="414"/>
      <c r="I11" s="414"/>
      <c r="J11" s="414"/>
      <c r="K11" s="414"/>
      <c r="L11" s="414"/>
      <c r="M11" s="414"/>
      <c r="N11" s="414"/>
      <c r="O11" s="414"/>
      <c r="P11" s="414"/>
      <c r="Q11" s="414">
        <v>-5634.21</v>
      </c>
    </row>
    <row r="12" spans="1:17" x14ac:dyDescent="0.25">
      <c r="A12" s="411"/>
      <c r="B12" s="411"/>
      <c r="C12" s="411"/>
      <c r="D12" s="411" t="s">
        <v>2633</v>
      </c>
      <c r="E12" s="414">
        <v>73</v>
      </c>
      <c r="F12" s="414"/>
      <c r="G12" s="414"/>
      <c r="H12" s="414">
        <v>109.5</v>
      </c>
      <c r="I12" s="414"/>
      <c r="J12" s="414">
        <v>2611</v>
      </c>
      <c r="K12" s="414">
        <v>2386.5</v>
      </c>
      <c r="L12" s="414">
        <v>75</v>
      </c>
      <c r="M12" s="414"/>
      <c r="N12" s="414"/>
      <c r="O12" s="414"/>
      <c r="P12" s="414"/>
      <c r="Q12" s="414">
        <v>5255</v>
      </c>
    </row>
    <row r="13" spans="1:17" x14ac:dyDescent="0.25">
      <c r="A13" s="411"/>
      <c r="B13" s="411"/>
      <c r="C13" s="411"/>
      <c r="D13" s="411" t="s">
        <v>2634</v>
      </c>
      <c r="E13" s="414">
        <v>9100</v>
      </c>
      <c r="F13" s="414"/>
      <c r="G13" s="414">
        <v>5070</v>
      </c>
      <c r="H13" s="414">
        <v>17940</v>
      </c>
      <c r="I13" s="414"/>
      <c r="J13" s="414">
        <v>7865</v>
      </c>
      <c r="K13" s="414">
        <v>14527.5</v>
      </c>
      <c r="L13" s="414">
        <v>5362.5</v>
      </c>
      <c r="M13" s="414"/>
      <c r="N13" s="414">
        <v>9230</v>
      </c>
      <c r="O13" s="414">
        <v>2600</v>
      </c>
      <c r="P13" s="414"/>
      <c r="Q13" s="414">
        <v>71695</v>
      </c>
    </row>
    <row r="14" spans="1:17" x14ac:dyDescent="0.25">
      <c r="A14" s="411"/>
      <c r="B14" s="411"/>
      <c r="C14" s="411"/>
      <c r="D14" s="411" t="s">
        <v>2635</v>
      </c>
      <c r="E14" s="414">
        <v>658</v>
      </c>
      <c r="F14" s="414"/>
      <c r="G14" s="414">
        <v>1504</v>
      </c>
      <c r="H14" s="414"/>
      <c r="I14" s="414">
        <v>1600</v>
      </c>
      <c r="J14" s="414">
        <v>16328</v>
      </c>
      <c r="K14" s="414">
        <v>3360</v>
      </c>
      <c r="L14" s="414">
        <v>3560</v>
      </c>
      <c r="M14" s="414"/>
      <c r="N14" s="414"/>
      <c r="O14" s="414"/>
      <c r="P14" s="414"/>
      <c r="Q14" s="414">
        <v>27010</v>
      </c>
    </row>
    <row r="15" spans="1:17" x14ac:dyDescent="0.25">
      <c r="A15" s="411"/>
      <c r="B15" s="411"/>
      <c r="C15" s="411"/>
      <c r="D15" s="411" t="s">
        <v>2636</v>
      </c>
      <c r="E15" s="414">
        <v>225</v>
      </c>
      <c r="F15" s="414"/>
      <c r="G15" s="414"/>
      <c r="H15" s="414"/>
      <c r="I15" s="414"/>
      <c r="J15" s="414"/>
      <c r="K15" s="414"/>
      <c r="L15" s="414">
        <v>54</v>
      </c>
      <c r="M15" s="414">
        <v>783</v>
      </c>
      <c r="N15" s="414"/>
      <c r="O15" s="414"/>
      <c r="P15" s="414"/>
      <c r="Q15" s="414">
        <v>1062</v>
      </c>
    </row>
    <row r="16" spans="1:17" x14ac:dyDescent="0.25">
      <c r="A16" s="411"/>
      <c r="B16" s="411"/>
      <c r="C16" s="411"/>
      <c r="D16" s="411" t="s">
        <v>2637</v>
      </c>
      <c r="E16" s="414">
        <v>32</v>
      </c>
      <c r="F16" s="414">
        <v>128.30000000000001</v>
      </c>
      <c r="G16" s="414">
        <v>316.59000000000003</v>
      </c>
      <c r="H16" s="414">
        <v>937.25</v>
      </c>
      <c r="I16" s="414">
        <v>4763.6000000000004</v>
      </c>
      <c r="J16" s="414">
        <v>100.5</v>
      </c>
      <c r="K16" s="414"/>
      <c r="L16" s="414"/>
      <c r="M16" s="414">
        <v>651</v>
      </c>
      <c r="N16" s="414">
        <v>658.95</v>
      </c>
      <c r="O16" s="414">
        <v>85</v>
      </c>
      <c r="P16" s="414">
        <v>51.75</v>
      </c>
      <c r="Q16" s="414">
        <v>7724.9400000000005</v>
      </c>
    </row>
    <row r="17" spans="1:17" x14ac:dyDescent="0.25">
      <c r="A17" s="411"/>
      <c r="B17" s="411"/>
      <c r="C17" s="411" t="s">
        <v>2638</v>
      </c>
      <c r="D17" s="411"/>
      <c r="E17" s="414">
        <v>4505.43</v>
      </c>
      <c r="F17" s="414">
        <v>76.660000000000011</v>
      </c>
      <c r="G17" s="414">
        <v>6766.77</v>
      </c>
      <c r="H17" s="414">
        <v>4794.3999999999996</v>
      </c>
      <c r="I17" s="414">
        <v>7082.27</v>
      </c>
      <c r="J17" s="414">
        <v>14388.2</v>
      </c>
      <c r="K17" s="414">
        <v>5578.15</v>
      </c>
      <c r="L17" s="414">
        <v>3100.4799999999996</v>
      </c>
      <c r="M17" s="414">
        <v>3394.84</v>
      </c>
      <c r="N17" s="414">
        <v>2020.2100000000003</v>
      </c>
      <c r="O17" s="414">
        <v>1135.1199999999999</v>
      </c>
      <c r="P17" s="414">
        <v>30.92</v>
      </c>
      <c r="Q17" s="414">
        <v>52873.450000000004</v>
      </c>
    </row>
    <row r="18" spans="1:17" x14ac:dyDescent="0.25">
      <c r="A18" s="411" t="s">
        <v>329</v>
      </c>
      <c r="B18" s="411"/>
      <c r="C18" s="411" t="s">
        <v>2639</v>
      </c>
      <c r="D18" s="411" t="s">
        <v>2626</v>
      </c>
      <c r="E18" s="414"/>
      <c r="F18" s="414"/>
      <c r="G18" s="414"/>
      <c r="H18" s="414"/>
      <c r="I18" s="414"/>
      <c r="J18" s="414"/>
      <c r="K18" s="414">
        <v>0</v>
      </c>
      <c r="L18" s="414">
        <v>0</v>
      </c>
      <c r="M18" s="414">
        <v>0</v>
      </c>
      <c r="N18" s="414"/>
      <c r="O18" s="414">
        <v>0</v>
      </c>
      <c r="P18" s="414"/>
      <c r="Q18" s="414">
        <v>0</v>
      </c>
    </row>
    <row r="19" spans="1:17" x14ac:dyDescent="0.25">
      <c r="A19" s="411"/>
      <c r="B19" s="411"/>
      <c r="C19" s="411"/>
      <c r="D19" s="411" t="s">
        <v>2640</v>
      </c>
      <c r="E19" s="414"/>
      <c r="F19" s="414"/>
      <c r="G19" s="414">
        <v>-17344.18</v>
      </c>
      <c r="H19" s="414"/>
      <c r="I19" s="414"/>
      <c r="J19" s="414"/>
      <c r="K19" s="414"/>
      <c r="L19" s="414"/>
      <c r="M19" s="414"/>
      <c r="N19" s="414"/>
      <c r="O19" s="414"/>
      <c r="P19" s="414"/>
      <c r="Q19" s="414">
        <v>-17344.18</v>
      </c>
    </row>
    <row r="20" spans="1:17" x14ac:dyDescent="0.25">
      <c r="A20" s="411"/>
      <c r="B20" s="411"/>
      <c r="C20" s="411"/>
      <c r="D20" s="411" t="s">
        <v>2641</v>
      </c>
      <c r="E20" s="414">
        <v>7811.2</v>
      </c>
      <c r="F20" s="414">
        <v>18436.599999999999</v>
      </c>
      <c r="G20" s="414">
        <v>14824.44</v>
      </c>
      <c r="H20" s="414">
        <v>12096.25</v>
      </c>
      <c r="I20" s="414">
        <v>22756.86</v>
      </c>
      <c r="J20" s="414">
        <v>21316.489999999998</v>
      </c>
      <c r="K20" s="414">
        <v>25420.080000000002</v>
      </c>
      <c r="L20" s="414">
        <v>14946.25</v>
      </c>
      <c r="M20" s="414">
        <v>12878.75</v>
      </c>
      <c r="N20" s="414">
        <v>25172.9</v>
      </c>
      <c r="O20" s="414">
        <v>8832.5</v>
      </c>
      <c r="P20" s="414">
        <v>12215.3</v>
      </c>
      <c r="Q20" s="414">
        <v>196707.61999999997</v>
      </c>
    </row>
    <row r="21" spans="1:17" x14ac:dyDescent="0.25">
      <c r="A21" s="411"/>
      <c r="B21" s="411"/>
      <c r="C21" s="411" t="s">
        <v>2642</v>
      </c>
      <c r="D21" s="411"/>
      <c r="E21" s="414">
        <v>7811.2</v>
      </c>
      <c r="F21" s="414">
        <v>18436.599999999999</v>
      </c>
      <c r="G21" s="414">
        <v>-2519.7399999999998</v>
      </c>
      <c r="H21" s="414">
        <v>12096.25</v>
      </c>
      <c r="I21" s="414">
        <v>22756.86</v>
      </c>
      <c r="J21" s="414">
        <v>21316.489999999998</v>
      </c>
      <c r="K21" s="414">
        <v>25420.080000000002</v>
      </c>
      <c r="L21" s="414">
        <v>14946.25</v>
      </c>
      <c r="M21" s="414">
        <v>12878.75</v>
      </c>
      <c r="N21" s="414">
        <v>25172.9</v>
      </c>
      <c r="O21" s="414">
        <v>8832.5</v>
      </c>
      <c r="P21" s="414">
        <v>12215.3</v>
      </c>
      <c r="Q21" s="414">
        <v>179363.43999999997</v>
      </c>
    </row>
    <row r="22" spans="1:17" x14ac:dyDescent="0.25">
      <c r="A22" s="411"/>
      <c r="B22" s="411" t="s">
        <v>2643</v>
      </c>
      <c r="C22" s="411"/>
      <c r="D22" s="411"/>
      <c r="E22" s="414">
        <v>12316.630000000001</v>
      </c>
      <c r="F22" s="414">
        <v>18513.259999999998</v>
      </c>
      <c r="G22" s="414">
        <v>4247.0300000000007</v>
      </c>
      <c r="H22" s="414">
        <v>16890.650000000001</v>
      </c>
      <c r="I22" s="414">
        <v>29839.13</v>
      </c>
      <c r="J22" s="414">
        <v>35704.69</v>
      </c>
      <c r="K22" s="414">
        <v>30998.230000000003</v>
      </c>
      <c r="L22" s="414">
        <v>18046.73</v>
      </c>
      <c r="M22" s="414">
        <v>16273.59</v>
      </c>
      <c r="N22" s="414">
        <v>27193.11</v>
      </c>
      <c r="O22" s="414">
        <v>9967.619999999999</v>
      </c>
      <c r="P22" s="414">
        <v>12246.22</v>
      </c>
      <c r="Q22" s="414">
        <v>232236.88999999996</v>
      </c>
    </row>
    <row r="23" spans="1:17" x14ac:dyDescent="0.25">
      <c r="A23" s="411"/>
      <c r="B23" s="411" t="s">
        <v>2623</v>
      </c>
      <c r="C23" s="411"/>
      <c r="D23" s="411"/>
      <c r="E23" s="414">
        <v>12316.630000000001</v>
      </c>
      <c r="F23" s="414">
        <v>18513.259999999998</v>
      </c>
      <c r="G23" s="414">
        <v>4247.0300000000007</v>
      </c>
      <c r="H23" s="414">
        <v>16890.650000000001</v>
      </c>
      <c r="I23" s="414">
        <v>29839.13</v>
      </c>
      <c r="J23" s="414">
        <v>35704.69</v>
      </c>
      <c r="K23" s="414">
        <v>30998.230000000003</v>
      </c>
      <c r="L23" s="414">
        <v>18046.73</v>
      </c>
      <c r="M23" s="414">
        <v>16273.59</v>
      </c>
      <c r="N23" s="414">
        <v>27193.11</v>
      </c>
      <c r="O23" s="414">
        <v>9967.619999999999</v>
      </c>
      <c r="P23" s="414">
        <v>12246.22</v>
      </c>
      <c r="Q23" s="414">
        <v>232236.88999999996</v>
      </c>
    </row>
    <row r="24" spans="1:17" x14ac:dyDescent="0.25">
      <c r="A24" s="411"/>
      <c r="B24" s="411"/>
      <c r="C24" s="411"/>
      <c r="D24" s="412"/>
      <c r="E24" s="412"/>
      <c r="F24" s="412"/>
      <c r="G24" s="412"/>
      <c r="H24" s="411"/>
      <c r="I24" s="411"/>
      <c r="J24" s="411"/>
      <c r="K24" s="411"/>
      <c r="L24" s="411"/>
      <c r="M24" s="411"/>
      <c r="N24" s="411"/>
      <c r="O24" s="411"/>
      <c r="P24" s="411"/>
      <c r="Q24" s="411"/>
    </row>
  </sheetData>
  <pageMargins left="0.25" right="0.25" top="0.75" bottom="0.75" header="0.3" footer="0.3"/>
  <pageSetup scale="57" fitToHeight="0" orientation="landscape" r:id="rId2"/>
  <headerFooter>
    <oddFooter>&amp;L&amp;D&amp;C&amp;A&amp;RPage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"/>
  <sheetViews>
    <sheetView workbookViewId="0">
      <selection activeCell="A3" sqref="A3:M89"/>
    </sheetView>
  </sheetViews>
  <sheetFormatPr defaultRowHeight="15.75" x14ac:dyDescent="0.25"/>
  <cols>
    <col min="1" max="1" width="9" bestFit="1" customWidth="1"/>
    <col min="6" max="6" width="10.77734375" bestFit="1" customWidth="1"/>
    <col min="7" max="7" width="9" bestFit="1" customWidth="1"/>
    <col min="8" max="8" width="11" bestFit="1" customWidth="1"/>
    <col min="10" max="10" width="20.33203125" customWidth="1"/>
    <col min="13" max="13" width="14.77734375" bestFit="1" customWidth="1"/>
    <col min="15" max="15" width="11" bestFit="1" customWidth="1"/>
  </cols>
  <sheetData>
    <row r="1" spans="1:16" x14ac:dyDescent="0.25">
      <c r="A1" s="385"/>
      <c r="B1" s="385"/>
      <c r="C1" s="385"/>
      <c r="D1" s="385"/>
      <c r="E1" s="385"/>
      <c r="F1" s="417"/>
      <c r="G1" s="385"/>
      <c r="H1" s="418"/>
      <c r="I1" s="385"/>
      <c r="J1" s="385"/>
      <c r="K1" s="381" t="s">
        <v>2644</v>
      </c>
      <c r="L1" s="385"/>
      <c r="M1" s="385"/>
      <c r="N1" s="385"/>
      <c r="O1" s="385"/>
      <c r="P1" s="385"/>
    </row>
    <row r="2" spans="1:16" x14ac:dyDescent="0.25">
      <c r="A2" s="385" t="s">
        <v>2645</v>
      </c>
      <c r="B2" s="385" t="s">
        <v>2646</v>
      </c>
      <c r="C2" s="385" t="s">
        <v>2647</v>
      </c>
      <c r="D2" s="385" t="s">
        <v>2608</v>
      </c>
      <c r="E2" s="385" t="s">
        <v>2609</v>
      </c>
      <c r="F2" s="417" t="s">
        <v>2648</v>
      </c>
      <c r="G2" s="385" t="s">
        <v>2649</v>
      </c>
      <c r="H2" s="418" t="s">
        <v>2650</v>
      </c>
      <c r="I2" s="385" t="s">
        <v>2651</v>
      </c>
      <c r="J2" s="385" t="s">
        <v>2610</v>
      </c>
      <c r="K2" s="385" t="s">
        <v>2644</v>
      </c>
      <c r="L2" s="385" t="s">
        <v>2652</v>
      </c>
      <c r="M2" s="385" t="s">
        <v>2653</v>
      </c>
      <c r="N2" s="385"/>
    </row>
    <row r="3" spans="1:16" x14ac:dyDescent="0.25">
      <c r="A3" s="385">
        <v>2013</v>
      </c>
      <c r="B3" s="385" t="s">
        <v>2654</v>
      </c>
      <c r="C3" s="385" t="s">
        <v>2655</v>
      </c>
      <c r="D3" s="385" t="s">
        <v>2624</v>
      </c>
      <c r="E3" s="385" t="s">
        <v>2639</v>
      </c>
      <c r="F3" s="417">
        <v>41456</v>
      </c>
      <c r="G3" s="385">
        <v>0</v>
      </c>
      <c r="H3" s="418">
        <v>670</v>
      </c>
      <c r="I3" s="385" t="s">
        <v>2656</v>
      </c>
      <c r="J3" s="385" t="s">
        <v>2641</v>
      </c>
      <c r="K3" s="381" t="s">
        <v>2657</v>
      </c>
      <c r="L3" s="385" t="s">
        <v>2658</v>
      </c>
      <c r="M3" s="419">
        <v>41486</v>
      </c>
      <c r="N3" s="385"/>
    </row>
    <row r="4" spans="1:16" x14ac:dyDescent="0.25">
      <c r="A4" s="385">
        <v>2013</v>
      </c>
      <c r="B4" s="385" t="s">
        <v>2654</v>
      </c>
      <c r="C4" s="385" t="s">
        <v>2655</v>
      </c>
      <c r="D4" s="385" t="s">
        <v>2624</v>
      </c>
      <c r="E4" s="385" t="s">
        <v>2639</v>
      </c>
      <c r="F4" s="417">
        <v>41456</v>
      </c>
      <c r="G4" s="385">
        <v>1</v>
      </c>
      <c r="H4" s="418">
        <v>20.45</v>
      </c>
      <c r="I4" s="385" t="s">
        <v>2656</v>
      </c>
      <c r="J4" s="385" t="s">
        <v>2641</v>
      </c>
      <c r="K4" s="381" t="s">
        <v>2659</v>
      </c>
      <c r="L4" s="385" t="s">
        <v>2658</v>
      </c>
      <c r="M4" s="419">
        <v>41486</v>
      </c>
      <c r="N4" s="385"/>
    </row>
    <row r="5" spans="1:16" x14ac:dyDescent="0.25">
      <c r="A5" s="385">
        <v>2013</v>
      </c>
      <c r="B5" s="385" t="s">
        <v>2654</v>
      </c>
      <c r="C5" s="385" t="s">
        <v>2655</v>
      </c>
      <c r="D5" s="385" t="s">
        <v>2624</v>
      </c>
      <c r="E5" s="385" t="s">
        <v>2639</v>
      </c>
      <c r="F5" s="417">
        <v>41456</v>
      </c>
      <c r="G5" s="385">
        <v>2</v>
      </c>
      <c r="H5" s="418">
        <v>2010</v>
      </c>
      <c r="I5" s="385" t="s">
        <v>2656</v>
      </c>
      <c r="J5" s="385" t="s">
        <v>2641</v>
      </c>
      <c r="K5" s="381" t="s">
        <v>2660</v>
      </c>
      <c r="L5" s="385" t="s">
        <v>2658</v>
      </c>
      <c r="M5" s="419">
        <v>41486</v>
      </c>
      <c r="N5" s="385"/>
    </row>
    <row r="6" spans="1:16" x14ac:dyDescent="0.25">
      <c r="A6" s="385">
        <v>2013</v>
      </c>
      <c r="B6" s="385" t="s">
        <v>2654</v>
      </c>
      <c r="C6" s="385" t="s">
        <v>2655</v>
      </c>
      <c r="D6" s="385" t="s">
        <v>2624</v>
      </c>
      <c r="E6" s="385" t="s">
        <v>2639</v>
      </c>
      <c r="F6" s="417">
        <v>41487</v>
      </c>
      <c r="G6" s="385">
        <v>0</v>
      </c>
      <c r="H6" s="418">
        <v>1172.5</v>
      </c>
      <c r="I6" s="385" t="s">
        <v>2656</v>
      </c>
      <c r="J6" s="385" t="s">
        <v>2641</v>
      </c>
      <c r="K6" s="381" t="s">
        <v>2661</v>
      </c>
      <c r="L6" s="385" t="s">
        <v>2662</v>
      </c>
      <c r="M6" s="419">
        <v>41517</v>
      </c>
      <c r="N6" s="385"/>
    </row>
    <row r="7" spans="1:16" x14ac:dyDescent="0.25">
      <c r="A7" s="385">
        <v>2013</v>
      </c>
      <c r="B7" s="385" t="s">
        <v>2654</v>
      </c>
      <c r="C7" s="385" t="s">
        <v>2655</v>
      </c>
      <c r="D7" s="385" t="s">
        <v>2624</v>
      </c>
      <c r="E7" s="385" t="s">
        <v>2639</v>
      </c>
      <c r="F7" s="417">
        <v>41487</v>
      </c>
      <c r="G7" s="385">
        <v>1</v>
      </c>
      <c r="H7" s="418">
        <v>837.5</v>
      </c>
      <c r="I7" s="385" t="s">
        <v>2656</v>
      </c>
      <c r="J7" s="385" t="s">
        <v>2641</v>
      </c>
      <c r="K7" s="381" t="s">
        <v>2663</v>
      </c>
      <c r="L7" s="385" t="s">
        <v>2662</v>
      </c>
      <c r="M7" s="419">
        <v>41517</v>
      </c>
      <c r="N7" s="385"/>
    </row>
    <row r="8" spans="1:16" x14ac:dyDescent="0.25">
      <c r="A8" s="385">
        <v>2013</v>
      </c>
      <c r="B8" s="385" t="s">
        <v>2654</v>
      </c>
      <c r="C8" s="385" t="s">
        <v>2655</v>
      </c>
      <c r="D8" s="385" t="s">
        <v>2624</v>
      </c>
      <c r="E8" s="385" t="s">
        <v>2639</v>
      </c>
      <c r="F8" s="417">
        <v>41520</v>
      </c>
      <c r="G8" s="385">
        <v>0</v>
      </c>
      <c r="H8" s="418">
        <v>6197.5</v>
      </c>
      <c r="I8" s="385" t="s">
        <v>2656</v>
      </c>
      <c r="J8" s="385" t="s">
        <v>2641</v>
      </c>
      <c r="K8" s="381" t="s">
        <v>2664</v>
      </c>
      <c r="L8" s="385" t="s">
        <v>2665</v>
      </c>
      <c r="M8" s="419">
        <v>41547</v>
      </c>
      <c r="N8" s="385"/>
    </row>
    <row r="9" spans="1:16" x14ac:dyDescent="0.25">
      <c r="A9" s="385">
        <v>2013</v>
      </c>
      <c r="B9" s="385" t="s">
        <v>2654</v>
      </c>
      <c r="C9" s="385" t="s">
        <v>2655</v>
      </c>
      <c r="D9" s="385" t="s">
        <v>2624</v>
      </c>
      <c r="E9" s="385" t="s">
        <v>2639</v>
      </c>
      <c r="F9" s="417">
        <v>41520</v>
      </c>
      <c r="G9" s="385">
        <v>1</v>
      </c>
      <c r="H9" s="418">
        <v>61.8</v>
      </c>
      <c r="I9" s="385" t="s">
        <v>2656</v>
      </c>
      <c r="J9" s="385" t="s">
        <v>2641</v>
      </c>
      <c r="K9" s="381" t="s">
        <v>2666</v>
      </c>
      <c r="L9" s="385" t="s">
        <v>2667</v>
      </c>
      <c r="M9" s="419">
        <v>41547</v>
      </c>
      <c r="N9" s="385"/>
    </row>
    <row r="10" spans="1:16" x14ac:dyDescent="0.25">
      <c r="A10" s="385">
        <v>2013</v>
      </c>
      <c r="B10" s="385" t="s">
        <v>2654</v>
      </c>
      <c r="C10" s="385" t="s">
        <v>2655</v>
      </c>
      <c r="D10" s="385" t="s">
        <v>2624</v>
      </c>
      <c r="E10" s="385" t="s">
        <v>2639</v>
      </c>
      <c r="F10" s="417">
        <v>41520</v>
      </c>
      <c r="G10" s="385">
        <v>2</v>
      </c>
      <c r="H10" s="418">
        <v>5212.5</v>
      </c>
      <c r="I10" s="385" t="s">
        <v>2656</v>
      </c>
      <c r="J10" s="385" t="s">
        <v>2641</v>
      </c>
      <c r="K10" s="381" t="s">
        <v>2668</v>
      </c>
      <c r="L10" s="385" t="s">
        <v>2667</v>
      </c>
      <c r="M10" s="419">
        <v>41547</v>
      </c>
      <c r="N10" s="385"/>
    </row>
    <row r="11" spans="1:16" x14ac:dyDescent="0.25">
      <c r="A11" s="385">
        <v>2013</v>
      </c>
      <c r="B11" s="385" t="s">
        <v>2654</v>
      </c>
      <c r="C11" s="385" t="s">
        <v>2655</v>
      </c>
      <c r="D11" s="385" t="s">
        <v>2624</v>
      </c>
      <c r="E11" s="385" t="s">
        <v>2639</v>
      </c>
      <c r="F11" s="417">
        <v>41579</v>
      </c>
      <c r="G11" s="385">
        <v>0</v>
      </c>
      <c r="H11" s="418">
        <v>6295</v>
      </c>
      <c r="I11" s="385" t="s">
        <v>2656</v>
      </c>
      <c r="J11" s="385" t="s">
        <v>2641</v>
      </c>
      <c r="K11" s="381" t="s">
        <v>2669</v>
      </c>
      <c r="L11" s="385" t="s">
        <v>2670</v>
      </c>
      <c r="M11" s="419">
        <v>41608</v>
      </c>
      <c r="N11" s="385"/>
    </row>
    <row r="12" spans="1:16" x14ac:dyDescent="0.25">
      <c r="A12" s="385">
        <v>2013</v>
      </c>
      <c r="B12" s="385" t="s">
        <v>2654</v>
      </c>
      <c r="C12" s="385" t="s">
        <v>2655</v>
      </c>
      <c r="D12" s="385" t="s">
        <v>2624</v>
      </c>
      <c r="E12" s="385" t="s">
        <v>2639</v>
      </c>
      <c r="F12" s="417">
        <v>41579</v>
      </c>
      <c r="G12" s="385">
        <v>1</v>
      </c>
      <c r="H12" s="418">
        <v>10.050000000000001</v>
      </c>
      <c r="I12" s="385" t="s">
        <v>2656</v>
      </c>
      <c r="J12" s="385" t="s">
        <v>2641</v>
      </c>
      <c r="K12" s="381" t="s">
        <v>2671</v>
      </c>
      <c r="L12" s="385" t="s">
        <v>2670</v>
      </c>
      <c r="M12" s="419">
        <v>41608</v>
      </c>
      <c r="N12" s="385"/>
    </row>
    <row r="13" spans="1:16" x14ac:dyDescent="0.25">
      <c r="A13" s="385">
        <v>2013</v>
      </c>
      <c r="B13" s="385" t="s">
        <v>2654</v>
      </c>
      <c r="C13" s="385" t="s">
        <v>2655</v>
      </c>
      <c r="D13" s="385" t="s">
        <v>2624</v>
      </c>
      <c r="E13" s="385" t="s">
        <v>2639</v>
      </c>
      <c r="F13" s="417">
        <v>41579</v>
      </c>
      <c r="G13" s="385">
        <v>2</v>
      </c>
      <c r="H13" s="418">
        <v>10746.25</v>
      </c>
      <c r="I13" s="385" t="s">
        <v>2656</v>
      </c>
      <c r="J13" s="385" t="s">
        <v>2641</v>
      </c>
      <c r="K13" s="381" t="s">
        <v>2672</v>
      </c>
      <c r="L13" s="385" t="s">
        <v>2670</v>
      </c>
      <c r="M13" s="419">
        <v>41608</v>
      </c>
      <c r="N13" s="385"/>
    </row>
    <row r="14" spans="1:16" x14ac:dyDescent="0.25">
      <c r="A14" s="385">
        <v>2013</v>
      </c>
      <c r="B14" s="385" t="s">
        <v>2654</v>
      </c>
      <c r="C14" s="385" t="s">
        <v>2655</v>
      </c>
      <c r="D14" s="385" t="s">
        <v>2624</v>
      </c>
      <c r="E14" s="385" t="s">
        <v>2639</v>
      </c>
      <c r="F14" s="417">
        <v>41579</v>
      </c>
      <c r="G14" s="385">
        <v>3</v>
      </c>
      <c r="H14" s="418">
        <v>303.45999999999998</v>
      </c>
      <c r="I14" s="385" t="s">
        <v>2656</v>
      </c>
      <c r="J14" s="385" t="s">
        <v>2641</v>
      </c>
      <c r="K14" s="381" t="s">
        <v>2673</v>
      </c>
      <c r="L14" s="385" t="s">
        <v>2670</v>
      </c>
      <c r="M14" s="419">
        <v>41608</v>
      </c>
      <c r="N14" s="385"/>
    </row>
    <row r="15" spans="1:16" x14ac:dyDescent="0.25">
      <c r="A15" s="385">
        <v>2013</v>
      </c>
      <c r="B15" s="385" t="s">
        <v>2654</v>
      </c>
      <c r="C15" s="385" t="s">
        <v>2655</v>
      </c>
      <c r="D15" s="385" t="s">
        <v>2624</v>
      </c>
      <c r="E15" s="385" t="s">
        <v>2639</v>
      </c>
      <c r="F15" s="417">
        <v>41610</v>
      </c>
      <c r="G15" s="385">
        <v>0</v>
      </c>
      <c r="H15" s="418">
        <v>2345</v>
      </c>
      <c r="I15" s="385" t="s">
        <v>2656</v>
      </c>
      <c r="J15" s="385" t="s">
        <v>2641</v>
      </c>
      <c r="K15" s="381" t="s">
        <v>2674</v>
      </c>
      <c r="L15" s="385" t="s">
        <v>2675</v>
      </c>
      <c r="M15" s="419">
        <v>41639</v>
      </c>
      <c r="N15" s="385"/>
    </row>
    <row r="16" spans="1:16" x14ac:dyDescent="0.25">
      <c r="A16" s="385">
        <v>2013</v>
      </c>
      <c r="B16" s="385" t="s">
        <v>2654</v>
      </c>
      <c r="C16" s="385" t="s">
        <v>2655</v>
      </c>
      <c r="D16" s="385" t="s">
        <v>2624</v>
      </c>
      <c r="E16" s="385" t="s">
        <v>2639</v>
      </c>
      <c r="F16" s="417">
        <v>41610</v>
      </c>
      <c r="G16" s="385">
        <v>1</v>
      </c>
      <c r="H16" s="425">
        <v>1448.75</v>
      </c>
      <c r="I16" s="385" t="s">
        <v>2656</v>
      </c>
      <c r="J16" s="385" t="s">
        <v>2641</v>
      </c>
      <c r="K16" s="381" t="s">
        <v>2676</v>
      </c>
      <c r="L16" s="385" t="s">
        <v>2675</v>
      </c>
      <c r="M16" s="419">
        <v>41639</v>
      </c>
      <c r="N16" s="385"/>
    </row>
    <row r="17" spans="1:14" x14ac:dyDescent="0.25">
      <c r="A17" s="385"/>
      <c r="B17" s="385"/>
      <c r="C17" s="385"/>
      <c r="D17" s="385"/>
      <c r="E17" s="385"/>
      <c r="F17" s="417"/>
      <c r="G17" s="385"/>
      <c r="H17" s="418">
        <f>SUM(H3:H16)</f>
        <v>37330.76</v>
      </c>
      <c r="I17" s="385"/>
      <c r="J17" s="385"/>
      <c r="K17" s="381"/>
      <c r="L17" s="385"/>
      <c r="M17" s="419"/>
      <c r="N17" s="385"/>
    </row>
    <row r="18" spans="1:14" x14ac:dyDescent="0.25">
      <c r="A18" s="385"/>
      <c r="B18" s="385"/>
      <c r="C18" s="385"/>
      <c r="D18" s="385"/>
      <c r="E18" s="385"/>
      <c r="F18" s="417"/>
      <c r="G18" s="385"/>
      <c r="H18" s="418"/>
      <c r="I18" s="385"/>
      <c r="J18" s="385"/>
      <c r="K18" s="381"/>
      <c r="L18" s="385"/>
      <c r="M18" s="419"/>
      <c r="N18" s="385"/>
    </row>
    <row r="19" spans="1:14" x14ac:dyDescent="0.25">
      <c r="A19" s="385"/>
      <c r="B19" s="385"/>
      <c r="C19" s="385"/>
      <c r="D19" s="385"/>
      <c r="E19" s="385"/>
      <c r="F19" s="417"/>
      <c r="G19" s="385"/>
      <c r="H19" s="418"/>
      <c r="I19" s="385"/>
      <c r="J19" s="385"/>
      <c r="K19" s="381"/>
      <c r="L19" s="385"/>
      <c r="M19" s="419"/>
      <c r="N19" s="385"/>
    </row>
    <row r="20" spans="1:14" x14ac:dyDescent="0.25">
      <c r="A20" s="385">
        <v>2014</v>
      </c>
      <c r="B20" s="385" t="s">
        <v>2654</v>
      </c>
      <c r="C20" s="385" t="s">
        <v>2655</v>
      </c>
      <c r="D20" s="385" t="s">
        <v>2624</v>
      </c>
      <c r="E20" s="385" t="s">
        <v>2639</v>
      </c>
      <c r="F20" s="417">
        <v>41641</v>
      </c>
      <c r="G20" s="385">
        <v>0</v>
      </c>
      <c r="H20" s="418">
        <v>8781.25</v>
      </c>
      <c r="I20" s="385" t="s">
        <v>2656</v>
      </c>
      <c r="J20" s="385" t="s">
        <v>2641</v>
      </c>
      <c r="K20" s="381" t="s">
        <v>2677</v>
      </c>
      <c r="L20" s="385" t="s">
        <v>2678</v>
      </c>
      <c r="M20" s="419">
        <v>41670</v>
      </c>
      <c r="N20" s="385"/>
    </row>
    <row r="21" spans="1:14" x14ac:dyDescent="0.25">
      <c r="A21" s="385">
        <v>2014</v>
      </c>
      <c r="B21" s="385" t="s">
        <v>2654</v>
      </c>
      <c r="C21" s="385" t="s">
        <v>2655</v>
      </c>
      <c r="D21" s="385" t="s">
        <v>2624</v>
      </c>
      <c r="E21" s="385" t="s">
        <v>2639</v>
      </c>
      <c r="F21" s="417">
        <v>41641</v>
      </c>
      <c r="G21" s="385">
        <v>1</v>
      </c>
      <c r="H21" s="418">
        <v>921.25</v>
      </c>
      <c r="I21" s="385" t="s">
        <v>2656</v>
      </c>
      <c r="J21" s="385" t="s">
        <v>2641</v>
      </c>
      <c r="K21" s="381" t="s">
        <v>2679</v>
      </c>
      <c r="L21" s="385" t="s">
        <v>2678</v>
      </c>
      <c r="M21" s="419">
        <v>41670</v>
      </c>
      <c r="N21" s="385"/>
    </row>
    <row r="22" spans="1:14" x14ac:dyDescent="0.25">
      <c r="A22" s="385">
        <v>2014</v>
      </c>
      <c r="B22" s="385" t="s">
        <v>2654</v>
      </c>
      <c r="C22" s="385" t="s">
        <v>2655</v>
      </c>
      <c r="D22" s="385" t="s">
        <v>2624</v>
      </c>
      <c r="E22" s="385" t="s">
        <v>2639</v>
      </c>
      <c r="F22" s="417">
        <v>41673</v>
      </c>
      <c r="G22" s="385">
        <v>0</v>
      </c>
      <c r="H22" s="418">
        <v>1525</v>
      </c>
      <c r="I22" s="385" t="s">
        <v>2656</v>
      </c>
      <c r="J22" s="385" t="s">
        <v>2641</v>
      </c>
      <c r="K22" s="381" t="s">
        <v>2680</v>
      </c>
      <c r="L22" s="385" t="s">
        <v>2681</v>
      </c>
      <c r="M22" s="419">
        <v>41698</v>
      </c>
      <c r="N22" s="385"/>
    </row>
    <row r="23" spans="1:14" x14ac:dyDescent="0.25">
      <c r="A23" s="385">
        <v>2014</v>
      </c>
      <c r="B23" s="385" t="s">
        <v>2654</v>
      </c>
      <c r="C23" s="385" t="s">
        <v>2655</v>
      </c>
      <c r="D23" s="385" t="s">
        <v>2624</v>
      </c>
      <c r="E23" s="385" t="s">
        <v>2639</v>
      </c>
      <c r="F23" s="417">
        <v>41673</v>
      </c>
      <c r="G23" s="385">
        <v>1</v>
      </c>
      <c r="H23" s="418">
        <v>12.45</v>
      </c>
      <c r="I23" s="385" t="s">
        <v>2656</v>
      </c>
      <c r="J23" s="385" t="s">
        <v>2641</v>
      </c>
      <c r="K23" s="381" t="s">
        <v>2682</v>
      </c>
      <c r="L23" s="385" t="s">
        <v>2681</v>
      </c>
      <c r="M23" s="419">
        <v>41698</v>
      </c>
      <c r="N23" s="385"/>
    </row>
    <row r="24" spans="1:14" x14ac:dyDescent="0.25">
      <c r="A24" s="385">
        <v>2014</v>
      </c>
      <c r="B24" s="385" t="s">
        <v>2654</v>
      </c>
      <c r="C24" s="385" t="s">
        <v>2655</v>
      </c>
      <c r="D24" s="385" t="s">
        <v>2624</v>
      </c>
      <c r="E24" s="385" t="s">
        <v>2639</v>
      </c>
      <c r="F24" s="417">
        <v>41673</v>
      </c>
      <c r="G24" s="385">
        <v>2</v>
      </c>
      <c r="H24" s="418">
        <v>4103.75</v>
      </c>
      <c r="I24" s="385" t="s">
        <v>2656</v>
      </c>
      <c r="J24" s="385" t="s">
        <v>2641</v>
      </c>
      <c r="K24" s="381" t="s">
        <v>2683</v>
      </c>
      <c r="L24" s="385" t="s">
        <v>2681</v>
      </c>
      <c r="M24" s="419">
        <v>41698</v>
      </c>
      <c r="N24" s="385"/>
    </row>
    <row r="25" spans="1:14" x14ac:dyDescent="0.25">
      <c r="A25" s="385">
        <v>2014</v>
      </c>
      <c r="B25" s="385" t="s">
        <v>2654</v>
      </c>
      <c r="C25" s="385" t="s">
        <v>2655</v>
      </c>
      <c r="D25" s="385" t="s">
        <v>2624</v>
      </c>
      <c r="E25" s="385" t="s">
        <v>2639</v>
      </c>
      <c r="F25" s="417">
        <v>41701</v>
      </c>
      <c r="G25" s="385">
        <v>0</v>
      </c>
      <c r="H25" s="418">
        <v>9602.5</v>
      </c>
      <c r="I25" s="385" t="s">
        <v>2656</v>
      </c>
      <c r="J25" s="385" t="s">
        <v>2641</v>
      </c>
      <c r="K25" s="381" t="s">
        <v>2684</v>
      </c>
      <c r="L25" s="385" t="s">
        <v>2685</v>
      </c>
      <c r="M25" s="419">
        <v>41698</v>
      </c>
      <c r="N25" s="385"/>
    </row>
    <row r="26" spans="1:14" x14ac:dyDescent="0.25">
      <c r="A26" s="385">
        <v>2014</v>
      </c>
      <c r="B26" s="385" t="s">
        <v>2654</v>
      </c>
      <c r="C26" s="385" t="s">
        <v>2655</v>
      </c>
      <c r="D26" s="385" t="s">
        <v>2624</v>
      </c>
      <c r="E26" s="385" t="s">
        <v>2639</v>
      </c>
      <c r="F26" s="417">
        <v>41701</v>
      </c>
      <c r="G26" s="385">
        <v>1</v>
      </c>
      <c r="H26" s="418">
        <v>2207.5</v>
      </c>
      <c r="I26" s="385" t="s">
        <v>2656</v>
      </c>
      <c r="J26" s="385" t="s">
        <v>2641</v>
      </c>
      <c r="K26" s="381" t="s">
        <v>2686</v>
      </c>
      <c r="L26" s="385" t="s">
        <v>2685</v>
      </c>
      <c r="M26" s="419">
        <v>41698</v>
      </c>
      <c r="N26" s="385"/>
    </row>
    <row r="27" spans="1:14" x14ac:dyDescent="0.25">
      <c r="A27" s="385">
        <v>2014</v>
      </c>
      <c r="B27" s="385" t="s">
        <v>2654</v>
      </c>
      <c r="C27" s="385" t="s">
        <v>2655</v>
      </c>
      <c r="D27" s="385" t="s">
        <v>2624</v>
      </c>
      <c r="E27" s="385" t="s">
        <v>2639</v>
      </c>
      <c r="F27" s="417">
        <v>41701</v>
      </c>
      <c r="G27" s="385">
        <v>2</v>
      </c>
      <c r="H27" s="418">
        <v>18</v>
      </c>
      <c r="I27" s="385" t="s">
        <v>2656</v>
      </c>
      <c r="J27" s="385" t="s">
        <v>2641</v>
      </c>
      <c r="K27" s="381" t="s">
        <v>2687</v>
      </c>
      <c r="L27" s="385" t="s">
        <v>2685</v>
      </c>
      <c r="M27" s="419">
        <v>41698</v>
      </c>
      <c r="N27" s="385"/>
    </row>
    <row r="28" spans="1:14" x14ac:dyDescent="0.25">
      <c r="A28" s="385">
        <v>2014</v>
      </c>
      <c r="B28" s="385" t="s">
        <v>2654</v>
      </c>
      <c r="C28" s="385" t="s">
        <v>2655</v>
      </c>
      <c r="D28" s="385" t="s">
        <v>2624</v>
      </c>
      <c r="E28" s="385" t="s">
        <v>2639</v>
      </c>
      <c r="F28" s="417">
        <v>41730</v>
      </c>
      <c r="G28" s="385">
        <v>0</v>
      </c>
      <c r="H28" s="418">
        <v>15.3</v>
      </c>
      <c r="I28" s="385" t="s">
        <v>2656</v>
      </c>
      <c r="J28" s="385" t="s">
        <v>2641</v>
      </c>
      <c r="K28" s="381" t="s">
        <v>2688</v>
      </c>
      <c r="L28" s="385" t="s">
        <v>2689</v>
      </c>
      <c r="M28" s="419">
        <v>41759</v>
      </c>
      <c r="N28" s="385"/>
    </row>
    <row r="29" spans="1:14" x14ac:dyDescent="0.25">
      <c r="A29" s="385">
        <v>2014</v>
      </c>
      <c r="B29" s="385" t="s">
        <v>2654</v>
      </c>
      <c r="C29" s="385" t="s">
        <v>2655</v>
      </c>
      <c r="D29" s="385" t="s">
        <v>2624</v>
      </c>
      <c r="E29" s="385" t="s">
        <v>2639</v>
      </c>
      <c r="F29" s="417">
        <v>41730</v>
      </c>
      <c r="G29" s="385">
        <v>1</v>
      </c>
      <c r="H29" s="418">
        <v>18508.75</v>
      </c>
      <c r="I29" s="385" t="s">
        <v>2656</v>
      </c>
      <c r="J29" s="385" t="s">
        <v>2641</v>
      </c>
      <c r="K29" s="381" t="s">
        <v>2690</v>
      </c>
      <c r="L29" s="385" t="s">
        <v>2689</v>
      </c>
      <c r="M29" s="419">
        <v>41759</v>
      </c>
      <c r="N29" s="385"/>
    </row>
    <row r="30" spans="1:14" x14ac:dyDescent="0.25">
      <c r="A30" s="385">
        <v>2014</v>
      </c>
      <c r="B30" s="385" t="s">
        <v>2654</v>
      </c>
      <c r="C30" s="385" t="s">
        <v>2655</v>
      </c>
      <c r="D30" s="385" t="s">
        <v>2624</v>
      </c>
      <c r="E30" s="385" t="s">
        <v>2639</v>
      </c>
      <c r="F30" s="417">
        <v>41730</v>
      </c>
      <c r="G30" s="385">
        <v>2</v>
      </c>
      <c r="H30" s="418">
        <v>4363.75</v>
      </c>
      <c r="I30" s="385" t="s">
        <v>2656</v>
      </c>
      <c r="J30" s="385" t="s">
        <v>2641</v>
      </c>
      <c r="K30" s="381" t="s">
        <v>2691</v>
      </c>
      <c r="L30" s="385" t="s">
        <v>2689</v>
      </c>
      <c r="M30" s="419">
        <v>41759</v>
      </c>
      <c r="N30" s="385"/>
    </row>
    <row r="31" spans="1:14" x14ac:dyDescent="0.25">
      <c r="A31" s="385">
        <v>2014</v>
      </c>
      <c r="B31" s="385" t="s">
        <v>2654</v>
      </c>
      <c r="C31" s="385" t="s">
        <v>2655</v>
      </c>
      <c r="D31" s="385" t="s">
        <v>2624</v>
      </c>
      <c r="E31" s="385" t="s">
        <v>2639</v>
      </c>
      <c r="F31" s="417">
        <v>41760</v>
      </c>
      <c r="G31" s="385">
        <v>0</v>
      </c>
      <c r="H31" s="418">
        <v>19360</v>
      </c>
      <c r="I31" s="385" t="s">
        <v>2656</v>
      </c>
      <c r="J31" s="385" t="s">
        <v>2641</v>
      </c>
      <c r="K31" s="381" t="s">
        <v>2692</v>
      </c>
      <c r="L31" s="385" t="s">
        <v>2693</v>
      </c>
      <c r="M31" s="419">
        <v>41790</v>
      </c>
      <c r="N31" s="385"/>
    </row>
    <row r="32" spans="1:14" x14ac:dyDescent="0.25">
      <c r="A32" s="385">
        <v>2014</v>
      </c>
      <c r="B32" s="385" t="s">
        <v>2654</v>
      </c>
      <c r="C32" s="385" t="s">
        <v>2655</v>
      </c>
      <c r="D32" s="385" t="s">
        <v>2624</v>
      </c>
      <c r="E32" s="385" t="s">
        <v>2639</v>
      </c>
      <c r="F32" s="417">
        <v>41760</v>
      </c>
      <c r="G32" s="385">
        <v>1</v>
      </c>
      <c r="H32" s="418">
        <v>35.36</v>
      </c>
      <c r="I32" s="385" t="s">
        <v>2656</v>
      </c>
      <c r="J32" s="385" t="s">
        <v>2641</v>
      </c>
      <c r="K32" s="381" t="s">
        <v>2694</v>
      </c>
      <c r="L32" s="385" t="s">
        <v>2693</v>
      </c>
      <c r="M32" s="419">
        <v>41790</v>
      </c>
      <c r="N32" s="385"/>
    </row>
    <row r="33" spans="1:14" x14ac:dyDescent="0.25">
      <c r="A33" s="385">
        <v>2014</v>
      </c>
      <c r="B33" s="385" t="s">
        <v>2654</v>
      </c>
      <c r="C33" s="385" t="s">
        <v>2655</v>
      </c>
      <c r="D33" s="385" t="s">
        <v>2624</v>
      </c>
      <c r="E33" s="385" t="s">
        <v>2639</v>
      </c>
      <c r="F33" s="417">
        <v>41760</v>
      </c>
      <c r="G33" s="385">
        <v>2</v>
      </c>
      <c r="H33" s="418">
        <v>10853.75</v>
      </c>
      <c r="I33" s="385" t="s">
        <v>2656</v>
      </c>
      <c r="J33" s="385" t="s">
        <v>2641</v>
      </c>
      <c r="K33" s="381" t="s">
        <v>2695</v>
      </c>
      <c r="L33" s="385" t="s">
        <v>2693</v>
      </c>
      <c r="M33" s="419">
        <v>41790</v>
      </c>
      <c r="N33" s="385"/>
    </row>
    <row r="34" spans="1:14" x14ac:dyDescent="0.25">
      <c r="A34" s="385">
        <v>2014</v>
      </c>
      <c r="B34" s="385" t="s">
        <v>2654</v>
      </c>
      <c r="C34" s="385" t="s">
        <v>2655</v>
      </c>
      <c r="D34" s="385" t="s">
        <v>2624</v>
      </c>
      <c r="E34" s="385" t="s">
        <v>2639</v>
      </c>
      <c r="F34" s="417">
        <v>41760</v>
      </c>
      <c r="G34" s="385">
        <v>3</v>
      </c>
      <c r="H34" s="418">
        <v>45.6</v>
      </c>
      <c r="I34" s="385" t="s">
        <v>2656</v>
      </c>
      <c r="J34" s="385" t="s">
        <v>2641</v>
      </c>
      <c r="K34" s="381" t="s">
        <v>2696</v>
      </c>
      <c r="L34" s="385" t="s">
        <v>2693</v>
      </c>
      <c r="M34" s="419">
        <v>41790</v>
      </c>
      <c r="N34" s="385"/>
    </row>
    <row r="35" spans="1:14" x14ac:dyDescent="0.25">
      <c r="A35" s="385">
        <v>2014</v>
      </c>
      <c r="B35" s="385" t="s">
        <v>2654</v>
      </c>
      <c r="C35" s="385" t="s">
        <v>2655</v>
      </c>
      <c r="D35" s="385" t="s">
        <v>2624</v>
      </c>
      <c r="E35" s="385" t="s">
        <v>2639</v>
      </c>
      <c r="F35" s="417">
        <v>41778</v>
      </c>
      <c r="G35" s="385">
        <v>0</v>
      </c>
      <c r="H35" s="418">
        <v>1875</v>
      </c>
      <c r="I35" s="385" t="s">
        <v>2656</v>
      </c>
      <c r="J35" s="385" t="s">
        <v>2641</v>
      </c>
      <c r="K35" s="381" t="s">
        <v>2697</v>
      </c>
      <c r="L35" s="385" t="s">
        <v>2698</v>
      </c>
      <c r="M35" s="419">
        <v>41790</v>
      </c>
      <c r="N35" s="385"/>
    </row>
    <row r="36" spans="1:14" x14ac:dyDescent="0.25">
      <c r="A36" s="385">
        <v>2014</v>
      </c>
      <c r="B36" s="385" t="s">
        <v>2654</v>
      </c>
      <c r="C36" s="385" t="s">
        <v>2655</v>
      </c>
      <c r="D36" s="385" t="s">
        <v>2624</v>
      </c>
      <c r="E36" s="385" t="s">
        <v>2639</v>
      </c>
      <c r="F36" s="417">
        <v>41778</v>
      </c>
      <c r="G36" s="385">
        <v>1</v>
      </c>
      <c r="H36" s="418">
        <v>-1875</v>
      </c>
      <c r="I36" s="385" t="s">
        <v>2656</v>
      </c>
      <c r="J36" s="385" t="s">
        <v>2641</v>
      </c>
      <c r="K36" s="381" t="s">
        <v>2697</v>
      </c>
      <c r="L36" s="385" t="s">
        <v>2699</v>
      </c>
      <c r="M36" s="419">
        <v>41790</v>
      </c>
      <c r="N36" s="385"/>
    </row>
    <row r="37" spans="1:14" x14ac:dyDescent="0.25">
      <c r="A37" s="385">
        <v>2014</v>
      </c>
      <c r="B37" s="385" t="s">
        <v>2654</v>
      </c>
      <c r="C37" s="385" t="s">
        <v>2655</v>
      </c>
      <c r="D37" s="385" t="s">
        <v>2624</v>
      </c>
      <c r="E37" s="385" t="s">
        <v>2639</v>
      </c>
      <c r="F37" s="417">
        <v>41792</v>
      </c>
      <c r="G37" s="385">
        <v>0</v>
      </c>
      <c r="H37" s="418">
        <v>16.5</v>
      </c>
      <c r="I37" s="385" t="s">
        <v>2656</v>
      </c>
      <c r="J37" s="385" t="s">
        <v>2641</v>
      </c>
      <c r="K37" s="381" t="s">
        <v>2700</v>
      </c>
      <c r="L37" s="385" t="s">
        <v>2698</v>
      </c>
      <c r="M37" s="419">
        <v>41820</v>
      </c>
      <c r="N37" s="385"/>
    </row>
    <row r="38" spans="1:14" x14ac:dyDescent="0.25">
      <c r="A38" s="385">
        <v>2014</v>
      </c>
      <c r="B38" s="385" t="s">
        <v>2654</v>
      </c>
      <c r="C38" s="385" t="s">
        <v>2655</v>
      </c>
      <c r="D38" s="385" t="s">
        <v>2624</v>
      </c>
      <c r="E38" s="385" t="s">
        <v>2639</v>
      </c>
      <c r="F38" s="417">
        <v>41792</v>
      </c>
      <c r="G38" s="385">
        <v>1</v>
      </c>
      <c r="H38" s="418">
        <v>11612.5</v>
      </c>
      <c r="I38" s="385" t="s">
        <v>2656</v>
      </c>
      <c r="J38" s="385" t="s">
        <v>2641</v>
      </c>
      <c r="K38" s="381" t="s">
        <v>2701</v>
      </c>
      <c r="L38" s="385" t="s">
        <v>2698</v>
      </c>
      <c r="M38" s="419">
        <v>41820</v>
      </c>
      <c r="N38" s="385"/>
    </row>
    <row r="39" spans="1:14" x14ac:dyDescent="0.25">
      <c r="A39" s="385">
        <v>2014</v>
      </c>
      <c r="B39" s="385" t="s">
        <v>2654</v>
      </c>
      <c r="C39" s="385" t="s">
        <v>2655</v>
      </c>
      <c r="D39" s="385" t="s">
        <v>2624</v>
      </c>
      <c r="E39" s="385" t="s">
        <v>2639</v>
      </c>
      <c r="F39" s="417">
        <v>41792</v>
      </c>
      <c r="G39" s="385">
        <v>2</v>
      </c>
      <c r="H39" s="418">
        <v>837.5</v>
      </c>
      <c r="I39" s="385" t="s">
        <v>2656</v>
      </c>
      <c r="J39" s="385" t="s">
        <v>2641</v>
      </c>
      <c r="K39" s="381" t="s">
        <v>2702</v>
      </c>
      <c r="L39" s="385" t="s">
        <v>2698</v>
      </c>
      <c r="M39" s="419">
        <v>41820</v>
      </c>
      <c r="N39" s="385"/>
    </row>
    <row r="40" spans="1:14" x14ac:dyDescent="0.25">
      <c r="A40" s="385">
        <v>2014</v>
      </c>
      <c r="B40" s="385" t="s">
        <v>2654</v>
      </c>
      <c r="C40" s="385" t="s">
        <v>2655</v>
      </c>
      <c r="D40" s="385" t="s">
        <v>2624</v>
      </c>
      <c r="E40" s="385" t="s">
        <v>2639</v>
      </c>
      <c r="F40" s="417">
        <v>41821</v>
      </c>
      <c r="G40" s="385">
        <v>0</v>
      </c>
      <c r="H40" s="418">
        <v>29.4</v>
      </c>
      <c r="I40" s="385" t="s">
        <v>2656</v>
      </c>
      <c r="J40" s="385" t="s">
        <v>2641</v>
      </c>
      <c r="K40" s="381" t="s">
        <v>2703</v>
      </c>
      <c r="L40" s="385" t="s">
        <v>2704</v>
      </c>
      <c r="M40" s="419">
        <v>41820</v>
      </c>
      <c r="N40" s="385"/>
    </row>
    <row r="41" spans="1:14" x14ac:dyDescent="0.25">
      <c r="A41" s="385">
        <v>2014</v>
      </c>
      <c r="B41" s="385" t="s">
        <v>2654</v>
      </c>
      <c r="C41" s="385" t="s">
        <v>2655</v>
      </c>
      <c r="D41" s="385" t="s">
        <v>2624</v>
      </c>
      <c r="E41" s="385" t="s">
        <v>2639</v>
      </c>
      <c r="F41" s="417">
        <v>41821</v>
      </c>
      <c r="G41" s="385">
        <v>1</v>
      </c>
      <c r="H41" s="418">
        <v>4541.25</v>
      </c>
      <c r="I41" s="385" t="s">
        <v>2656</v>
      </c>
      <c r="J41" s="385" t="s">
        <v>2641</v>
      </c>
      <c r="K41" s="381" t="s">
        <v>2705</v>
      </c>
      <c r="L41" s="385" t="s">
        <v>2704</v>
      </c>
      <c r="M41" s="419">
        <v>41820</v>
      </c>
      <c r="N41" s="385"/>
    </row>
    <row r="42" spans="1:14" x14ac:dyDescent="0.25">
      <c r="A42" s="385">
        <v>2014</v>
      </c>
      <c r="B42" s="385" t="s">
        <v>2654</v>
      </c>
      <c r="C42" s="385" t="s">
        <v>2655</v>
      </c>
      <c r="D42" s="385" t="s">
        <v>2624</v>
      </c>
      <c r="E42" s="385" t="s">
        <v>2639</v>
      </c>
      <c r="F42" s="417">
        <v>41821</v>
      </c>
      <c r="G42" s="385">
        <v>2</v>
      </c>
      <c r="H42" s="418">
        <v>6582.5</v>
      </c>
      <c r="I42" s="385" t="s">
        <v>2656</v>
      </c>
      <c r="J42" s="385" t="s">
        <v>2641</v>
      </c>
      <c r="K42" s="381" t="s">
        <v>2706</v>
      </c>
      <c r="L42" s="385" t="s">
        <v>2704</v>
      </c>
      <c r="M42" s="419">
        <v>41820</v>
      </c>
      <c r="N42" s="385"/>
    </row>
    <row r="43" spans="1:14" x14ac:dyDescent="0.25">
      <c r="A43" s="385">
        <v>2014</v>
      </c>
      <c r="B43" s="385" t="s">
        <v>2654</v>
      </c>
      <c r="C43" s="385" t="s">
        <v>2655</v>
      </c>
      <c r="D43" s="385" t="s">
        <v>2624</v>
      </c>
      <c r="E43" s="385" t="s">
        <v>2639</v>
      </c>
      <c r="F43" s="417">
        <v>41821</v>
      </c>
      <c r="G43" s="385">
        <v>3</v>
      </c>
      <c r="H43" s="418">
        <v>149.16</v>
      </c>
      <c r="I43" s="385" t="s">
        <v>2656</v>
      </c>
      <c r="J43" s="385" t="s">
        <v>2641</v>
      </c>
      <c r="K43" s="381" t="s">
        <v>2707</v>
      </c>
      <c r="L43" s="385" t="s">
        <v>2704</v>
      </c>
      <c r="M43" s="419">
        <v>41820</v>
      </c>
      <c r="N43" s="385"/>
    </row>
    <row r="44" spans="1:14" x14ac:dyDescent="0.25">
      <c r="A44" s="385">
        <v>2014</v>
      </c>
      <c r="B44" s="385" t="s">
        <v>2654</v>
      </c>
      <c r="C44" s="385" t="s">
        <v>2655</v>
      </c>
      <c r="D44" s="385" t="s">
        <v>2624</v>
      </c>
      <c r="E44" s="385" t="s">
        <v>2639</v>
      </c>
      <c r="F44" s="417">
        <v>41852</v>
      </c>
      <c r="G44" s="385">
        <v>0</v>
      </c>
      <c r="H44" s="418">
        <v>21965.33</v>
      </c>
      <c r="I44" s="385" t="s">
        <v>2656</v>
      </c>
      <c r="J44" s="385" t="s">
        <v>2641</v>
      </c>
      <c r="K44" s="381" t="s">
        <v>2708</v>
      </c>
      <c r="L44" s="385" t="s">
        <v>2709</v>
      </c>
      <c r="M44" s="419">
        <v>41882</v>
      </c>
      <c r="N44" s="385"/>
    </row>
    <row r="45" spans="1:14" x14ac:dyDescent="0.25">
      <c r="A45" s="385">
        <v>2014</v>
      </c>
      <c r="B45" s="385" t="s">
        <v>2654</v>
      </c>
      <c r="C45" s="385" t="s">
        <v>2655</v>
      </c>
      <c r="D45" s="385" t="s">
        <v>2624</v>
      </c>
      <c r="E45" s="385" t="s">
        <v>2639</v>
      </c>
      <c r="F45" s="417">
        <v>41852</v>
      </c>
      <c r="G45" s="385">
        <v>1</v>
      </c>
      <c r="H45" s="418">
        <v>8458.75</v>
      </c>
      <c r="I45" s="385" t="s">
        <v>2656</v>
      </c>
      <c r="J45" s="385" t="s">
        <v>2641</v>
      </c>
      <c r="K45" s="381" t="s">
        <v>2710</v>
      </c>
      <c r="L45" s="385" t="s">
        <v>2711</v>
      </c>
      <c r="M45" s="419">
        <v>41882</v>
      </c>
      <c r="N45" s="385"/>
    </row>
    <row r="46" spans="1:14" x14ac:dyDescent="0.25">
      <c r="A46" s="385">
        <v>2014</v>
      </c>
      <c r="B46" s="385" t="s">
        <v>2654</v>
      </c>
      <c r="C46" s="385" t="s">
        <v>2655</v>
      </c>
      <c r="D46" s="385" t="s">
        <v>2624</v>
      </c>
      <c r="E46" s="385" t="s">
        <v>2639</v>
      </c>
      <c r="F46" s="417">
        <v>41852</v>
      </c>
      <c r="G46" s="385">
        <v>2</v>
      </c>
      <c r="H46" s="418">
        <v>10986.25</v>
      </c>
      <c r="I46" s="385" t="s">
        <v>2656</v>
      </c>
      <c r="J46" s="385" t="s">
        <v>2641</v>
      </c>
      <c r="K46" s="381" t="s">
        <v>2712</v>
      </c>
      <c r="L46" s="385" t="s">
        <v>2711</v>
      </c>
      <c r="M46" s="419">
        <v>41882</v>
      </c>
      <c r="N46" s="385"/>
    </row>
    <row r="47" spans="1:14" x14ac:dyDescent="0.25">
      <c r="A47" s="385">
        <v>2014</v>
      </c>
      <c r="B47" s="385" t="s">
        <v>2654</v>
      </c>
      <c r="C47" s="385" t="s">
        <v>2655</v>
      </c>
      <c r="D47" s="385" t="s">
        <v>2624</v>
      </c>
      <c r="E47" s="385" t="s">
        <v>2639</v>
      </c>
      <c r="F47" s="417">
        <v>41883</v>
      </c>
      <c r="G47" s="385">
        <v>0</v>
      </c>
      <c r="H47" s="418">
        <v>14896.25</v>
      </c>
      <c r="I47" s="385" t="s">
        <v>2656</v>
      </c>
      <c r="J47" s="385" t="s">
        <v>2641</v>
      </c>
      <c r="K47" s="381" t="s">
        <v>2713</v>
      </c>
      <c r="L47" s="385" t="s">
        <v>2709</v>
      </c>
      <c r="M47" s="419">
        <v>41912</v>
      </c>
      <c r="N47" s="385"/>
    </row>
    <row r="48" spans="1:14" x14ac:dyDescent="0.25">
      <c r="A48" s="385">
        <v>2014</v>
      </c>
      <c r="B48" s="385" t="s">
        <v>2654</v>
      </c>
      <c r="C48" s="385" t="s">
        <v>2655</v>
      </c>
      <c r="D48" s="385" t="s">
        <v>2624</v>
      </c>
      <c r="E48" s="385" t="s">
        <v>2639</v>
      </c>
      <c r="F48" s="417">
        <v>41884</v>
      </c>
      <c r="G48" s="385">
        <v>0</v>
      </c>
      <c r="H48" s="418">
        <v>575</v>
      </c>
      <c r="I48" s="385" t="s">
        <v>2656</v>
      </c>
      <c r="J48" s="385" t="s">
        <v>2641</v>
      </c>
      <c r="K48" s="381" t="s">
        <v>2714</v>
      </c>
      <c r="L48" s="385" t="s">
        <v>2715</v>
      </c>
      <c r="M48" s="419">
        <v>41912</v>
      </c>
      <c r="N48" s="385"/>
    </row>
    <row r="49" spans="1:14" x14ac:dyDescent="0.25">
      <c r="A49" s="385">
        <v>2014</v>
      </c>
      <c r="B49" s="385" t="s">
        <v>2654</v>
      </c>
      <c r="C49" s="385" t="s">
        <v>2655</v>
      </c>
      <c r="D49" s="385" t="s">
        <v>2624</v>
      </c>
      <c r="E49" s="385" t="s">
        <v>2639</v>
      </c>
      <c r="F49" s="417">
        <v>41913</v>
      </c>
      <c r="G49" s="385">
        <v>0</v>
      </c>
      <c r="H49" s="418">
        <v>7475</v>
      </c>
      <c r="I49" s="385" t="s">
        <v>2656</v>
      </c>
      <c r="J49" s="385" t="s">
        <v>2641</v>
      </c>
      <c r="K49" s="381" t="s">
        <v>2716</v>
      </c>
      <c r="L49" s="385" t="s">
        <v>2717</v>
      </c>
      <c r="M49" s="419">
        <v>41943</v>
      </c>
      <c r="N49" s="385"/>
    </row>
    <row r="50" spans="1:14" x14ac:dyDescent="0.25">
      <c r="A50" s="385">
        <v>2014</v>
      </c>
      <c r="B50" s="385" t="s">
        <v>2654</v>
      </c>
      <c r="C50" s="385" t="s">
        <v>2655</v>
      </c>
      <c r="D50" s="385" t="s">
        <v>2624</v>
      </c>
      <c r="E50" s="385" t="s">
        <v>2639</v>
      </c>
      <c r="F50" s="417">
        <v>41913</v>
      </c>
      <c r="G50" s="385">
        <v>1</v>
      </c>
      <c r="H50" s="418">
        <v>5041.25</v>
      </c>
      <c r="I50" s="385" t="s">
        <v>2656</v>
      </c>
      <c r="J50" s="385" t="s">
        <v>2641</v>
      </c>
      <c r="K50" s="381" t="s">
        <v>2718</v>
      </c>
      <c r="L50" s="385" t="s">
        <v>2717</v>
      </c>
      <c r="M50" s="419">
        <v>41943</v>
      </c>
      <c r="N50" s="385"/>
    </row>
    <row r="51" spans="1:14" x14ac:dyDescent="0.25">
      <c r="A51" s="385">
        <v>2014</v>
      </c>
      <c r="B51" s="385" t="s">
        <v>2654</v>
      </c>
      <c r="C51" s="385" t="s">
        <v>2655</v>
      </c>
      <c r="D51" s="385" t="s">
        <v>2624</v>
      </c>
      <c r="E51" s="385" t="s">
        <v>2639</v>
      </c>
      <c r="F51" s="417">
        <v>41913</v>
      </c>
      <c r="G51" s="385">
        <v>2</v>
      </c>
      <c r="H51" s="418">
        <v>4.8</v>
      </c>
      <c r="I51" s="385" t="s">
        <v>2656</v>
      </c>
      <c r="J51" s="385" t="s">
        <v>2641</v>
      </c>
      <c r="K51" s="381" t="s">
        <v>2719</v>
      </c>
      <c r="L51" s="385" t="s">
        <v>2717</v>
      </c>
      <c r="M51" s="419">
        <v>41943</v>
      </c>
      <c r="N51" s="385"/>
    </row>
    <row r="52" spans="1:14" x14ac:dyDescent="0.25">
      <c r="A52" s="385">
        <v>2014</v>
      </c>
      <c r="B52" s="385" t="s">
        <v>2654</v>
      </c>
      <c r="C52" s="385" t="s">
        <v>2655</v>
      </c>
      <c r="D52" s="385" t="s">
        <v>2624</v>
      </c>
      <c r="E52" s="385" t="s">
        <v>2639</v>
      </c>
      <c r="F52" s="417">
        <v>41974</v>
      </c>
      <c r="G52" s="385">
        <v>0</v>
      </c>
      <c r="H52" s="418">
        <v>10636.25</v>
      </c>
      <c r="I52" s="385" t="s">
        <v>2656</v>
      </c>
      <c r="J52" s="385" t="s">
        <v>2641</v>
      </c>
      <c r="K52" s="381" t="s">
        <v>2720</v>
      </c>
      <c r="L52" s="385" t="s">
        <v>2721</v>
      </c>
      <c r="M52" s="419">
        <v>42004</v>
      </c>
      <c r="N52" s="385"/>
    </row>
    <row r="53" spans="1:14" x14ac:dyDescent="0.25">
      <c r="A53" s="385">
        <v>2014</v>
      </c>
      <c r="B53" s="385" t="s">
        <v>2654</v>
      </c>
      <c r="C53" s="385" t="s">
        <v>2655</v>
      </c>
      <c r="D53" s="385" t="s">
        <v>2624</v>
      </c>
      <c r="E53" s="385" t="s">
        <v>2639</v>
      </c>
      <c r="F53" s="417">
        <v>41974</v>
      </c>
      <c r="G53" s="385">
        <v>1</v>
      </c>
      <c r="H53" s="418">
        <v>36.6</v>
      </c>
      <c r="I53" s="385" t="s">
        <v>2656</v>
      </c>
      <c r="J53" s="385" t="s">
        <v>2641</v>
      </c>
      <c r="K53" s="381" t="s">
        <v>2722</v>
      </c>
      <c r="L53" s="385" t="s">
        <v>2721</v>
      </c>
      <c r="M53" s="419">
        <v>42004</v>
      </c>
      <c r="N53" s="385"/>
    </row>
    <row r="54" spans="1:14" x14ac:dyDescent="0.25">
      <c r="A54" s="385">
        <v>2014</v>
      </c>
      <c r="B54" s="385" t="s">
        <v>2654</v>
      </c>
      <c r="C54" s="385" t="s">
        <v>2655</v>
      </c>
      <c r="D54" s="385" t="s">
        <v>2624</v>
      </c>
      <c r="E54" s="385" t="s">
        <v>2639</v>
      </c>
      <c r="F54" s="417">
        <v>41974</v>
      </c>
      <c r="G54" s="385">
        <v>2</v>
      </c>
      <c r="H54" s="418">
        <v>3946.25</v>
      </c>
      <c r="I54" s="385" t="s">
        <v>2656</v>
      </c>
      <c r="J54" s="385" t="s">
        <v>2641</v>
      </c>
      <c r="K54" s="381" t="s">
        <v>2723</v>
      </c>
      <c r="L54" s="385" t="s">
        <v>2721</v>
      </c>
      <c r="M54" s="419">
        <v>42004</v>
      </c>
      <c r="N54" s="385"/>
    </row>
    <row r="55" spans="1:14" x14ac:dyDescent="0.25">
      <c r="A55" s="385">
        <v>2014</v>
      </c>
      <c r="B55" s="385" t="s">
        <v>2654</v>
      </c>
      <c r="C55" s="385" t="s">
        <v>2655</v>
      </c>
      <c r="D55" s="385" t="s">
        <v>2624</v>
      </c>
      <c r="E55" s="385" t="s">
        <v>2639</v>
      </c>
      <c r="F55" s="417">
        <v>41988</v>
      </c>
      <c r="G55" s="385">
        <v>0</v>
      </c>
      <c r="H55" s="418">
        <v>-2771.62</v>
      </c>
      <c r="I55" s="385" t="s">
        <v>2724</v>
      </c>
      <c r="J55" s="385" t="s">
        <v>2725</v>
      </c>
      <c r="K55" s="381"/>
      <c r="L55" s="385" t="s">
        <v>2726</v>
      </c>
      <c r="M55" s="419">
        <v>42004</v>
      </c>
      <c r="N55" s="385"/>
    </row>
    <row r="56" spans="1:14" x14ac:dyDescent="0.25">
      <c r="A56" s="385">
        <v>2014</v>
      </c>
      <c r="B56" s="385" t="s">
        <v>2654</v>
      </c>
      <c r="C56" s="385" t="s">
        <v>2655</v>
      </c>
      <c r="D56" s="385" t="s">
        <v>2624</v>
      </c>
      <c r="E56" s="385" t="s">
        <v>2639</v>
      </c>
      <c r="F56" s="417">
        <v>41988</v>
      </c>
      <c r="G56" s="385">
        <v>1</v>
      </c>
      <c r="H56" s="424">
        <v>-4082.33</v>
      </c>
      <c r="I56" s="421" t="s">
        <v>2724</v>
      </c>
      <c r="J56" s="421" t="s">
        <v>2727</v>
      </c>
      <c r="K56" s="422"/>
      <c r="L56" s="385" t="s">
        <v>2726</v>
      </c>
      <c r="M56" s="419">
        <v>42004</v>
      </c>
      <c r="N56" s="385"/>
    </row>
    <row r="57" spans="1:14" x14ac:dyDescent="0.25">
      <c r="A57" s="385"/>
      <c r="B57" s="385"/>
      <c r="C57" s="385"/>
      <c r="D57" s="385"/>
      <c r="E57" s="385"/>
      <c r="F57" s="417"/>
      <c r="G57" s="385"/>
      <c r="H57" s="420">
        <f>SUM(H20:H56)</f>
        <v>181290.80000000002</v>
      </c>
      <c r="I57" s="421"/>
      <c r="J57" s="421"/>
      <c r="K57" s="422"/>
      <c r="L57" s="385"/>
      <c r="M57" s="419"/>
      <c r="N57" s="385"/>
    </row>
    <row r="58" spans="1:14" x14ac:dyDescent="0.25">
      <c r="A58" s="385"/>
      <c r="B58" s="385"/>
      <c r="C58" s="385"/>
      <c r="D58" s="385"/>
      <c r="E58" s="385"/>
      <c r="F58" s="417"/>
      <c r="G58" s="385"/>
      <c r="H58" s="420"/>
      <c r="I58" s="421"/>
      <c r="J58" s="421"/>
      <c r="K58" s="422"/>
      <c r="L58" s="385"/>
      <c r="M58" s="419"/>
      <c r="N58" s="385"/>
    </row>
    <row r="59" spans="1:14" x14ac:dyDescent="0.25">
      <c r="A59" s="385"/>
      <c r="B59" s="385"/>
      <c r="C59" s="385"/>
      <c r="D59" s="385"/>
      <c r="E59" s="385"/>
      <c r="F59" s="417"/>
      <c r="G59" s="385"/>
      <c r="H59" s="420"/>
      <c r="I59" s="421"/>
      <c r="J59" s="421"/>
      <c r="K59" s="422"/>
      <c r="L59" s="385"/>
      <c r="M59" s="419"/>
      <c r="N59" s="385"/>
    </row>
    <row r="60" spans="1:14" x14ac:dyDescent="0.25">
      <c r="A60" s="385">
        <v>2015</v>
      </c>
      <c r="B60" s="385" t="s">
        <v>2654</v>
      </c>
      <c r="C60" s="385" t="s">
        <v>2655</v>
      </c>
      <c r="D60" s="385" t="s">
        <v>2624</v>
      </c>
      <c r="E60" s="385" t="s">
        <v>2639</v>
      </c>
      <c r="F60" s="417">
        <v>42006</v>
      </c>
      <c r="G60" s="385">
        <v>0</v>
      </c>
      <c r="H60" s="415">
        <v>1265</v>
      </c>
      <c r="I60" s="385" t="s">
        <v>2656</v>
      </c>
      <c r="J60" s="385" t="s">
        <v>2641</v>
      </c>
      <c r="K60" s="381" t="s">
        <v>2728</v>
      </c>
      <c r="L60" s="385" t="s">
        <v>2729</v>
      </c>
      <c r="M60" s="419">
        <v>42035</v>
      </c>
      <c r="N60" s="385"/>
    </row>
    <row r="61" spans="1:14" x14ac:dyDescent="0.25">
      <c r="A61" s="385">
        <v>2015</v>
      </c>
      <c r="B61" s="385" t="s">
        <v>2654</v>
      </c>
      <c r="C61" s="385" t="s">
        <v>2655</v>
      </c>
      <c r="D61" s="385" t="s">
        <v>2624</v>
      </c>
      <c r="E61" s="385" t="s">
        <v>2639</v>
      </c>
      <c r="F61" s="417">
        <v>42006</v>
      </c>
      <c r="G61" s="385">
        <v>1</v>
      </c>
      <c r="H61" s="415">
        <v>6616.25</v>
      </c>
      <c r="I61" s="385" t="s">
        <v>2656</v>
      </c>
      <c r="J61" s="385" t="s">
        <v>2641</v>
      </c>
      <c r="K61" s="381" t="s">
        <v>2730</v>
      </c>
      <c r="L61" s="385" t="s">
        <v>2729</v>
      </c>
      <c r="M61" s="419">
        <v>42035</v>
      </c>
      <c r="N61" s="385"/>
    </row>
    <row r="62" spans="1:14" x14ac:dyDescent="0.25">
      <c r="A62" s="385">
        <v>2015</v>
      </c>
      <c r="B62" s="385" t="s">
        <v>2654</v>
      </c>
      <c r="C62" s="385" t="s">
        <v>2655</v>
      </c>
      <c r="D62" s="385" t="s">
        <v>2624</v>
      </c>
      <c r="E62" s="385" t="s">
        <v>2639</v>
      </c>
      <c r="F62" s="417">
        <v>42064</v>
      </c>
      <c r="G62" s="385">
        <v>0</v>
      </c>
      <c r="H62" s="415">
        <v>127.95</v>
      </c>
      <c r="I62" s="385" t="s">
        <v>2656</v>
      </c>
      <c r="J62" s="385" t="s">
        <v>2641</v>
      </c>
      <c r="K62" s="381" t="s">
        <v>2731</v>
      </c>
      <c r="L62" s="385" t="s">
        <v>2732</v>
      </c>
      <c r="M62" s="419">
        <v>42094</v>
      </c>
      <c r="N62" s="385"/>
    </row>
    <row r="63" spans="1:14" x14ac:dyDescent="0.25">
      <c r="A63" s="385">
        <v>2015</v>
      </c>
      <c r="B63" s="385" t="s">
        <v>2654</v>
      </c>
      <c r="C63" s="385" t="s">
        <v>2655</v>
      </c>
      <c r="D63" s="385" t="s">
        <v>2624</v>
      </c>
      <c r="E63" s="385" t="s">
        <v>2639</v>
      </c>
      <c r="F63" s="417">
        <v>42064</v>
      </c>
      <c r="G63" s="385">
        <v>1</v>
      </c>
      <c r="H63" s="415">
        <v>6281.25</v>
      </c>
      <c r="I63" s="385" t="s">
        <v>2656</v>
      </c>
      <c r="J63" s="385" t="s">
        <v>2641</v>
      </c>
      <c r="K63" s="381" t="s">
        <v>2733</v>
      </c>
      <c r="L63" s="385" t="s">
        <v>2732</v>
      </c>
      <c r="M63" s="419">
        <v>42094</v>
      </c>
      <c r="N63" s="385"/>
    </row>
    <row r="64" spans="1:14" x14ac:dyDescent="0.25">
      <c r="A64" s="385">
        <v>2015</v>
      </c>
      <c r="B64" s="385" t="s">
        <v>2654</v>
      </c>
      <c r="C64" s="385" t="s">
        <v>2655</v>
      </c>
      <c r="D64" s="385" t="s">
        <v>2624</v>
      </c>
      <c r="E64" s="385" t="s">
        <v>2639</v>
      </c>
      <c r="F64" s="417">
        <v>42064</v>
      </c>
      <c r="G64" s="385">
        <v>2</v>
      </c>
      <c r="H64" s="415">
        <v>6146.25</v>
      </c>
      <c r="I64" s="385" t="s">
        <v>2656</v>
      </c>
      <c r="J64" s="385" t="s">
        <v>2641</v>
      </c>
      <c r="K64" s="381" t="s">
        <v>2734</v>
      </c>
      <c r="L64" s="385" t="s">
        <v>2732</v>
      </c>
      <c r="M64" s="419">
        <v>42094</v>
      </c>
      <c r="N64" s="385"/>
    </row>
    <row r="65" spans="1:14" x14ac:dyDescent="0.25">
      <c r="A65" s="385">
        <v>2015</v>
      </c>
      <c r="B65" s="385" t="s">
        <v>2654</v>
      </c>
      <c r="C65" s="385" t="s">
        <v>2655</v>
      </c>
      <c r="D65" s="385" t="s">
        <v>2624</v>
      </c>
      <c r="E65" s="385" t="s">
        <v>2639</v>
      </c>
      <c r="F65" s="417">
        <v>42065</v>
      </c>
      <c r="G65" s="385">
        <v>0</v>
      </c>
      <c r="H65" s="415">
        <v>14907.5</v>
      </c>
      <c r="I65" s="385" t="s">
        <v>2656</v>
      </c>
      <c r="J65" s="385" t="s">
        <v>2641</v>
      </c>
      <c r="K65" s="381" t="s">
        <v>2735</v>
      </c>
      <c r="L65" s="385" t="s">
        <v>2736</v>
      </c>
      <c r="M65" s="419">
        <v>42094</v>
      </c>
      <c r="N65" s="385"/>
    </row>
    <row r="66" spans="1:14" x14ac:dyDescent="0.25">
      <c r="A66" s="385">
        <v>2015</v>
      </c>
      <c r="B66" s="385" t="s">
        <v>2654</v>
      </c>
      <c r="C66" s="385" t="s">
        <v>2655</v>
      </c>
      <c r="D66" s="385" t="s">
        <v>2624</v>
      </c>
      <c r="E66" s="385" t="s">
        <v>2639</v>
      </c>
      <c r="F66" s="417">
        <v>42071</v>
      </c>
      <c r="G66" s="385">
        <v>0</v>
      </c>
      <c r="H66" s="415">
        <v>251.25</v>
      </c>
      <c r="I66" s="385" t="s">
        <v>2656</v>
      </c>
      <c r="J66" s="385" t="s">
        <v>2641</v>
      </c>
      <c r="K66" s="381" t="s">
        <v>2737</v>
      </c>
      <c r="L66" s="385" t="s">
        <v>2736</v>
      </c>
      <c r="M66" s="419">
        <v>42094</v>
      </c>
      <c r="N66" s="385"/>
    </row>
    <row r="67" spans="1:14" x14ac:dyDescent="0.25">
      <c r="A67" s="385">
        <v>2015</v>
      </c>
      <c r="B67" s="385" t="s">
        <v>2654</v>
      </c>
      <c r="C67" s="385" t="s">
        <v>2655</v>
      </c>
      <c r="D67" s="385" t="s">
        <v>2624</v>
      </c>
      <c r="E67" s="385" t="s">
        <v>2639</v>
      </c>
      <c r="F67" s="417">
        <v>42095</v>
      </c>
      <c r="G67" s="385">
        <v>0</v>
      </c>
      <c r="H67" s="415">
        <v>8330</v>
      </c>
      <c r="I67" s="385" t="s">
        <v>2656</v>
      </c>
      <c r="J67" s="385" t="s">
        <v>2641</v>
      </c>
      <c r="K67" s="381" t="s">
        <v>2738</v>
      </c>
      <c r="L67" s="385" t="s">
        <v>2739</v>
      </c>
      <c r="M67" s="419">
        <v>42124</v>
      </c>
      <c r="N67" s="385"/>
    </row>
    <row r="68" spans="1:14" x14ac:dyDescent="0.25">
      <c r="A68" s="385">
        <v>2015</v>
      </c>
      <c r="B68" s="385" t="s">
        <v>2654</v>
      </c>
      <c r="C68" s="385" t="s">
        <v>2655</v>
      </c>
      <c r="D68" s="385" t="s">
        <v>2624</v>
      </c>
      <c r="E68" s="385" t="s">
        <v>2639</v>
      </c>
      <c r="F68" s="417">
        <v>42095</v>
      </c>
      <c r="G68" s="385">
        <v>1</v>
      </c>
      <c r="H68" s="415">
        <v>99.12</v>
      </c>
      <c r="I68" s="385" t="s">
        <v>2656</v>
      </c>
      <c r="J68" s="385" t="s">
        <v>2641</v>
      </c>
      <c r="K68" s="381" t="s">
        <v>2740</v>
      </c>
      <c r="L68" s="385" t="s">
        <v>2739</v>
      </c>
      <c r="M68" s="419">
        <v>42124</v>
      </c>
      <c r="N68" s="385"/>
    </row>
    <row r="69" spans="1:14" x14ac:dyDescent="0.25">
      <c r="A69" s="385">
        <v>2015</v>
      </c>
      <c r="B69" s="385" t="s">
        <v>2654</v>
      </c>
      <c r="C69" s="385" t="s">
        <v>2655</v>
      </c>
      <c r="D69" s="385" t="s">
        <v>2624</v>
      </c>
      <c r="E69" s="385" t="s">
        <v>2639</v>
      </c>
      <c r="F69" s="417">
        <v>42095</v>
      </c>
      <c r="G69" s="385">
        <v>2</v>
      </c>
      <c r="H69" s="415">
        <v>11448.75</v>
      </c>
      <c r="I69" s="385" t="s">
        <v>2656</v>
      </c>
      <c r="J69" s="385" t="s">
        <v>2641</v>
      </c>
      <c r="K69" s="381" t="s">
        <v>2741</v>
      </c>
      <c r="L69" s="385" t="s">
        <v>2739</v>
      </c>
      <c r="M69" s="419">
        <v>42124</v>
      </c>
      <c r="N69" s="385"/>
    </row>
    <row r="70" spans="1:14" x14ac:dyDescent="0.25">
      <c r="A70" s="385">
        <v>2015</v>
      </c>
      <c r="B70" s="385" t="s">
        <v>2654</v>
      </c>
      <c r="C70" s="385" t="s">
        <v>2655</v>
      </c>
      <c r="D70" s="385" t="s">
        <v>2624</v>
      </c>
      <c r="E70" s="385" t="s">
        <v>2639</v>
      </c>
      <c r="F70" s="417">
        <v>42125</v>
      </c>
      <c r="G70" s="385">
        <v>0</v>
      </c>
      <c r="H70" s="415">
        <v>4611.25</v>
      </c>
      <c r="I70" s="385" t="s">
        <v>2656</v>
      </c>
      <c r="J70" s="385" t="s">
        <v>2641</v>
      </c>
      <c r="K70" s="381" t="s">
        <v>2742</v>
      </c>
      <c r="L70" s="385" t="s">
        <v>2743</v>
      </c>
      <c r="M70" s="419">
        <v>42155</v>
      </c>
      <c r="N70" s="385"/>
    </row>
    <row r="71" spans="1:14" x14ac:dyDescent="0.25">
      <c r="A71" s="385">
        <v>2015</v>
      </c>
      <c r="B71" s="385" t="s">
        <v>2654</v>
      </c>
      <c r="C71" s="385" t="s">
        <v>2655</v>
      </c>
      <c r="D71" s="385" t="s">
        <v>2624</v>
      </c>
      <c r="E71" s="385" t="s">
        <v>2639</v>
      </c>
      <c r="F71" s="417">
        <v>42125</v>
      </c>
      <c r="G71" s="385">
        <v>1</v>
      </c>
      <c r="H71" s="415">
        <v>65.7</v>
      </c>
      <c r="I71" s="385" t="s">
        <v>2656</v>
      </c>
      <c r="J71" s="385" t="s">
        <v>2641</v>
      </c>
      <c r="K71" s="381" t="s">
        <v>2744</v>
      </c>
      <c r="L71" s="385" t="s">
        <v>2743</v>
      </c>
      <c r="M71" s="419">
        <v>42155</v>
      </c>
      <c r="N71" s="385"/>
    </row>
    <row r="72" spans="1:14" x14ac:dyDescent="0.25">
      <c r="A72" s="385">
        <v>2015</v>
      </c>
      <c r="B72" s="385" t="s">
        <v>2654</v>
      </c>
      <c r="C72" s="385" t="s">
        <v>2655</v>
      </c>
      <c r="D72" s="385" t="s">
        <v>2624</v>
      </c>
      <c r="E72" s="385" t="s">
        <v>2639</v>
      </c>
      <c r="F72" s="417">
        <v>42125</v>
      </c>
      <c r="G72" s="385">
        <v>2</v>
      </c>
      <c r="H72" s="415">
        <v>7202.5</v>
      </c>
      <c r="I72" s="385" t="s">
        <v>2656</v>
      </c>
      <c r="J72" s="385" t="s">
        <v>2641</v>
      </c>
      <c r="K72" s="381" t="s">
        <v>2745</v>
      </c>
      <c r="L72" s="385" t="s">
        <v>2743</v>
      </c>
      <c r="M72" s="419">
        <v>42155</v>
      </c>
      <c r="N72" s="385"/>
    </row>
    <row r="73" spans="1:14" x14ac:dyDescent="0.25">
      <c r="A73" s="385">
        <v>2015</v>
      </c>
      <c r="B73" s="385" t="s">
        <v>2654</v>
      </c>
      <c r="C73" s="385" t="s">
        <v>2655</v>
      </c>
      <c r="D73" s="385" t="s">
        <v>2624</v>
      </c>
      <c r="E73" s="385" t="s">
        <v>2639</v>
      </c>
      <c r="F73" s="417">
        <v>42156</v>
      </c>
      <c r="G73" s="385">
        <v>0</v>
      </c>
      <c r="H73" s="415">
        <v>4941.25</v>
      </c>
      <c r="I73" s="385" t="s">
        <v>2656</v>
      </c>
      <c r="J73" s="385" t="s">
        <v>2641</v>
      </c>
      <c r="K73" s="381" t="s">
        <v>2746</v>
      </c>
      <c r="L73" s="385" t="s">
        <v>2747</v>
      </c>
      <c r="M73" s="419">
        <v>42185</v>
      </c>
      <c r="N73" s="385"/>
    </row>
    <row r="74" spans="1:14" x14ac:dyDescent="0.25">
      <c r="A74" s="385">
        <v>2015</v>
      </c>
      <c r="B74" s="385" t="s">
        <v>2654</v>
      </c>
      <c r="C74" s="385" t="s">
        <v>2655</v>
      </c>
      <c r="D74" s="385" t="s">
        <v>2624</v>
      </c>
      <c r="E74" s="385" t="s">
        <v>2639</v>
      </c>
      <c r="F74" s="417">
        <v>42156</v>
      </c>
      <c r="G74" s="385">
        <v>1</v>
      </c>
      <c r="H74" s="415">
        <v>390.16</v>
      </c>
      <c r="I74" s="385" t="s">
        <v>2656</v>
      </c>
      <c r="J74" s="385" t="s">
        <v>2641</v>
      </c>
      <c r="K74" s="381" t="s">
        <v>2748</v>
      </c>
      <c r="L74" s="385" t="s">
        <v>2747</v>
      </c>
      <c r="M74" s="419">
        <v>42185</v>
      </c>
      <c r="N74" s="385"/>
    </row>
    <row r="75" spans="1:14" x14ac:dyDescent="0.25">
      <c r="A75" s="385">
        <v>2015</v>
      </c>
      <c r="B75" s="385" t="s">
        <v>2654</v>
      </c>
      <c r="C75" s="385" t="s">
        <v>2655</v>
      </c>
      <c r="D75" s="385" t="s">
        <v>2624</v>
      </c>
      <c r="E75" s="385" t="s">
        <v>2639</v>
      </c>
      <c r="F75" s="417">
        <v>42156</v>
      </c>
      <c r="G75" s="385">
        <v>2</v>
      </c>
      <c r="H75" s="415">
        <v>22315</v>
      </c>
      <c r="I75" s="385" t="s">
        <v>2656</v>
      </c>
      <c r="J75" s="385" t="s">
        <v>2641</v>
      </c>
      <c r="K75" s="381" t="s">
        <v>2749</v>
      </c>
      <c r="L75" s="385" t="s">
        <v>2747</v>
      </c>
      <c r="M75" s="419">
        <v>42185</v>
      </c>
      <c r="N75" s="385"/>
    </row>
    <row r="76" spans="1:14" x14ac:dyDescent="0.25">
      <c r="A76" s="385">
        <v>2015</v>
      </c>
      <c r="B76" s="385" t="s">
        <v>2654</v>
      </c>
      <c r="C76" s="385" t="s">
        <v>2655</v>
      </c>
      <c r="D76" s="385" t="s">
        <v>2624</v>
      </c>
      <c r="E76" s="385" t="s">
        <v>2639</v>
      </c>
      <c r="F76" s="417">
        <v>42156</v>
      </c>
      <c r="G76" s="385">
        <v>3</v>
      </c>
      <c r="H76" s="415">
        <v>820.13</v>
      </c>
      <c r="I76" s="385" t="s">
        <v>2656</v>
      </c>
      <c r="J76" s="385" t="s">
        <v>2641</v>
      </c>
      <c r="K76" s="381" t="s">
        <v>2750</v>
      </c>
      <c r="L76" s="385" t="s">
        <v>2747</v>
      </c>
      <c r="M76" s="419">
        <v>42185</v>
      </c>
      <c r="N76" s="385"/>
    </row>
    <row r="77" spans="1:14" x14ac:dyDescent="0.25">
      <c r="A77" s="385">
        <v>2015</v>
      </c>
      <c r="B77" s="385" t="s">
        <v>2654</v>
      </c>
      <c r="C77" s="385" t="s">
        <v>2655</v>
      </c>
      <c r="D77" s="385" t="s">
        <v>2624</v>
      </c>
      <c r="E77" s="385" t="s">
        <v>2639</v>
      </c>
      <c r="F77" s="417">
        <v>42173</v>
      </c>
      <c r="G77" s="385">
        <v>0</v>
      </c>
      <c r="H77" s="415">
        <v>-17811.41</v>
      </c>
      <c r="I77" s="385" t="s">
        <v>2751</v>
      </c>
      <c r="J77" s="385" t="s">
        <v>2752</v>
      </c>
      <c r="K77" s="381"/>
      <c r="L77" s="385" t="s">
        <v>2753</v>
      </c>
      <c r="M77" s="419">
        <v>42185</v>
      </c>
      <c r="N77" s="385"/>
    </row>
    <row r="78" spans="1:14" x14ac:dyDescent="0.25">
      <c r="A78" s="385">
        <v>2015</v>
      </c>
      <c r="B78" s="385" t="s">
        <v>2654</v>
      </c>
      <c r="C78" s="385" t="s">
        <v>2655</v>
      </c>
      <c r="D78" s="385" t="s">
        <v>2624</v>
      </c>
      <c r="E78" s="385" t="s">
        <v>2639</v>
      </c>
      <c r="F78" s="417">
        <v>42173</v>
      </c>
      <c r="G78" s="385">
        <v>1</v>
      </c>
      <c r="H78" s="415">
        <v>-4294.3900000000003</v>
      </c>
      <c r="I78" s="385" t="s">
        <v>2751</v>
      </c>
      <c r="J78" s="385" t="s">
        <v>2754</v>
      </c>
      <c r="K78" s="381"/>
      <c r="L78" s="385" t="s">
        <v>2753</v>
      </c>
      <c r="M78" s="419">
        <v>42185</v>
      </c>
      <c r="N78" s="385"/>
    </row>
    <row r="79" spans="1:14" x14ac:dyDescent="0.25">
      <c r="A79" s="385">
        <v>2015</v>
      </c>
      <c r="B79" s="385" t="s">
        <v>2654</v>
      </c>
      <c r="C79" s="385" t="s">
        <v>2655</v>
      </c>
      <c r="D79" s="385" t="s">
        <v>2624</v>
      </c>
      <c r="E79" s="385" t="s">
        <v>2639</v>
      </c>
      <c r="F79" s="417">
        <v>42186</v>
      </c>
      <c r="G79" s="385">
        <v>0</v>
      </c>
      <c r="H79" s="415">
        <v>153.16</v>
      </c>
      <c r="I79" s="385" t="s">
        <v>2656</v>
      </c>
      <c r="J79" s="385" t="s">
        <v>2641</v>
      </c>
      <c r="K79" s="381" t="s">
        <v>2755</v>
      </c>
      <c r="L79" s="385" t="s">
        <v>2756</v>
      </c>
      <c r="M79" s="419">
        <v>42216</v>
      </c>
      <c r="N79" s="385"/>
    </row>
    <row r="80" spans="1:14" x14ac:dyDescent="0.25">
      <c r="A80" s="385">
        <v>2015</v>
      </c>
      <c r="B80" s="385" t="s">
        <v>2654</v>
      </c>
      <c r="C80" s="385" t="s">
        <v>2655</v>
      </c>
      <c r="D80" s="385" t="s">
        <v>2624</v>
      </c>
      <c r="E80" s="385" t="s">
        <v>2639</v>
      </c>
      <c r="F80" s="417">
        <v>42186</v>
      </c>
      <c r="G80" s="385">
        <v>1</v>
      </c>
      <c r="H80" s="415">
        <v>4690</v>
      </c>
      <c r="I80" s="385" t="s">
        <v>2656</v>
      </c>
      <c r="J80" s="385" t="s">
        <v>2641</v>
      </c>
      <c r="K80" s="381" t="s">
        <v>2757</v>
      </c>
      <c r="L80" s="385" t="s">
        <v>2756</v>
      </c>
      <c r="M80" s="419">
        <v>42216</v>
      </c>
      <c r="N80" s="385"/>
    </row>
    <row r="81" spans="1:14" x14ac:dyDescent="0.25">
      <c r="A81" s="385">
        <v>2015</v>
      </c>
      <c r="B81" s="385" t="s">
        <v>2654</v>
      </c>
      <c r="C81" s="385" t="s">
        <v>2655</v>
      </c>
      <c r="D81" s="385" t="s">
        <v>2624</v>
      </c>
      <c r="E81" s="385" t="s">
        <v>2639</v>
      </c>
      <c r="F81" s="417">
        <v>42186</v>
      </c>
      <c r="G81" s="385">
        <v>2</v>
      </c>
      <c r="H81" s="415">
        <v>7263.75</v>
      </c>
      <c r="I81" s="385" t="s">
        <v>2656</v>
      </c>
      <c r="J81" s="385" t="s">
        <v>2641</v>
      </c>
      <c r="K81" s="381" t="s">
        <v>2758</v>
      </c>
      <c r="L81" s="385" t="s">
        <v>2756</v>
      </c>
      <c r="M81" s="419">
        <v>42216</v>
      </c>
      <c r="N81" s="385"/>
    </row>
    <row r="82" spans="1:14" x14ac:dyDescent="0.25">
      <c r="A82" s="385">
        <v>2015</v>
      </c>
      <c r="B82" s="385" t="s">
        <v>2654</v>
      </c>
      <c r="C82" s="385" t="s">
        <v>2655</v>
      </c>
      <c r="D82" s="385" t="s">
        <v>2624</v>
      </c>
      <c r="E82" s="385" t="s">
        <v>2639</v>
      </c>
      <c r="F82" s="417">
        <v>42219</v>
      </c>
      <c r="G82" s="385">
        <v>0</v>
      </c>
      <c r="H82" s="415">
        <v>17255</v>
      </c>
      <c r="I82" s="385" t="s">
        <v>2656</v>
      </c>
      <c r="J82" s="385" t="s">
        <v>2641</v>
      </c>
      <c r="K82" s="381" t="s">
        <v>2759</v>
      </c>
      <c r="L82" s="385" t="s">
        <v>2760</v>
      </c>
      <c r="M82" s="419">
        <v>42247</v>
      </c>
      <c r="N82" s="385"/>
    </row>
    <row r="83" spans="1:14" x14ac:dyDescent="0.25">
      <c r="A83" s="385">
        <v>2015</v>
      </c>
      <c r="B83" s="385" t="s">
        <v>2654</v>
      </c>
      <c r="C83" s="385" t="s">
        <v>2655</v>
      </c>
      <c r="D83" s="385" t="s">
        <v>2624</v>
      </c>
      <c r="E83" s="385" t="s">
        <v>2639</v>
      </c>
      <c r="F83" s="417">
        <v>42219</v>
      </c>
      <c r="G83" s="385">
        <v>1</v>
      </c>
      <c r="H83" s="415">
        <v>4522.5</v>
      </c>
      <c r="I83" s="385" t="s">
        <v>2656</v>
      </c>
      <c r="J83" s="385" t="s">
        <v>2641</v>
      </c>
      <c r="K83" s="381" t="s">
        <v>2761</v>
      </c>
      <c r="L83" s="385" t="s">
        <v>2760</v>
      </c>
      <c r="M83" s="419">
        <v>42247</v>
      </c>
      <c r="N83" s="385"/>
    </row>
    <row r="84" spans="1:14" x14ac:dyDescent="0.25">
      <c r="A84" s="385">
        <v>2015</v>
      </c>
      <c r="B84" s="385" t="s">
        <v>2654</v>
      </c>
      <c r="C84" s="385" t="s">
        <v>2655</v>
      </c>
      <c r="D84" s="385" t="s">
        <v>2624</v>
      </c>
      <c r="E84" s="385" t="s">
        <v>2639</v>
      </c>
      <c r="F84" s="417">
        <v>42233</v>
      </c>
      <c r="G84" s="385">
        <v>0</v>
      </c>
      <c r="H84" s="415">
        <v>17344.18</v>
      </c>
      <c r="I84" s="385" t="s">
        <v>2656</v>
      </c>
      <c r="J84" s="385" t="s">
        <v>2762</v>
      </c>
      <c r="K84" s="381" t="s">
        <v>2763</v>
      </c>
      <c r="L84" s="385" t="s">
        <v>2764</v>
      </c>
      <c r="M84" s="419">
        <v>42247</v>
      </c>
      <c r="N84" s="385"/>
    </row>
    <row r="85" spans="1:14" x14ac:dyDescent="0.25">
      <c r="A85" s="385">
        <v>2015</v>
      </c>
      <c r="B85" s="385" t="s">
        <v>2654</v>
      </c>
      <c r="C85" s="385" t="s">
        <v>2655</v>
      </c>
      <c r="D85" s="385" t="s">
        <v>2624</v>
      </c>
      <c r="E85" s="385" t="s">
        <v>2639</v>
      </c>
      <c r="F85" s="417">
        <v>42248</v>
      </c>
      <c r="G85" s="385">
        <v>0</v>
      </c>
      <c r="H85" s="415">
        <v>4371.25</v>
      </c>
      <c r="I85" s="385" t="s">
        <v>2656</v>
      </c>
      <c r="J85" s="385" t="s">
        <v>2641</v>
      </c>
      <c r="K85" s="381" t="s">
        <v>2765</v>
      </c>
      <c r="L85" s="385" t="s">
        <v>2766</v>
      </c>
      <c r="M85" s="419">
        <v>42277</v>
      </c>
      <c r="N85" s="385"/>
    </row>
    <row r="86" spans="1:14" x14ac:dyDescent="0.25">
      <c r="A86" s="385">
        <v>2015</v>
      </c>
      <c r="B86" s="385" t="s">
        <v>2654</v>
      </c>
      <c r="C86" s="385" t="s">
        <v>2655</v>
      </c>
      <c r="D86" s="385" t="s">
        <v>2624</v>
      </c>
      <c r="E86" s="385" t="s">
        <v>2639</v>
      </c>
      <c r="F86" s="417">
        <v>42248</v>
      </c>
      <c r="G86" s="385">
        <v>1</v>
      </c>
      <c r="H86" s="415">
        <v>61.41</v>
      </c>
      <c r="I86" s="385" t="s">
        <v>2656</v>
      </c>
      <c r="J86" s="385" t="s">
        <v>2641</v>
      </c>
      <c r="K86" s="381" t="s">
        <v>2767</v>
      </c>
      <c r="L86" s="385" t="s">
        <v>2766</v>
      </c>
      <c r="M86" s="419">
        <v>42277</v>
      </c>
      <c r="N86" s="385"/>
    </row>
    <row r="87" spans="1:14" x14ac:dyDescent="0.25">
      <c r="A87" s="385">
        <v>2015</v>
      </c>
      <c r="B87" s="385" t="s">
        <v>2654</v>
      </c>
      <c r="C87" s="385" t="s">
        <v>2655</v>
      </c>
      <c r="D87" s="385" t="s">
        <v>2624</v>
      </c>
      <c r="E87" s="385" t="s">
        <v>2639</v>
      </c>
      <c r="F87" s="417">
        <v>42248</v>
      </c>
      <c r="G87" s="385">
        <v>2</v>
      </c>
      <c r="H87" s="423">
        <v>10038.75</v>
      </c>
      <c r="I87" s="385" t="s">
        <v>2656</v>
      </c>
      <c r="J87" s="385" t="s">
        <v>2641</v>
      </c>
      <c r="K87" s="381" t="s">
        <v>2768</v>
      </c>
      <c r="L87" s="385" t="s">
        <v>2766</v>
      </c>
      <c r="M87" s="419">
        <v>42277</v>
      </c>
      <c r="N87" s="385"/>
    </row>
    <row r="88" spans="1:14" x14ac:dyDescent="0.25">
      <c r="A88" s="385"/>
      <c r="B88" s="385"/>
      <c r="C88" s="385"/>
      <c r="D88" s="385"/>
      <c r="E88" s="385"/>
      <c r="F88" s="417"/>
      <c r="G88" s="421"/>
      <c r="H88" s="416">
        <f>SUM(H60:H87)</f>
        <v>139413.51</v>
      </c>
      <c r="I88" s="421"/>
      <c r="J88" s="421"/>
      <c r="K88" s="421"/>
      <c r="L88" s="421"/>
      <c r="M88" s="385"/>
      <c r="N88" s="385"/>
    </row>
    <row r="89" spans="1:14" x14ac:dyDescent="0.25">
      <c r="N89" s="385"/>
    </row>
    <row r="90" spans="1:14" x14ac:dyDescent="0.25">
      <c r="N90" s="385"/>
    </row>
    <row r="91" spans="1:14" x14ac:dyDescent="0.25">
      <c r="N91" s="385"/>
    </row>
    <row r="92" spans="1:14" x14ac:dyDescent="0.25">
      <c r="N92" s="385"/>
    </row>
    <row r="93" spans="1:14" x14ac:dyDescent="0.25">
      <c r="N93" s="385"/>
    </row>
    <row r="94" spans="1:14" x14ac:dyDescent="0.25">
      <c r="N94" s="385"/>
    </row>
    <row r="95" spans="1:14" x14ac:dyDescent="0.25">
      <c r="N95" s="385"/>
    </row>
    <row r="96" spans="1:14" x14ac:dyDescent="0.25">
      <c r="N96" s="385"/>
    </row>
    <row r="97" spans="14:16" x14ac:dyDescent="0.25">
      <c r="N97" s="385"/>
    </row>
    <row r="98" spans="14:16" x14ac:dyDescent="0.25">
      <c r="N98" s="385"/>
    </row>
    <row r="99" spans="14:16" x14ac:dyDescent="0.25">
      <c r="N99" s="385"/>
    </row>
    <row r="100" spans="14:16" x14ac:dyDescent="0.25">
      <c r="N100" s="385"/>
    </row>
    <row r="101" spans="14:16" x14ac:dyDescent="0.25">
      <c r="N101" s="385"/>
    </row>
    <row r="102" spans="14:16" x14ac:dyDescent="0.25">
      <c r="N102" s="385"/>
    </row>
    <row r="103" spans="14:16" x14ac:dyDescent="0.25">
      <c r="N103" s="385"/>
    </row>
    <row r="104" spans="14:16" x14ac:dyDescent="0.25">
      <c r="N104" s="385"/>
      <c r="O104" s="385"/>
      <c r="P104" s="385"/>
    </row>
  </sheetData>
  <pageMargins left="0.25" right="0.25" top="0.75" bottom="0.75" header="0.3" footer="0.3"/>
  <pageSetup scale="81" fitToHeight="0" orientation="landscape" r:id="rId1"/>
  <headerFooter>
    <oddHeader>&amp;CBasin Disposal, Inc.
Prior Year PLP Costs</oddHeader>
    <oddFooter>&amp;L&amp;D&amp;C&amp;A&amp;RPage &amp;P of &amp;N</oddFooter>
  </headerFooter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"/>
  <sheetViews>
    <sheetView workbookViewId="0">
      <selection sqref="A1:Q17"/>
    </sheetView>
  </sheetViews>
  <sheetFormatPr defaultRowHeight="15.75" x14ac:dyDescent="0.25"/>
  <cols>
    <col min="1" max="1" width="6.6640625" customWidth="1"/>
    <col min="2" max="2" width="9.109375" customWidth="1"/>
    <col min="3" max="3" width="10.109375" customWidth="1"/>
    <col min="4" max="4" width="5.33203125" customWidth="1"/>
    <col min="5" max="5" width="5" customWidth="1"/>
    <col min="6" max="6" width="13.21875" customWidth="1"/>
    <col min="7" max="7" width="17.88671875" customWidth="1"/>
    <col min="8" max="8" width="11.21875" customWidth="1"/>
    <col min="9" max="9" width="30.21875" customWidth="1"/>
    <col min="10" max="10" width="4.33203125" customWidth="1"/>
    <col min="11" max="11" width="6.33203125" customWidth="1"/>
    <col min="12" max="12" width="5.44140625" customWidth="1"/>
    <col min="13" max="13" width="7.21875" customWidth="1"/>
    <col min="14" max="14" width="12.5546875" customWidth="1"/>
    <col min="15" max="15" width="11.33203125" bestFit="1" customWidth="1"/>
    <col min="16" max="16" width="12.77734375" bestFit="1" customWidth="1"/>
    <col min="17" max="17" width="13.33203125" customWidth="1"/>
  </cols>
  <sheetData>
    <row r="1" spans="1:17" ht="18" x14ac:dyDescent="0.25">
      <c r="A1" s="602" t="s">
        <v>345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</row>
    <row r="2" spans="1:17" ht="18" x14ac:dyDescent="0.25">
      <c r="A2" s="602" t="s">
        <v>3201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5" spans="1:17" x14ac:dyDescent="0.25">
      <c r="A5" s="247" t="s">
        <v>646</v>
      </c>
      <c r="B5" s="247" t="s">
        <v>265</v>
      </c>
      <c r="C5" s="247" t="s">
        <v>1343</v>
      </c>
      <c r="D5" s="247" t="s">
        <v>755</v>
      </c>
      <c r="E5" s="247" t="s">
        <v>1320</v>
      </c>
      <c r="F5" s="247" t="s">
        <v>2196</v>
      </c>
      <c r="G5" s="247" t="s">
        <v>1348</v>
      </c>
      <c r="H5" s="247" t="s">
        <v>2022</v>
      </c>
      <c r="I5" s="247" t="s">
        <v>2197</v>
      </c>
      <c r="J5" s="247">
        <v>82</v>
      </c>
      <c r="K5" s="247">
        <v>82</v>
      </c>
      <c r="L5" s="249" t="s">
        <v>646</v>
      </c>
      <c r="M5" s="249" t="s">
        <v>933</v>
      </c>
      <c r="N5" s="248">
        <v>43</v>
      </c>
      <c r="O5" s="248">
        <v>7065</v>
      </c>
      <c r="P5" s="247" t="s">
        <v>1432</v>
      </c>
      <c r="Q5" s="247" t="s">
        <v>84</v>
      </c>
    </row>
    <row r="6" spans="1:17" x14ac:dyDescent="0.25">
      <c r="A6" s="247" t="s">
        <v>646</v>
      </c>
      <c r="B6" s="247" t="s">
        <v>265</v>
      </c>
      <c r="C6" s="247" t="s">
        <v>1343</v>
      </c>
      <c r="D6" s="247" t="s">
        <v>755</v>
      </c>
      <c r="E6" s="247" t="s">
        <v>1320</v>
      </c>
      <c r="F6" s="247" t="s">
        <v>2196</v>
      </c>
      <c r="G6" s="247" t="s">
        <v>1348</v>
      </c>
      <c r="H6" s="247" t="s">
        <v>2022</v>
      </c>
      <c r="I6" s="247" t="s">
        <v>2197</v>
      </c>
      <c r="J6" s="247">
        <v>82</v>
      </c>
      <c r="K6" s="247">
        <v>82</v>
      </c>
      <c r="L6" s="249" t="s">
        <v>650</v>
      </c>
      <c r="M6" s="249" t="s">
        <v>933</v>
      </c>
      <c r="N6" s="248">
        <v>1876</v>
      </c>
      <c r="O6" s="248">
        <v>8941</v>
      </c>
      <c r="P6" s="247" t="s">
        <v>1432</v>
      </c>
      <c r="Q6" s="247" t="s">
        <v>85</v>
      </c>
    </row>
    <row r="7" spans="1:17" x14ac:dyDescent="0.25">
      <c r="A7" s="247" t="s">
        <v>646</v>
      </c>
      <c r="B7" s="247" t="s">
        <v>265</v>
      </c>
      <c r="C7" s="247" t="s">
        <v>1343</v>
      </c>
      <c r="D7" s="247" t="s">
        <v>755</v>
      </c>
      <c r="E7" s="247" t="s">
        <v>1320</v>
      </c>
      <c r="F7" s="247" t="s">
        <v>2196</v>
      </c>
      <c r="G7" s="247" t="s">
        <v>1348</v>
      </c>
      <c r="H7" s="247" t="s">
        <v>2022</v>
      </c>
      <c r="I7" s="247" t="s">
        <v>2197</v>
      </c>
      <c r="J7" s="247">
        <v>82</v>
      </c>
      <c r="K7" s="247">
        <v>82</v>
      </c>
      <c r="L7" s="249" t="s">
        <v>652</v>
      </c>
      <c r="M7" s="249" t="s">
        <v>933</v>
      </c>
      <c r="N7" s="248">
        <v>43</v>
      </c>
      <c r="O7" s="248">
        <v>8984</v>
      </c>
      <c r="P7" s="247" t="s">
        <v>1432</v>
      </c>
      <c r="Q7" s="247" t="s">
        <v>86</v>
      </c>
    </row>
    <row r="8" spans="1:17" x14ac:dyDescent="0.25">
      <c r="A8" s="247" t="s">
        <v>646</v>
      </c>
      <c r="B8" s="247" t="s">
        <v>265</v>
      </c>
      <c r="C8" s="247" t="s">
        <v>1343</v>
      </c>
      <c r="D8" s="247" t="s">
        <v>755</v>
      </c>
      <c r="E8" s="247" t="s">
        <v>1320</v>
      </c>
      <c r="F8" s="247" t="s">
        <v>2196</v>
      </c>
      <c r="G8" s="247" t="s">
        <v>1348</v>
      </c>
      <c r="H8" s="247" t="s">
        <v>2022</v>
      </c>
      <c r="I8" s="247" t="s">
        <v>2197</v>
      </c>
      <c r="J8" s="247">
        <v>82</v>
      </c>
      <c r="K8" s="247">
        <v>82</v>
      </c>
      <c r="L8" s="249" t="s">
        <v>789</v>
      </c>
      <c r="M8" s="249" t="s">
        <v>929</v>
      </c>
      <c r="N8" s="248">
        <v>43</v>
      </c>
      <c r="O8" s="248">
        <v>43</v>
      </c>
      <c r="P8" s="247" t="s">
        <v>1432</v>
      </c>
      <c r="Q8" s="247" t="s">
        <v>87</v>
      </c>
    </row>
    <row r="9" spans="1:17" x14ac:dyDescent="0.25">
      <c r="A9" s="247" t="s">
        <v>646</v>
      </c>
      <c r="B9" s="247" t="s">
        <v>265</v>
      </c>
      <c r="C9" s="247" t="s">
        <v>1343</v>
      </c>
      <c r="D9" s="247" t="s">
        <v>755</v>
      </c>
      <c r="E9" s="247" t="s">
        <v>1320</v>
      </c>
      <c r="F9" s="247" t="s">
        <v>2196</v>
      </c>
      <c r="G9" s="247" t="s">
        <v>1348</v>
      </c>
      <c r="H9" s="247" t="s">
        <v>2022</v>
      </c>
      <c r="I9" s="247" t="s">
        <v>2197</v>
      </c>
      <c r="J9" s="247">
        <v>82</v>
      </c>
      <c r="K9" s="247">
        <v>82</v>
      </c>
      <c r="L9" s="249" t="s">
        <v>791</v>
      </c>
      <c r="M9" s="249" t="s">
        <v>929</v>
      </c>
      <c r="N9" s="248">
        <v>1876</v>
      </c>
      <c r="O9" s="248">
        <v>1919</v>
      </c>
      <c r="P9" s="247" t="s">
        <v>1432</v>
      </c>
      <c r="Q9" s="247" t="s">
        <v>88</v>
      </c>
    </row>
    <row r="10" spans="1:17" x14ac:dyDescent="0.25">
      <c r="A10" s="247" t="s">
        <v>646</v>
      </c>
      <c r="B10" s="247" t="s">
        <v>265</v>
      </c>
      <c r="C10" s="247" t="s">
        <v>1343</v>
      </c>
      <c r="D10" s="247" t="s">
        <v>755</v>
      </c>
      <c r="E10" s="247" t="s">
        <v>1320</v>
      </c>
      <c r="F10" s="247" t="s">
        <v>2196</v>
      </c>
      <c r="G10" s="247" t="s">
        <v>1348</v>
      </c>
      <c r="H10" s="247" t="s">
        <v>2022</v>
      </c>
      <c r="I10" s="247" t="s">
        <v>2197</v>
      </c>
      <c r="J10" s="247">
        <v>82</v>
      </c>
      <c r="K10" s="247">
        <v>82</v>
      </c>
      <c r="L10" s="249" t="s">
        <v>935</v>
      </c>
      <c r="M10" s="249" t="s">
        <v>929</v>
      </c>
      <c r="N10" s="248">
        <v>43</v>
      </c>
      <c r="O10" s="248">
        <v>1962</v>
      </c>
      <c r="P10" s="247" t="s">
        <v>1432</v>
      </c>
      <c r="Q10" s="247" t="s">
        <v>89</v>
      </c>
    </row>
    <row r="11" spans="1:17" x14ac:dyDescent="0.25">
      <c r="A11" s="247" t="s">
        <v>646</v>
      </c>
      <c r="B11" s="247" t="s">
        <v>265</v>
      </c>
      <c r="C11" s="247" t="s">
        <v>1343</v>
      </c>
      <c r="D11" s="247" t="s">
        <v>755</v>
      </c>
      <c r="E11" s="247" t="s">
        <v>1320</v>
      </c>
      <c r="F11" s="247" t="s">
        <v>2196</v>
      </c>
      <c r="G11" s="247" t="s">
        <v>1348</v>
      </c>
      <c r="H11" s="247" t="s">
        <v>2022</v>
      </c>
      <c r="I11" s="247" t="s">
        <v>2197</v>
      </c>
      <c r="J11" s="247">
        <v>82</v>
      </c>
      <c r="K11" s="247">
        <v>82</v>
      </c>
      <c r="L11" s="249" t="s">
        <v>936</v>
      </c>
      <c r="M11" s="249" t="s">
        <v>929</v>
      </c>
      <c r="N11" s="248">
        <v>43</v>
      </c>
      <c r="O11" s="248">
        <v>2005</v>
      </c>
      <c r="P11" s="247" t="s">
        <v>1432</v>
      </c>
      <c r="Q11" s="247" t="s">
        <v>90</v>
      </c>
    </row>
    <row r="12" spans="1:17" x14ac:dyDescent="0.25">
      <c r="A12" s="247" t="s">
        <v>646</v>
      </c>
      <c r="B12" s="247" t="s">
        <v>265</v>
      </c>
      <c r="C12" s="247" t="s">
        <v>1343</v>
      </c>
      <c r="D12" s="247" t="s">
        <v>755</v>
      </c>
      <c r="E12" s="247" t="s">
        <v>1320</v>
      </c>
      <c r="F12" s="247" t="s">
        <v>2196</v>
      </c>
      <c r="G12" s="247" t="s">
        <v>1348</v>
      </c>
      <c r="H12" s="247" t="s">
        <v>2022</v>
      </c>
      <c r="I12" s="247" t="s">
        <v>2197</v>
      </c>
      <c r="J12" s="247">
        <v>82</v>
      </c>
      <c r="K12" s="247">
        <v>82</v>
      </c>
      <c r="L12" s="249" t="s">
        <v>937</v>
      </c>
      <c r="M12" s="249" t="s">
        <v>929</v>
      </c>
      <c r="N12" s="248">
        <v>1876</v>
      </c>
      <c r="O12" s="248">
        <v>3881</v>
      </c>
      <c r="P12" s="247" t="s">
        <v>1432</v>
      </c>
      <c r="Q12" s="247" t="s">
        <v>91</v>
      </c>
    </row>
    <row r="13" spans="1:17" x14ac:dyDescent="0.25">
      <c r="A13" s="247" t="s">
        <v>646</v>
      </c>
      <c r="B13" s="247" t="s">
        <v>265</v>
      </c>
      <c r="C13" s="247" t="s">
        <v>1343</v>
      </c>
      <c r="D13" s="247" t="s">
        <v>755</v>
      </c>
      <c r="E13" s="247" t="s">
        <v>1320</v>
      </c>
      <c r="F13" s="247" t="s">
        <v>2196</v>
      </c>
      <c r="G13" s="247" t="s">
        <v>1348</v>
      </c>
      <c r="H13" s="247" t="s">
        <v>2022</v>
      </c>
      <c r="I13" s="247" t="s">
        <v>2197</v>
      </c>
      <c r="J13" s="247">
        <v>82</v>
      </c>
      <c r="K13" s="247">
        <v>82</v>
      </c>
      <c r="L13" s="249" t="s">
        <v>938</v>
      </c>
      <c r="M13" s="249" t="s">
        <v>929</v>
      </c>
      <c r="N13" s="248">
        <v>43</v>
      </c>
      <c r="O13" s="248">
        <v>3924</v>
      </c>
      <c r="P13" s="247" t="s">
        <v>1432</v>
      </c>
      <c r="Q13" s="247" t="s">
        <v>92</v>
      </c>
    </row>
    <row r="14" spans="1:17" x14ac:dyDescent="0.25">
      <c r="A14" s="247" t="s">
        <v>646</v>
      </c>
      <c r="B14" s="247" t="s">
        <v>265</v>
      </c>
      <c r="C14" s="247" t="s">
        <v>1343</v>
      </c>
      <c r="D14" s="247" t="s">
        <v>755</v>
      </c>
      <c r="E14" s="247" t="s">
        <v>1320</v>
      </c>
      <c r="F14" s="247" t="s">
        <v>2196</v>
      </c>
      <c r="G14" s="247" t="s">
        <v>1348</v>
      </c>
      <c r="H14" s="247" t="s">
        <v>2022</v>
      </c>
      <c r="I14" s="247" t="s">
        <v>2197</v>
      </c>
      <c r="J14" s="247">
        <v>82</v>
      </c>
      <c r="K14" s="247">
        <v>82</v>
      </c>
      <c r="L14" s="249" t="s">
        <v>939</v>
      </c>
      <c r="M14" s="249" t="s">
        <v>929</v>
      </c>
      <c r="N14" s="248">
        <v>43</v>
      </c>
      <c r="O14" s="248">
        <v>3967</v>
      </c>
      <c r="P14" s="247" t="s">
        <v>1432</v>
      </c>
      <c r="Q14" s="247" t="s">
        <v>93</v>
      </c>
    </row>
    <row r="15" spans="1:17" x14ac:dyDescent="0.25">
      <c r="A15" s="247" t="s">
        <v>646</v>
      </c>
      <c r="B15" s="247" t="s">
        <v>265</v>
      </c>
      <c r="C15" s="247" t="s">
        <v>1343</v>
      </c>
      <c r="D15" s="247" t="s">
        <v>755</v>
      </c>
      <c r="E15" s="247" t="s">
        <v>1320</v>
      </c>
      <c r="F15" s="247" t="s">
        <v>2196</v>
      </c>
      <c r="G15" s="247" t="s">
        <v>1348</v>
      </c>
      <c r="H15" s="247" t="s">
        <v>2022</v>
      </c>
      <c r="I15" s="247" t="s">
        <v>2197</v>
      </c>
      <c r="J15" s="247">
        <v>82</v>
      </c>
      <c r="K15" s="247">
        <v>82</v>
      </c>
      <c r="L15" s="249" t="s">
        <v>940</v>
      </c>
      <c r="M15" s="249" t="s">
        <v>929</v>
      </c>
      <c r="N15" s="248">
        <v>1876</v>
      </c>
      <c r="O15" s="248">
        <v>5843</v>
      </c>
      <c r="P15" s="247" t="s">
        <v>1432</v>
      </c>
      <c r="Q15" s="247" t="s">
        <v>94</v>
      </c>
    </row>
    <row r="16" spans="1:17" x14ac:dyDescent="0.25">
      <c r="A16" s="247" t="s">
        <v>646</v>
      </c>
      <c r="B16" s="247" t="s">
        <v>265</v>
      </c>
      <c r="C16" s="247" t="s">
        <v>1343</v>
      </c>
      <c r="D16" s="247" t="s">
        <v>755</v>
      </c>
      <c r="E16" s="247" t="s">
        <v>1320</v>
      </c>
      <c r="F16" s="247" t="s">
        <v>2196</v>
      </c>
      <c r="G16" s="247" t="s">
        <v>1348</v>
      </c>
      <c r="H16" s="247" t="s">
        <v>2022</v>
      </c>
      <c r="I16" s="247" t="s">
        <v>2197</v>
      </c>
      <c r="J16" s="247">
        <v>82</v>
      </c>
      <c r="K16" s="247">
        <v>82</v>
      </c>
      <c r="L16" s="249" t="s">
        <v>642</v>
      </c>
      <c r="M16" s="249" t="s">
        <v>929</v>
      </c>
      <c r="N16" s="426">
        <v>43</v>
      </c>
      <c r="O16" s="248">
        <v>5886</v>
      </c>
      <c r="P16" s="247" t="s">
        <v>1432</v>
      </c>
      <c r="Q16" s="247" t="s">
        <v>95</v>
      </c>
    </row>
    <row r="17" spans="2:14" x14ac:dyDescent="0.25">
      <c r="B17" s="247" t="s">
        <v>82</v>
      </c>
      <c r="N17" s="410">
        <f>SUM(N5:N16)</f>
        <v>7848</v>
      </c>
    </row>
  </sheetData>
  <pageMargins left="0.25" right="0.25" top="0.75" bottom="0.75" header="0.3" footer="0.3"/>
  <pageSetup scale="61" fitToHeight="0" orientation="landscape" r:id="rId1"/>
  <headerFooter>
    <oddFooter>&amp;L&amp;D&amp;C&amp;A&amp;RPage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"/>
  <sheetViews>
    <sheetView topLeftCell="A4" workbookViewId="0">
      <selection activeCell="A28" sqref="A28"/>
    </sheetView>
  </sheetViews>
  <sheetFormatPr defaultRowHeight="15.75" x14ac:dyDescent="0.25"/>
  <cols>
    <col min="1" max="1" width="28.6640625" customWidth="1"/>
    <col min="2" max="2" width="10" bestFit="1" customWidth="1"/>
    <col min="3" max="15" width="11.77734375" customWidth="1"/>
    <col min="16" max="16" width="9.21875" bestFit="1" customWidth="1"/>
    <col min="17" max="17" width="10.44140625" bestFit="1" customWidth="1"/>
  </cols>
  <sheetData>
    <row r="1" spans="1:17" ht="18" x14ac:dyDescent="0.25">
      <c r="A1" s="602" t="s">
        <v>345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</row>
    <row r="2" spans="1:17" ht="18" x14ac:dyDescent="0.25">
      <c r="A2" s="602" t="s">
        <v>2771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</row>
    <row r="3" spans="1:17" x14ac:dyDescent="0.25">
      <c r="A3" s="427"/>
      <c r="B3" s="427"/>
      <c r="C3" s="427"/>
      <c r="D3" s="427"/>
      <c r="E3" s="427"/>
      <c r="F3" s="427"/>
      <c r="G3" s="427"/>
      <c r="H3" s="427"/>
      <c r="I3" s="427"/>
      <c r="J3" s="427"/>
      <c r="K3" s="427" t="s">
        <v>356</v>
      </c>
      <c r="L3" s="427" t="s">
        <v>2589</v>
      </c>
      <c r="M3" s="427" t="s">
        <v>240</v>
      </c>
      <c r="N3" s="427"/>
    </row>
    <row r="4" spans="1:17" x14ac:dyDescent="0.25">
      <c r="A4" s="427"/>
      <c r="B4" s="427" t="s">
        <v>347</v>
      </c>
      <c r="C4" s="427" t="s">
        <v>2509</v>
      </c>
      <c r="D4" s="427" t="s">
        <v>349</v>
      </c>
      <c r="E4" s="427" t="s">
        <v>350</v>
      </c>
      <c r="F4" s="427" t="s">
        <v>351</v>
      </c>
      <c r="G4" s="427" t="s">
        <v>352</v>
      </c>
      <c r="H4" s="427" t="s">
        <v>353</v>
      </c>
      <c r="I4" s="427" t="s">
        <v>354</v>
      </c>
      <c r="J4" s="427" t="s">
        <v>355</v>
      </c>
      <c r="K4" s="427" t="s">
        <v>2525</v>
      </c>
      <c r="L4" s="427" t="s">
        <v>2573</v>
      </c>
      <c r="M4" s="427" t="s">
        <v>357</v>
      </c>
      <c r="N4" s="375" t="s">
        <v>82</v>
      </c>
    </row>
    <row r="5" spans="1:17" x14ac:dyDescent="0.25">
      <c r="A5" s="427" t="s">
        <v>2772</v>
      </c>
      <c r="B5" s="428">
        <v>18757.050973360656</v>
      </c>
      <c r="C5" s="428">
        <v>31.433657786885249</v>
      </c>
      <c r="D5" s="428">
        <v>110.47207991803279</v>
      </c>
      <c r="E5" s="428">
        <v>0</v>
      </c>
      <c r="F5" s="428">
        <v>1806.3219774590164</v>
      </c>
      <c r="G5" s="428">
        <v>0</v>
      </c>
      <c r="H5" s="428">
        <v>2914.8509221311474</v>
      </c>
      <c r="I5" s="428">
        <v>162.78765368852459</v>
      </c>
      <c r="J5" s="428">
        <v>44.673668032786885</v>
      </c>
      <c r="K5" s="428">
        <v>0</v>
      </c>
      <c r="L5" s="428">
        <f>SUM(B5:K5)</f>
        <v>23827.59093237705</v>
      </c>
      <c r="M5" s="428">
        <v>19237.162397540989</v>
      </c>
      <c r="N5" s="429">
        <f>+M5+L5</f>
        <v>43064.753329918036</v>
      </c>
    </row>
    <row r="6" spans="1:17" x14ac:dyDescent="0.25">
      <c r="A6" s="427" t="s">
        <v>2773</v>
      </c>
      <c r="B6" s="431">
        <v>48343.650325000002</v>
      </c>
      <c r="C6" s="431">
        <v>144.70949999999999</v>
      </c>
      <c r="D6" s="431">
        <v>254.04033750000002</v>
      </c>
      <c r="E6" s="431">
        <v>137.0265</v>
      </c>
      <c r="F6" s="431">
        <v>1786.7723125000005</v>
      </c>
      <c r="G6" s="431">
        <v>54.08</v>
      </c>
      <c r="H6" s="431">
        <v>4419.0971000000009</v>
      </c>
      <c r="I6" s="431">
        <v>1849.335525</v>
      </c>
      <c r="J6" s="431">
        <v>1106.1219999999998</v>
      </c>
      <c r="K6" s="431">
        <v>0</v>
      </c>
      <c r="L6" s="431">
        <f>SUM(B6:K6)</f>
        <v>58094.833600000005</v>
      </c>
      <c r="M6" s="431">
        <v>12263.108375</v>
      </c>
      <c r="N6" s="432">
        <f>+M6+L6</f>
        <v>70357.941975000009</v>
      </c>
    </row>
    <row r="7" spans="1:17" x14ac:dyDescent="0.25">
      <c r="A7" s="427"/>
      <c r="B7" s="428">
        <f>SUM(B5:B6)</f>
        <v>67100.701298360655</v>
      </c>
      <c r="C7" s="428">
        <f t="shared" ref="C7:M7" si="0">SUM(C5:C6)</f>
        <v>176.14315778688524</v>
      </c>
      <c r="D7" s="428">
        <f t="shared" si="0"/>
        <v>364.51241741803278</v>
      </c>
      <c r="E7" s="428">
        <f t="shared" si="0"/>
        <v>137.0265</v>
      </c>
      <c r="F7" s="428">
        <f t="shared" si="0"/>
        <v>3593.0942899590168</v>
      </c>
      <c r="G7" s="428">
        <f t="shared" si="0"/>
        <v>54.08</v>
      </c>
      <c r="H7" s="428">
        <f t="shared" si="0"/>
        <v>7333.9480221311478</v>
      </c>
      <c r="I7" s="428">
        <f t="shared" si="0"/>
        <v>2012.1231786885246</v>
      </c>
      <c r="J7" s="428">
        <f t="shared" si="0"/>
        <v>1150.7956680327868</v>
      </c>
      <c r="K7" s="428">
        <f t="shared" si="0"/>
        <v>0</v>
      </c>
      <c r="L7" s="428">
        <f t="shared" ref="L7" si="1">SUM(L5:L6)</f>
        <v>81922.424532377059</v>
      </c>
      <c r="M7" s="428">
        <f t="shared" si="0"/>
        <v>31500.270772540989</v>
      </c>
      <c r="N7" s="429">
        <f>SUM(N5:N6)</f>
        <v>113422.69530491804</v>
      </c>
    </row>
    <row r="8" spans="1:17" x14ac:dyDescent="0.25">
      <c r="A8" s="427" t="s">
        <v>438</v>
      </c>
      <c r="B8" s="430">
        <f>B$7/$N$7</f>
        <v>0.59159854311318893</v>
      </c>
      <c r="C8" s="430">
        <f t="shared" ref="C8:M8" si="2">C$7/$N$7</f>
        <v>1.5529798274794447E-3</v>
      </c>
      <c r="D8" s="430">
        <f t="shared" si="2"/>
        <v>3.2137520311794903E-3</v>
      </c>
      <c r="E8" s="430">
        <f t="shared" si="2"/>
        <v>1.2081047768405348E-3</v>
      </c>
      <c r="F8" s="430">
        <f t="shared" si="2"/>
        <v>3.167879479763358E-2</v>
      </c>
      <c r="G8" s="430">
        <f t="shared" si="2"/>
        <v>4.7680051910788151E-4</v>
      </c>
      <c r="H8" s="430">
        <f t="shared" si="2"/>
        <v>6.4660322190502079E-2</v>
      </c>
      <c r="I8" s="430">
        <f t="shared" si="2"/>
        <v>1.7740040238677684E-2</v>
      </c>
      <c r="J8" s="430">
        <f t="shared" si="2"/>
        <v>1.0146079362151148E-2</v>
      </c>
      <c r="K8" s="430">
        <f t="shared" si="2"/>
        <v>0</v>
      </c>
      <c r="L8" s="430">
        <f t="shared" si="2"/>
        <v>0.72227541685676089</v>
      </c>
      <c r="M8" s="430">
        <f t="shared" si="2"/>
        <v>0.27772458314323911</v>
      </c>
      <c r="N8" s="430">
        <f>N$7/$N$7</f>
        <v>1</v>
      </c>
    </row>
    <row r="9" spans="1:17" x14ac:dyDescent="0.25">
      <c r="A9" s="427"/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</row>
    <row r="10" spans="1:17" x14ac:dyDescent="0.25">
      <c r="P10" s="385"/>
      <c r="Q10" s="385"/>
    </row>
    <row r="11" spans="1:17" x14ac:dyDescent="0.25">
      <c r="A11" s="427" t="s">
        <v>3172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</row>
    <row r="12" spans="1:17" x14ac:dyDescent="0.25">
      <c r="A12" s="427" t="s">
        <v>3170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</row>
    <row r="13" spans="1:17" x14ac:dyDescent="0.25">
      <c r="A13" s="427" t="s">
        <v>3171</v>
      </c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</row>
    <row r="14" spans="1:17" x14ac:dyDescent="0.25">
      <c r="A14" s="427"/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</row>
    <row r="15" spans="1:17" x14ac:dyDescent="0.25">
      <c r="A15" s="553" t="s">
        <v>3173</v>
      </c>
      <c r="B15" s="591">
        <v>46.25</v>
      </c>
      <c r="C15" s="591">
        <v>46.25</v>
      </c>
      <c r="D15" s="591">
        <v>46.25</v>
      </c>
      <c r="E15" s="591">
        <v>46.25</v>
      </c>
      <c r="F15" s="591">
        <v>46.25</v>
      </c>
      <c r="G15" s="591">
        <v>46.25</v>
      </c>
      <c r="H15" s="591">
        <v>46.25</v>
      </c>
      <c r="I15" s="591">
        <v>46.25</v>
      </c>
      <c r="J15" s="591">
        <v>46.25</v>
      </c>
      <c r="K15" s="591">
        <v>46.25</v>
      </c>
      <c r="L15" s="591">
        <v>46.25</v>
      </c>
      <c r="M15" s="591">
        <v>46.25</v>
      </c>
      <c r="N15" s="591">
        <v>46.25</v>
      </c>
      <c r="O15" s="553"/>
    </row>
    <row r="16" spans="1:17" x14ac:dyDescent="0.25">
      <c r="A16" s="553" t="s">
        <v>3174</v>
      </c>
      <c r="B16" s="553">
        <f t="shared" ref="B16:N16" si="3">+B7*B15</f>
        <v>3103407.4350491804</v>
      </c>
      <c r="C16" s="553">
        <f t="shared" si="3"/>
        <v>8146.6210476434426</v>
      </c>
      <c r="D16" s="553">
        <f t="shared" si="3"/>
        <v>16858.699305584018</v>
      </c>
      <c r="E16" s="553">
        <f t="shared" si="3"/>
        <v>6337.475625</v>
      </c>
      <c r="F16" s="553">
        <f t="shared" si="3"/>
        <v>166180.61091060453</v>
      </c>
      <c r="G16" s="553">
        <f t="shared" si="3"/>
        <v>2501.1999999999998</v>
      </c>
      <c r="H16" s="553">
        <f t="shared" si="3"/>
        <v>339195.09602356557</v>
      </c>
      <c r="I16" s="553">
        <f t="shared" si="3"/>
        <v>93060.69701434426</v>
      </c>
      <c r="J16" s="553">
        <f t="shared" si="3"/>
        <v>53224.299646516389</v>
      </c>
      <c r="K16" s="553">
        <f t="shared" si="3"/>
        <v>0</v>
      </c>
      <c r="L16" s="553">
        <f t="shared" si="3"/>
        <v>3788912.1346224388</v>
      </c>
      <c r="M16" s="553">
        <f t="shared" si="3"/>
        <v>1456887.5232300207</v>
      </c>
      <c r="N16" s="553">
        <f t="shared" si="3"/>
        <v>5245799.6578524597</v>
      </c>
      <c r="O16" s="553"/>
    </row>
    <row r="17" spans="1:15" x14ac:dyDescent="0.25">
      <c r="N17" s="553"/>
    </row>
    <row r="18" spans="1:15" x14ac:dyDescent="0.25">
      <c r="N18" s="553"/>
    </row>
    <row r="19" spans="1:15" x14ac:dyDescent="0.25">
      <c r="N19" s="553"/>
    </row>
    <row r="20" spans="1:15" x14ac:dyDescent="0.25">
      <c r="A20" s="385" t="s">
        <v>3169</v>
      </c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</row>
    <row r="21" spans="1:15" x14ac:dyDescent="0.25">
      <c r="A21" s="385"/>
      <c r="B21" s="385"/>
      <c r="C21" s="385"/>
      <c r="D21" s="385"/>
      <c r="E21" s="385"/>
      <c r="F21" s="385"/>
      <c r="G21" s="385"/>
      <c r="H21" s="385"/>
      <c r="I21" s="385"/>
      <c r="J21" s="385"/>
      <c r="K21" s="385"/>
      <c r="L21" s="385"/>
      <c r="M21" s="385"/>
      <c r="N21" s="385"/>
      <c r="O21" s="385"/>
    </row>
    <row r="22" spans="1:15" x14ac:dyDescent="0.25">
      <c r="A22" s="385"/>
      <c r="B22" s="584" t="s">
        <v>70</v>
      </c>
      <c r="C22" s="584" t="s">
        <v>71</v>
      </c>
      <c r="D22" s="584" t="s">
        <v>72</v>
      </c>
      <c r="E22" s="584" t="s">
        <v>73</v>
      </c>
      <c r="F22" s="584" t="s">
        <v>74</v>
      </c>
      <c r="G22" s="584" t="s">
        <v>75</v>
      </c>
      <c r="H22" s="584" t="s">
        <v>76</v>
      </c>
      <c r="I22" s="584" t="s">
        <v>77</v>
      </c>
      <c r="J22" s="584" t="s">
        <v>78</v>
      </c>
      <c r="K22" s="584" t="s">
        <v>79</v>
      </c>
      <c r="L22" s="584" t="s">
        <v>80</v>
      </c>
      <c r="M22" s="584" t="s">
        <v>81</v>
      </c>
      <c r="N22" s="585" t="s">
        <v>82</v>
      </c>
    </row>
    <row r="23" spans="1:15" x14ac:dyDescent="0.25">
      <c r="A23" s="385" t="s">
        <v>3168</v>
      </c>
      <c r="B23" s="586">
        <v>400134.87</v>
      </c>
      <c r="C23" s="586">
        <v>353915.01</v>
      </c>
      <c r="D23" s="586">
        <v>363700.25</v>
      </c>
      <c r="E23" s="586">
        <v>299468.44999999995</v>
      </c>
      <c r="F23" s="586">
        <v>323943.36</v>
      </c>
      <c r="G23" s="586">
        <v>375434.4</v>
      </c>
      <c r="H23" s="586">
        <v>367873.70999999996</v>
      </c>
      <c r="I23" s="586">
        <v>401564.13</v>
      </c>
      <c r="J23" s="586">
        <v>397423.41000000003</v>
      </c>
      <c r="K23" s="586">
        <v>364414.35000000003</v>
      </c>
      <c r="L23" s="586">
        <v>438111.21</v>
      </c>
      <c r="M23" s="586">
        <v>386174.49</v>
      </c>
      <c r="N23" s="587">
        <f>SUM(B23:M23)</f>
        <v>4472157.6399999997</v>
      </c>
    </row>
    <row r="24" spans="1:15" x14ac:dyDescent="0.25">
      <c r="A24" s="385" t="s">
        <v>3203</v>
      </c>
      <c r="B24" s="586"/>
      <c r="C24" s="586"/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7"/>
    </row>
    <row r="25" spans="1:15" x14ac:dyDescent="0.25">
      <c r="A25" s="385" t="s">
        <v>3202</v>
      </c>
      <c r="B25" s="589">
        <v>-215</v>
      </c>
      <c r="C25" s="589">
        <v>-1458</v>
      </c>
      <c r="D25" s="589"/>
      <c r="E25" s="589">
        <v>-4813</v>
      </c>
      <c r="F25" s="589">
        <f>-5869</f>
        <v>-5869</v>
      </c>
      <c r="G25" s="589">
        <v>-2634</v>
      </c>
      <c r="H25" s="589">
        <f>-6348</f>
        <v>-6348</v>
      </c>
      <c r="I25" s="589">
        <v>-3200</v>
      </c>
      <c r="J25" s="589">
        <v>-5250</v>
      </c>
      <c r="K25" s="589">
        <f>-4121-2655</f>
        <v>-6776</v>
      </c>
      <c r="L25" s="589">
        <v>-5025</v>
      </c>
      <c r="M25" s="589">
        <v>-2520</v>
      </c>
      <c r="N25" s="590">
        <f>SUM(B25:M25)</f>
        <v>-44108</v>
      </c>
    </row>
    <row r="26" spans="1:15" x14ac:dyDescent="0.25">
      <c r="A26" s="385"/>
      <c r="B26" s="586">
        <f>SUM(B23:B25)</f>
        <v>399919.87</v>
      </c>
      <c r="C26" s="586">
        <f t="shared" ref="C26:N26" si="4">SUM(C23:C25)</f>
        <v>352457.01</v>
      </c>
      <c r="D26" s="586">
        <f t="shared" si="4"/>
        <v>363700.25</v>
      </c>
      <c r="E26" s="586">
        <f t="shared" si="4"/>
        <v>294655.44999999995</v>
      </c>
      <c r="F26" s="586">
        <f t="shared" si="4"/>
        <v>318074.36</v>
      </c>
      <c r="G26" s="586">
        <f t="shared" si="4"/>
        <v>372800.4</v>
      </c>
      <c r="H26" s="586">
        <f t="shared" si="4"/>
        <v>361525.70999999996</v>
      </c>
      <c r="I26" s="586">
        <f t="shared" si="4"/>
        <v>398364.13</v>
      </c>
      <c r="J26" s="586">
        <f t="shared" si="4"/>
        <v>392173.41000000003</v>
      </c>
      <c r="K26" s="586">
        <f t="shared" si="4"/>
        <v>357638.35000000003</v>
      </c>
      <c r="L26" s="586">
        <f t="shared" si="4"/>
        <v>433086.21</v>
      </c>
      <c r="M26" s="586">
        <f t="shared" si="4"/>
        <v>383654.49</v>
      </c>
      <c r="N26" s="586">
        <f t="shared" si="4"/>
        <v>4428049.6399999997</v>
      </c>
    </row>
    <row r="27" spans="1:15" x14ac:dyDescent="0.25">
      <c r="A27" s="385"/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7"/>
    </row>
    <row r="28" spans="1:15" x14ac:dyDescent="0.25">
      <c r="A28" s="385" t="s">
        <v>3167</v>
      </c>
      <c r="B28" s="385">
        <v>39.04</v>
      </c>
      <c r="C28" s="385">
        <v>39.04</v>
      </c>
      <c r="D28" s="385">
        <v>39.04</v>
      </c>
      <c r="E28" s="385">
        <v>39.04</v>
      </c>
      <c r="F28" s="385">
        <v>39.04</v>
      </c>
      <c r="G28" s="385">
        <v>39.04</v>
      </c>
      <c r="H28" s="385">
        <v>39.04</v>
      </c>
      <c r="I28" s="385">
        <v>39.04</v>
      </c>
      <c r="J28" s="385">
        <v>39.04</v>
      </c>
      <c r="K28" s="385">
        <v>39.04</v>
      </c>
      <c r="L28" s="385">
        <v>39.04</v>
      </c>
      <c r="M28" s="385">
        <v>39.04</v>
      </c>
      <c r="N28" s="385">
        <v>39.04</v>
      </c>
    </row>
    <row r="29" spans="1:15" x14ac:dyDescent="0.25">
      <c r="A29" s="385"/>
      <c r="B29" s="385"/>
      <c r="C29" s="385"/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</row>
    <row r="30" spans="1:15" x14ac:dyDescent="0.25">
      <c r="A30" s="385" t="s">
        <v>3166</v>
      </c>
      <c r="B30" s="588">
        <f>+B26/B28</f>
        <v>10243.84912909836</v>
      </c>
      <c r="C30" s="588">
        <f t="shared" ref="C30:N30" si="5">+C26/C28</f>
        <v>9028.0996413934427</v>
      </c>
      <c r="D30" s="588">
        <f t="shared" si="5"/>
        <v>9316.0924692622957</v>
      </c>
      <c r="E30" s="588">
        <f t="shared" si="5"/>
        <v>7547.526895491802</v>
      </c>
      <c r="F30" s="588">
        <f t="shared" si="5"/>
        <v>8147.3965163934427</v>
      </c>
      <c r="G30" s="588">
        <f t="shared" si="5"/>
        <v>9549.1905737704928</v>
      </c>
      <c r="H30" s="588">
        <f t="shared" si="5"/>
        <v>9260.3921618852455</v>
      </c>
      <c r="I30" s="588">
        <f t="shared" si="5"/>
        <v>10203.999231557378</v>
      </c>
      <c r="J30" s="588">
        <f t="shared" si="5"/>
        <v>10045.425461065575</v>
      </c>
      <c r="K30" s="588">
        <f t="shared" si="5"/>
        <v>9160.8183913934445</v>
      </c>
      <c r="L30" s="588">
        <f t="shared" si="5"/>
        <v>11093.396772540984</v>
      </c>
      <c r="M30" s="588">
        <f t="shared" si="5"/>
        <v>9827.2154200819677</v>
      </c>
      <c r="N30" s="588">
        <f t="shared" si="5"/>
        <v>113423.40266393442</v>
      </c>
    </row>
    <row r="31" spans="1:15" x14ac:dyDescent="0.25">
      <c r="A31" s="385"/>
      <c r="B31" s="385"/>
      <c r="C31" s="385"/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5"/>
    </row>
    <row r="32" spans="1:15" x14ac:dyDescent="0.25">
      <c r="A32" s="385" t="s">
        <v>3165</v>
      </c>
      <c r="B32" s="385">
        <v>46.25</v>
      </c>
      <c r="C32" s="385">
        <v>46.25</v>
      </c>
      <c r="D32" s="385">
        <v>46.25</v>
      </c>
      <c r="E32" s="385">
        <v>46.25</v>
      </c>
      <c r="F32" s="385">
        <v>46.25</v>
      </c>
      <c r="G32" s="385">
        <v>46.25</v>
      </c>
      <c r="H32" s="385">
        <v>46.25</v>
      </c>
      <c r="I32" s="385">
        <v>46.25</v>
      </c>
      <c r="J32" s="385">
        <v>46.25</v>
      </c>
      <c r="K32" s="385">
        <v>46.25</v>
      </c>
      <c r="L32" s="385">
        <v>46.25</v>
      </c>
      <c r="M32" s="385">
        <v>46.25</v>
      </c>
      <c r="N32" s="385"/>
    </row>
    <row r="33" spans="1:14" x14ac:dyDescent="0.25">
      <c r="A33" s="385" t="s">
        <v>3164</v>
      </c>
      <c r="B33" s="588">
        <f t="shared" ref="B33:M33" si="6">+B30*B32</f>
        <v>473778.02222079918</v>
      </c>
      <c r="C33" s="588">
        <f t="shared" si="6"/>
        <v>417549.6084144467</v>
      </c>
      <c r="D33" s="588">
        <f t="shared" si="6"/>
        <v>430869.27670338115</v>
      </c>
      <c r="E33" s="588">
        <f t="shared" si="6"/>
        <v>349073.11891649582</v>
      </c>
      <c r="F33" s="588">
        <f t="shared" si="6"/>
        <v>376817.0888831967</v>
      </c>
      <c r="G33" s="588">
        <f t="shared" si="6"/>
        <v>441650.06403688528</v>
      </c>
      <c r="H33" s="588">
        <f t="shared" si="6"/>
        <v>428293.13748719258</v>
      </c>
      <c r="I33" s="588">
        <f t="shared" si="6"/>
        <v>471934.96445952874</v>
      </c>
      <c r="J33" s="588">
        <f t="shared" si="6"/>
        <v>464600.92757428286</v>
      </c>
      <c r="K33" s="588">
        <f t="shared" si="6"/>
        <v>423687.85060194682</v>
      </c>
      <c r="L33" s="588">
        <f t="shared" si="6"/>
        <v>513069.60073002049</v>
      </c>
      <c r="M33" s="588">
        <f t="shared" si="6"/>
        <v>454508.71317879099</v>
      </c>
      <c r="N33" s="588">
        <f>SUM(B33:M33)</f>
        <v>5245832.3732069675</v>
      </c>
    </row>
    <row r="34" spans="1:14" x14ac:dyDescent="0.25">
      <c r="A34" s="385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588">
        <f>+N33-N26</f>
        <v>817782.73320696782</v>
      </c>
    </row>
  </sheetData>
  <pageMargins left="0.25" right="0.25" top="0.75" bottom="0.75" header="0.3" footer="0.3"/>
  <pageSetup scale="62" fitToHeight="0" orientation="landscape" r:id="rId1"/>
  <headerFooter>
    <oddFooter>&amp;L&amp;D&amp;C&amp;A&amp;RPage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20"/>
  <sheetViews>
    <sheetView workbookViewId="0">
      <selection activeCell="T28" sqref="T28:T29"/>
    </sheetView>
  </sheetViews>
  <sheetFormatPr defaultRowHeight="15.75" x14ac:dyDescent="0.25"/>
  <cols>
    <col min="1" max="1" width="6.21875" customWidth="1"/>
    <col min="3" max="3" width="7.109375" customWidth="1"/>
    <col min="4" max="4" width="7.21875" customWidth="1"/>
    <col min="5" max="5" width="6.109375" customWidth="1"/>
    <col min="11" max="11" width="5.77734375" customWidth="1"/>
    <col min="12" max="12" width="6.109375" customWidth="1"/>
    <col min="14" max="14" width="9.88671875" customWidth="1"/>
    <col min="15" max="15" width="10.109375" customWidth="1"/>
    <col min="16" max="16" width="12.21875" customWidth="1"/>
  </cols>
  <sheetData>
    <row r="2" spans="1:18" ht="18.75" x14ac:dyDescent="0.3">
      <c r="A2" s="603" t="s">
        <v>345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247"/>
    </row>
    <row r="3" spans="1:18" x14ac:dyDescent="0.2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18" x14ac:dyDescent="0.2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</row>
    <row r="5" spans="1:18" x14ac:dyDescent="0.25">
      <c r="A5" s="247" t="s">
        <v>646</v>
      </c>
      <c r="B5" s="247" t="s">
        <v>265</v>
      </c>
      <c r="C5" s="247" t="s">
        <v>1620</v>
      </c>
      <c r="D5" s="247" t="s">
        <v>1172</v>
      </c>
      <c r="E5" s="247" t="s">
        <v>926</v>
      </c>
      <c r="F5" s="247" t="s">
        <v>2460</v>
      </c>
      <c r="G5" s="247" t="s">
        <v>1654</v>
      </c>
      <c r="H5" s="247"/>
      <c r="I5" s="247" t="s">
        <v>2461</v>
      </c>
      <c r="J5" s="247">
        <v>106</v>
      </c>
      <c r="K5" s="247">
        <v>106</v>
      </c>
      <c r="L5" s="249" t="s">
        <v>646</v>
      </c>
      <c r="M5" s="249" t="s">
        <v>933</v>
      </c>
      <c r="N5" s="248">
        <v>1751.55</v>
      </c>
      <c r="O5" s="248">
        <v>21591.29</v>
      </c>
      <c r="P5" s="247" t="s">
        <v>1655</v>
      </c>
      <c r="Q5" s="247" t="s">
        <v>84</v>
      </c>
      <c r="R5" s="247"/>
    </row>
    <row r="6" spans="1:18" x14ac:dyDescent="0.25">
      <c r="A6" s="247" t="s">
        <v>646</v>
      </c>
      <c r="B6" s="247" t="s">
        <v>265</v>
      </c>
      <c r="C6" s="247" t="s">
        <v>1620</v>
      </c>
      <c r="D6" s="247" t="s">
        <v>1172</v>
      </c>
      <c r="E6" s="247" t="s">
        <v>926</v>
      </c>
      <c r="F6" s="247" t="s">
        <v>2460</v>
      </c>
      <c r="G6" s="247" t="s">
        <v>1654</v>
      </c>
      <c r="H6" s="247"/>
      <c r="I6" s="247" t="s">
        <v>2461</v>
      </c>
      <c r="J6" s="247">
        <v>106</v>
      </c>
      <c r="K6" s="247">
        <v>106</v>
      </c>
      <c r="L6" s="249" t="s">
        <v>650</v>
      </c>
      <c r="M6" s="249" t="s">
        <v>933</v>
      </c>
      <c r="N6" s="248">
        <v>2160.25</v>
      </c>
      <c r="O6" s="248">
        <v>23751.54</v>
      </c>
      <c r="P6" s="247" t="s">
        <v>1655</v>
      </c>
      <c r="Q6" s="247" t="s">
        <v>85</v>
      </c>
      <c r="R6" s="247"/>
    </row>
    <row r="7" spans="1:18" x14ac:dyDescent="0.25">
      <c r="A7" s="247" t="s">
        <v>646</v>
      </c>
      <c r="B7" s="247" t="s">
        <v>265</v>
      </c>
      <c r="C7" s="247" t="s">
        <v>1620</v>
      </c>
      <c r="D7" s="247" t="s">
        <v>1172</v>
      </c>
      <c r="E7" s="247" t="s">
        <v>926</v>
      </c>
      <c r="F7" s="247" t="s">
        <v>2460</v>
      </c>
      <c r="G7" s="247" t="s">
        <v>1654</v>
      </c>
      <c r="H7" s="247"/>
      <c r="I7" s="247" t="s">
        <v>2461</v>
      </c>
      <c r="J7" s="247">
        <v>106</v>
      </c>
      <c r="K7" s="247">
        <v>106</v>
      </c>
      <c r="L7" s="249" t="s">
        <v>652</v>
      </c>
      <c r="M7" s="249" t="s">
        <v>933</v>
      </c>
      <c r="N7" s="248">
        <v>1955.9</v>
      </c>
      <c r="O7" s="248">
        <v>25707.439999999999</v>
      </c>
      <c r="P7" s="247" t="s">
        <v>1655</v>
      </c>
      <c r="Q7" s="247" t="s">
        <v>86</v>
      </c>
      <c r="R7" s="247"/>
    </row>
    <row r="8" spans="1:18" x14ac:dyDescent="0.25">
      <c r="A8" s="247" t="s">
        <v>646</v>
      </c>
      <c r="B8" s="247" t="s">
        <v>265</v>
      </c>
      <c r="C8" s="247" t="s">
        <v>1620</v>
      </c>
      <c r="D8" s="247" t="s">
        <v>1172</v>
      </c>
      <c r="E8" s="247" t="s">
        <v>926</v>
      </c>
      <c r="F8" s="247" t="s">
        <v>2460</v>
      </c>
      <c r="G8" s="247" t="s">
        <v>1654</v>
      </c>
      <c r="H8" s="247"/>
      <c r="I8" s="247" t="s">
        <v>2461</v>
      </c>
      <c r="J8" s="247">
        <v>106</v>
      </c>
      <c r="K8" s="247">
        <v>106</v>
      </c>
      <c r="L8" s="249" t="s">
        <v>789</v>
      </c>
      <c r="M8" s="249" t="s">
        <v>929</v>
      </c>
      <c r="N8" s="248">
        <v>1955.9</v>
      </c>
      <c r="O8" s="248">
        <v>1955.9</v>
      </c>
      <c r="P8" s="247" t="s">
        <v>1655</v>
      </c>
      <c r="Q8" s="247" t="s">
        <v>87</v>
      </c>
      <c r="R8" s="247"/>
    </row>
    <row r="9" spans="1:18" x14ac:dyDescent="0.25">
      <c r="A9" s="247" t="s">
        <v>646</v>
      </c>
      <c r="B9" s="247" t="s">
        <v>265</v>
      </c>
      <c r="C9" s="247" t="s">
        <v>1620</v>
      </c>
      <c r="D9" s="247" t="s">
        <v>1172</v>
      </c>
      <c r="E9" s="247" t="s">
        <v>926</v>
      </c>
      <c r="F9" s="247" t="s">
        <v>2460</v>
      </c>
      <c r="G9" s="247" t="s">
        <v>1654</v>
      </c>
      <c r="H9" s="247"/>
      <c r="I9" s="247" t="s">
        <v>2461</v>
      </c>
      <c r="J9" s="247">
        <v>106</v>
      </c>
      <c r="K9" s="247">
        <v>106</v>
      </c>
      <c r="L9" s="249" t="s">
        <v>791</v>
      </c>
      <c r="M9" s="249" t="s">
        <v>929</v>
      </c>
      <c r="N9" s="248">
        <v>3420.7</v>
      </c>
      <c r="O9" s="248">
        <v>5376.6</v>
      </c>
      <c r="P9" s="247" t="s">
        <v>1655</v>
      </c>
      <c r="Q9" s="247" t="s">
        <v>88</v>
      </c>
      <c r="R9" s="247"/>
    </row>
    <row r="10" spans="1:18" x14ac:dyDescent="0.25">
      <c r="A10" s="247" t="s">
        <v>646</v>
      </c>
      <c r="B10" s="247" t="s">
        <v>265</v>
      </c>
      <c r="C10" s="247" t="s">
        <v>1620</v>
      </c>
      <c r="D10" s="247" t="s">
        <v>1172</v>
      </c>
      <c r="E10" s="247" t="s">
        <v>926</v>
      </c>
      <c r="F10" s="247" t="s">
        <v>2460</v>
      </c>
      <c r="G10" s="247" t="s">
        <v>1654</v>
      </c>
      <c r="H10" s="247"/>
      <c r="I10" s="247" t="s">
        <v>2461</v>
      </c>
      <c r="J10" s="247">
        <v>106</v>
      </c>
      <c r="K10" s="247">
        <v>106</v>
      </c>
      <c r="L10" s="249" t="s">
        <v>935</v>
      </c>
      <c r="M10" s="249" t="s">
        <v>929</v>
      </c>
      <c r="N10" s="248">
        <v>2101.5500000000002</v>
      </c>
      <c r="O10" s="248">
        <v>7478.15</v>
      </c>
      <c r="P10" s="247" t="s">
        <v>1655</v>
      </c>
      <c r="Q10" s="247" t="s">
        <v>89</v>
      </c>
      <c r="R10" s="247"/>
    </row>
    <row r="11" spans="1:18" x14ac:dyDescent="0.25">
      <c r="A11" s="247" t="s">
        <v>646</v>
      </c>
      <c r="B11" s="247" t="s">
        <v>265</v>
      </c>
      <c r="C11" s="247" t="s">
        <v>1620</v>
      </c>
      <c r="D11" s="247" t="s">
        <v>1172</v>
      </c>
      <c r="E11" s="247" t="s">
        <v>926</v>
      </c>
      <c r="F11" s="247" t="s">
        <v>2460</v>
      </c>
      <c r="G11" s="247" t="s">
        <v>1654</v>
      </c>
      <c r="H11" s="247"/>
      <c r="I11" s="247" t="s">
        <v>2461</v>
      </c>
      <c r="J11" s="247">
        <v>106</v>
      </c>
      <c r="K11" s="247">
        <v>106</v>
      </c>
      <c r="L11" s="249" t="s">
        <v>936</v>
      </c>
      <c r="M11" s="249" t="s">
        <v>929</v>
      </c>
      <c r="N11" s="248">
        <v>3350</v>
      </c>
      <c r="O11" s="248">
        <v>10828.15</v>
      </c>
      <c r="P11" s="247" t="s">
        <v>1655</v>
      </c>
      <c r="Q11" s="247" t="s">
        <v>90</v>
      </c>
      <c r="R11" s="247"/>
    </row>
    <row r="12" spans="1:18" x14ac:dyDescent="0.25">
      <c r="A12" s="247" t="s">
        <v>646</v>
      </c>
      <c r="B12" s="247" t="s">
        <v>265</v>
      </c>
      <c r="C12" s="247" t="s">
        <v>1620</v>
      </c>
      <c r="D12" s="247" t="s">
        <v>1172</v>
      </c>
      <c r="E12" s="247" t="s">
        <v>926</v>
      </c>
      <c r="F12" s="247" t="s">
        <v>2460</v>
      </c>
      <c r="G12" s="247" t="s">
        <v>1654</v>
      </c>
      <c r="H12" s="247"/>
      <c r="I12" s="247" t="s">
        <v>2461</v>
      </c>
      <c r="J12" s="247">
        <v>106</v>
      </c>
      <c r="K12" s="247">
        <v>106</v>
      </c>
      <c r="L12" s="249" t="s">
        <v>937</v>
      </c>
      <c r="M12" s="249" t="s">
        <v>929</v>
      </c>
      <c r="N12" s="248">
        <v>853.1</v>
      </c>
      <c r="O12" s="248">
        <v>11681.25</v>
      </c>
      <c r="P12" s="247" t="s">
        <v>1655</v>
      </c>
      <c r="Q12" s="247" t="s">
        <v>91</v>
      </c>
      <c r="R12" s="247"/>
    </row>
    <row r="13" spans="1:18" x14ac:dyDescent="0.25">
      <c r="A13" s="247" t="s">
        <v>646</v>
      </c>
      <c r="B13" s="247" t="s">
        <v>265</v>
      </c>
      <c r="C13" s="247" t="s">
        <v>1620</v>
      </c>
      <c r="D13" s="247" t="s">
        <v>1172</v>
      </c>
      <c r="E13" s="247" t="s">
        <v>926</v>
      </c>
      <c r="F13" s="247" t="s">
        <v>2460</v>
      </c>
      <c r="G13" s="247" t="s">
        <v>1654</v>
      </c>
      <c r="H13" s="247"/>
      <c r="I13" s="247" t="s">
        <v>2461</v>
      </c>
      <c r="J13" s="247">
        <v>106</v>
      </c>
      <c r="K13" s="247">
        <v>106</v>
      </c>
      <c r="L13" s="249" t="s">
        <v>938</v>
      </c>
      <c r="M13" s="249" t="s">
        <v>929</v>
      </c>
      <c r="N13" s="248">
        <v>2101.5500000000002</v>
      </c>
      <c r="O13" s="248">
        <v>13782.8</v>
      </c>
      <c r="P13" s="247" t="s">
        <v>1655</v>
      </c>
      <c r="Q13" s="247" t="s">
        <v>92</v>
      </c>
      <c r="R13" s="247"/>
    </row>
    <row r="14" spans="1:18" x14ac:dyDescent="0.25">
      <c r="A14" s="247" t="s">
        <v>646</v>
      </c>
      <c r="B14" s="247" t="s">
        <v>265</v>
      </c>
      <c r="C14" s="247" t="s">
        <v>1620</v>
      </c>
      <c r="D14" s="247" t="s">
        <v>1172</v>
      </c>
      <c r="E14" s="247" t="s">
        <v>926</v>
      </c>
      <c r="F14" s="247" t="s">
        <v>2460</v>
      </c>
      <c r="G14" s="247" t="s">
        <v>1654</v>
      </c>
      <c r="H14" s="247"/>
      <c r="I14" s="247" t="s">
        <v>2461</v>
      </c>
      <c r="J14" s="247">
        <v>106</v>
      </c>
      <c r="K14" s="247">
        <v>106</v>
      </c>
      <c r="L14" s="249" t="s">
        <v>939</v>
      </c>
      <c r="M14" s="249" t="s">
        <v>929</v>
      </c>
      <c r="N14" s="248">
        <v>3468.27</v>
      </c>
      <c r="O14" s="248">
        <v>17251.07</v>
      </c>
      <c r="P14" s="247" t="s">
        <v>1655</v>
      </c>
      <c r="Q14" s="247" t="s">
        <v>93</v>
      </c>
      <c r="R14" s="247"/>
    </row>
    <row r="15" spans="1:18" x14ac:dyDescent="0.25">
      <c r="A15" s="247" t="s">
        <v>646</v>
      </c>
      <c r="B15" s="247" t="s">
        <v>265</v>
      </c>
      <c r="C15" s="247" t="s">
        <v>1620</v>
      </c>
      <c r="D15" s="247" t="s">
        <v>1172</v>
      </c>
      <c r="E15" s="247" t="s">
        <v>926</v>
      </c>
      <c r="F15" s="247" t="s">
        <v>2460</v>
      </c>
      <c r="G15" s="247" t="s">
        <v>1654</v>
      </c>
      <c r="H15" s="247"/>
      <c r="I15" s="247" t="s">
        <v>2461</v>
      </c>
      <c r="J15" s="247">
        <v>106</v>
      </c>
      <c r="K15" s="247">
        <v>106</v>
      </c>
      <c r="L15" s="249" t="s">
        <v>940</v>
      </c>
      <c r="M15" s="249" t="s">
        <v>929</v>
      </c>
      <c r="N15" s="248">
        <v>1955.9</v>
      </c>
      <c r="O15" s="248">
        <v>19206.97</v>
      </c>
      <c r="P15" s="247" t="s">
        <v>1655</v>
      </c>
      <c r="Q15" s="247" t="s">
        <v>94</v>
      </c>
      <c r="R15" s="247"/>
    </row>
    <row r="16" spans="1:18" x14ac:dyDescent="0.25">
      <c r="A16" s="247" t="s">
        <v>646</v>
      </c>
      <c r="B16" s="247" t="s">
        <v>265</v>
      </c>
      <c r="C16" s="247" t="s">
        <v>1620</v>
      </c>
      <c r="D16" s="247" t="s">
        <v>1172</v>
      </c>
      <c r="E16" s="247" t="s">
        <v>926</v>
      </c>
      <c r="F16" s="247" t="s">
        <v>2460</v>
      </c>
      <c r="G16" s="247" t="s">
        <v>1654</v>
      </c>
      <c r="H16" s="247"/>
      <c r="I16" s="247" t="s">
        <v>2461</v>
      </c>
      <c r="J16" s="247">
        <v>106</v>
      </c>
      <c r="K16" s="247">
        <v>106</v>
      </c>
      <c r="L16" s="249" t="s">
        <v>642</v>
      </c>
      <c r="M16" s="249" t="s">
        <v>929</v>
      </c>
      <c r="N16" s="426">
        <v>2101.5500000000002</v>
      </c>
      <c r="O16" s="248">
        <v>21308.52</v>
      </c>
      <c r="P16" s="247" t="s">
        <v>1655</v>
      </c>
      <c r="Q16" s="247" t="s">
        <v>95</v>
      </c>
      <c r="R16" s="247"/>
    </row>
    <row r="17" spans="1:18" x14ac:dyDescent="0.25">
      <c r="A17" s="247"/>
      <c r="B17" s="247" t="s">
        <v>2792</v>
      </c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8">
        <f>SUM(N5:N16)</f>
        <v>27176.219999999998</v>
      </c>
      <c r="O17" s="247"/>
      <c r="P17" s="247"/>
      <c r="Q17" s="247"/>
      <c r="R17" s="247"/>
    </row>
    <row r="18" spans="1:18" x14ac:dyDescent="0.25">
      <c r="A18" s="247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</row>
    <row r="19" spans="1:18" x14ac:dyDescent="0.25">
      <c r="A19" s="247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</row>
    <row r="20" spans="1:18" x14ac:dyDescent="0.25">
      <c r="B20" s="247" t="s">
        <v>2794</v>
      </c>
    </row>
  </sheetData>
  <pageMargins left="0.7" right="0.7" top="0.75" bottom="0.75" header="0.3" footer="0.3"/>
  <pageSetup scale="72" fitToHeight="0" orientation="landscape" r:id="rId1"/>
  <headerFooter>
    <oddFooter>&amp;L&amp;D&amp;C&amp;A&amp;RPage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IO1456"/>
  <sheetViews>
    <sheetView showGridLines="0" workbookViewId="0">
      <selection activeCell="H18" sqref="H18"/>
    </sheetView>
  </sheetViews>
  <sheetFormatPr defaultColWidth="9.77734375" defaultRowHeight="15.75" x14ac:dyDescent="0.25"/>
  <cols>
    <col min="1" max="1" width="1.77734375" customWidth="1"/>
    <col min="2" max="2" width="3.77734375" customWidth="1"/>
    <col min="3" max="3" width="12" customWidth="1"/>
    <col min="4" max="4" width="8.109375" customWidth="1"/>
    <col min="5" max="5" width="9" customWidth="1"/>
    <col min="6" max="6" width="10.77734375" customWidth="1"/>
    <col min="7" max="7" width="4.21875" customWidth="1"/>
    <col min="21" max="22" width="13.77734375" customWidth="1"/>
    <col min="23" max="23" width="9.77734375" customWidth="1"/>
    <col min="28" max="28" width="11.77734375" customWidth="1"/>
    <col min="30" max="30" width="13.77734375" customWidth="1"/>
    <col min="31" max="31" width="9.77734375" customWidth="1"/>
    <col min="32" max="32" width="12.77734375" customWidth="1"/>
    <col min="36" max="47" width="11.77734375" customWidth="1"/>
  </cols>
  <sheetData>
    <row r="1" spans="1:249" x14ac:dyDescent="0.25">
      <c r="A1" s="11"/>
      <c r="B1" s="12" t="s">
        <v>0</v>
      </c>
      <c r="C1" s="11"/>
      <c r="D1" s="11"/>
      <c r="E1" s="11"/>
      <c r="F1" s="11"/>
      <c r="G1" s="11"/>
      <c r="H1" s="11"/>
      <c r="I1" s="1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3" t="s">
        <v>1</v>
      </c>
      <c r="AF1" s="3" t="s">
        <v>2</v>
      </c>
      <c r="AG1" s="1"/>
      <c r="AH1" s="1"/>
      <c r="AI1" s="2" t="s">
        <v>3</v>
      </c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19.5" x14ac:dyDescent="0.35">
      <c r="A2" s="11"/>
      <c r="B2" s="11"/>
      <c r="C2" s="11"/>
      <c r="D2" s="11"/>
      <c r="E2" s="13"/>
      <c r="F2" s="11"/>
      <c r="G2" s="25" t="s">
        <v>66</v>
      </c>
      <c r="H2" s="26"/>
      <c r="I2" s="27"/>
      <c r="J2" s="2"/>
      <c r="K2" s="1"/>
      <c r="L2" s="1"/>
      <c r="M2" s="1"/>
      <c r="N2" s="2" t="s">
        <v>4</v>
      </c>
      <c r="O2" s="1"/>
      <c r="P2" s="1"/>
      <c r="Q2" s="1"/>
      <c r="R2" s="1"/>
      <c r="S2" s="1"/>
      <c r="T2" s="1"/>
      <c r="U2" s="3" t="s">
        <v>5</v>
      </c>
      <c r="V2" s="3" t="s">
        <v>6</v>
      </c>
      <c r="W2" s="3" t="s">
        <v>7</v>
      </c>
      <c r="X2" s="3" t="s">
        <v>8</v>
      </c>
      <c r="Y2" s="3" t="s">
        <v>9</v>
      </c>
      <c r="Z2" s="1"/>
      <c r="AA2" s="3" t="s">
        <v>10</v>
      </c>
      <c r="AB2" s="2" t="s">
        <v>11</v>
      </c>
      <c r="AC2" s="3" t="s">
        <v>12</v>
      </c>
      <c r="AD2" s="3" t="s">
        <v>13</v>
      </c>
      <c r="AE2" s="3" t="s">
        <v>14</v>
      </c>
      <c r="AF2" s="1"/>
      <c r="AG2" s="1"/>
      <c r="AH2" s="1"/>
      <c r="AI2" s="2" t="s">
        <v>15</v>
      </c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x14ac:dyDescent="0.25">
      <c r="A3" s="11"/>
      <c r="B3" s="12" t="s">
        <v>16</v>
      </c>
      <c r="C3" s="12" t="s">
        <v>17</v>
      </c>
      <c r="D3" s="11"/>
      <c r="E3" s="13">
        <f>E5+E4</f>
        <v>4582620.2806148948</v>
      </c>
      <c r="F3" s="12" t="s">
        <v>18</v>
      </c>
      <c r="G3" s="28"/>
      <c r="H3" s="29" t="s">
        <v>64</v>
      </c>
      <c r="I3" s="30"/>
      <c r="J3" s="2"/>
      <c r="K3" s="1"/>
      <c r="L3" s="4"/>
      <c r="M3" s="1"/>
      <c r="N3" s="2" t="s">
        <v>19</v>
      </c>
      <c r="O3" s="1"/>
      <c r="P3" s="1"/>
      <c r="Q3" s="2" t="s">
        <v>20</v>
      </c>
      <c r="R3" s="1"/>
      <c r="S3" s="1"/>
      <c r="T3" s="1"/>
      <c r="U3" s="5">
        <f>$E$6*1.25</f>
        <v>5189095.0980086271</v>
      </c>
      <c r="V3" s="6">
        <f>100*(+U3/$E$7)</f>
        <v>303.11976659825524</v>
      </c>
      <c r="W3" s="7">
        <f>EXP(5.7226-(0.68367*LN(+V3)))</f>
        <v>6.1473562570213458</v>
      </c>
      <c r="X3" s="7">
        <f>(+W3*V3)/100</f>
        <v>18.633851938246345</v>
      </c>
      <c r="Y3" s="6">
        <f>100*((((X3/100)-((X3/100)-0.03574)*$E$19)-0.03574-0.00619)/0.344)</f>
        <v>26.656696976337578</v>
      </c>
      <c r="Z3" s="8">
        <v>0</v>
      </c>
      <c r="AA3" s="6">
        <f>Y3+Z3</f>
        <v>26.656696976337578</v>
      </c>
      <c r="AB3" s="6">
        <f>100*($E$15*$E$17+($E$16*(AA3/100))/(1-$E$19))</f>
        <v>26.406181824311609</v>
      </c>
      <c r="AC3" s="7">
        <f>AB3/V3</f>
        <v>8.7114681172572539E-2</v>
      </c>
      <c r="AD3" s="5">
        <f>$E$6/(1-AC3)</f>
        <v>4547423.4197775088</v>
      </c>
      <c r="AE3" s="8" t="str">
        <f>IF(AD3=$U$3,"yes","not yet")</f>
        <v>not yet</v>
      </c>
      <c r="AF3" s="6">
        <f>100*(1-AC3)</f>
        <v>91.288531882742745</v>
      </c>
      <c r="AG3" s="1"/>
      <c r="AH3" s="1"/>
      <c r="AI3" s="8">
        <v>0</v>
      </c>
      <c r="AJ3" s="8">
        <v>1</v>
      </c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</row>
    <row r="4" spans="1:249" x14ac:dyDescent="0.25">
      <c r="A4" s="11"/>
      <c r="B4" s="12" t="s">
        <v>16</v>
      </c>
      <c r="C4" s="12" t="s">
        <v>21</v>
      </c>
      <c r="D4" s="11"/>
      <c r="E4" s="13">
        <f>(+E6-((H13/100)*E5))/H23</f>
        <v>469103.47061489482</v>
      </c>
      <c r="F4" s="14" t="s">
        <v>18</v>
      </c>
      <c r="G4" s="31"/>
      <c r="H4" s="32" t="s">
        <v>65</v>
      </c>
      <c r="I4" s="33"/>
      <c r="J4" s="2"/>
      <c r="K4" s="1"/>
      <c r="L4" s="4"/>
      <c r="M4" s="1"/>
      <c r="N4" s="2" t="s">
        <v>22</v>
      </c>
      <c r="O4" s="1"/>
      <c r="P4" s="1"/>
      <c r="Q4" s="2" t="s">
        <v>23</v>
      </c>
      <c r="R4" s="1"/>
      <c r="S4" s="1"/>
      <c r="T4" s="1"/>
      <c r="U4" s="5">
        <f>$E$6*1.25</f>
        <v>5189095.0980086271</v>
      </c>
      <c r="V4" s="6">
        <f>100*(+U4/$E$7)</f>
        <v>303.11976659825524</v>
      </c>
      <c r="W4" s="7">
        <f>EXP(5.70827-(0.68367*LN(+V4)))</f>
        <v>6.05989281413156</v>
      </c>
      <c r="X4" s="7">
        <f>(+W4*V4)/100</f>
        <v>18.368732954300025</v>
      </c>
      <c r="Y4" s="6">
        <f>100*((((X4/100)-((X4/100)-0.03574)*$E$19)-0.03574-0.00619)/0.344)</f>
        <v>26.155745407834353</v>
      </c>
      <c r="Z4" s="8">
        <v>0</v>
      </c>
      <c r="AA4" s="6">
        <f>Y4+Z4</f>
        <v>26.155745407834353</v>
      </c>
      <c r="AB4" s="6">
        <f>100*($E$15*$E$17+($E$16*(AA4/100))/(1-$E$19))</f>
        <v>25.943764991847097</v>
      </c>
      <c r="AC4" s="7">
        <f>AB4/V4</f>
        <v>8.5589156005890218E-2</v>
      </c>
      <c r="AD4" s="5">
        <f>$E$6/(1-AC4)</f>
        <v>4539836.8858731985</v>
      </c>
      <c r="AE4" s="8" t="str">
        <f>IF(AD4=$U$4,"yes","not yet")</f>
        <v>not yet</v>
      </c>
      <c r="AF4" s="6">
        <f>100*(1-AC4)</f>
        <v>91.441084399410983</v>
      </c>
      <c r="AG4" s="1"/>
      <c r="AH4" s="1"/>
      <c r="AI4" s="8">
        <v>50</v>
      </c>
      <c r="AJ4" s="8">
        <v>2</v>
      </c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</row>
    <row r="5" spans="1:249" x14ac:dyDescent="0.25">
      <c r="A5" s="11"/>
      <c r="B5" s="15" t="s">
        <v>24</v>
      </c>
      <c r="C5" s="12" t="s">
        <v>25</v>
      </c>
      <c r="D5" s="15" t="s">
        <v>26</v>
      </c>
      <c r="E5" s="23">
        <f>+'Allocation Matrix'!H13</f>
        <v>4113516.8099999996</v>
      </c>
      <c r="F5" s="12" t="s">
        <v>27</v>
      </c>
      <c r="G5" s="11"/>
      <c r="H5" s="11"/>
      <c r="I5" s="11"/>
      <c r="J5" s="2"/>
      <c r="K5" s="1"/>
      <c r="L5" s="4"/>
      <c r="M5" s="1"/>
      <c r="N5" s="2" t="s">
        <v>28</v>
      </c>
      <c r="O5" s="1"/>
      <c r="P5" s="1"/>
      <c r="Q5" s="2" t="s">
        <v>29</v>
      </c>
      <c r="R5" s="1"/>
      <c r="S5" s="1"/>
      <c r="T5" s="1"/>
      <c r="U5" s="5">
        <f>$E$6*1.25</f>
        <v>5189095.0980086271</v>
      </c>
      <c r="V5" s="6">
        <f>100*(+U5/$E$7)</f>
        <v>303.11976659825524</v>
      </c>
      <c r="W5" s="7">
        <f>EXP(5.6985-(0.68367*LN(V5)))</f>
        <v>6.0009759389210382</v>
      </c>
      <c r="X5" s="7">
        <f>(+W5*V5)/100</f>
        <v>18.190144259674909</v>
      </c>
      <c r="Y5" s="6">
        <f>100*((((X5/100)-((X5/100)-0.03574)*$E$19)-0.03574-0.00619)/0.344)</f>
        <v>25.818295839502014</v>
      </c>
      <c r="Z5" s="8">
        <v>0</v>
      </c>
      <c r="AA5" s="6">
        <f>Y5+Z5</f>
        <v>25.818295839502014</v>
      </c>
      <c r="AB5" s="6">
        <f>100*($E$15*$E$17+($E$16*(AA5/100))/(1-$E$19))</f>
        <v>25.632273082617246</v>
      </c>
      <c r="AC5" s="7">
        <f>AB5/V5</f>
        <v>8.4561536089427652E-2</v>
      </c>
      <c r="AD5" s="5">
        <f>$E$6/(1-AC5)</f>
        <v>4534740.7194072558</v>
      </c>
      <c r="AE5" s="8" t="str">
        <f>IF(AD5=$U$5,"yes","not yet")</f>
        <v>not yet</v>
      </c>
      <c r="AF5" s="6">
        <f>100*(1-AC5)</f>
        <v>91.543846391057244</v>
      </c>
      <c r="AG5" s="1"/>
      <c r="AH5" s="1"/>
      <c r="AI5" s="8">
        <v>125</v>
      </c>
      <c r="AJ5" s="8">
        <v>3</v>
      </c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</row>
    <row r="6" spans="1:249" x14ac:dyDescent="0.25">
      <c r="A6" s="11"/>
      <c r="B6" s="15" t="s">
        <v>24</v>
      </c>
      <c r="C6" s="12" t="s">
        <v>30</v>
      </c>
      <c r="D6" s="15" t="s">
        <v>26</v>
      </c>
      <c r="E6" s="23">
        <f>+'Allocation Matrix'!H104</f>
        <v>4151276.078406902</v>
      </c>
      <c r="F6" s="12" t="s">
        <v>27</v>
      </c>
      <c r="G6" s="11"/>
      <c r="H6" s="11"/>
      <c r="I6" s="11"/>
      <c r="J6" s="2"/>
      <c r="K6" s="1"/>
      <c r="L6" s="4"/>
      <c r="M6" s="1"/>
      <c r="N6" s="2" t="s">
        <v>31</v>
      </c>
      <c r="O6" s="1"/>
      <c r="P6" s="1"/>
      <c r="Q6" s="2" t="s">
        <v>32</v>
      </c>
      <c r="R6" s="1"/>
      <c r="S6" s="1"/>
      <c r="T6" s="1"/>
      <c r="U6" s="5">
        <f>$E$6*1.25</f>
        <v>5189095.0980086271</v>
      </c>
      <c r="V6" s="6">
        <f>100*(+U6/$E$7)</f>
        <v>303.11976659825524</v>
      </c>
      <c r="W6" s="7">
        <f>EXP(5.6922-(0.68367*LN(V6)))</f>
        <v>5.9632886301790622</v>
      </c>
      <c r="X6" s="7">
        <f>(+W6*V6)/100</f>
        <v>18.075906577379065</v>
      </c>
      <c r="Y6" s="6">
        <f>100*((((X6/100)-((X6/100)-0.03574)*$E$19)-0.03574-0.00619)/0.344)</f>
        <v>25.602439753768579</v>
      </c>
      <c r="Z6" s="8">
        <v>0</v>
      </c>
      <c r="AA6" s="6">
        <f>Y6+Z6</f>
        <v>25.602439753768579</v>
      </c>
      <c r="AB6" s="6">
        <f>100*($E$15*$E$17+($E$16*(AA6/100))/(1-$E$19))</f>
        <v>25.433021311170993</v>
      </c>
      <c r="AC6" s="7">
        <f>AB6/V6</f>
        <v>8.3904199309044289E-2</v>
      </c>
      <c r="AD6" s="5">
        <f>$E$6/(1-AC6)</f>
        <v>4531486.8546235505</v>
      </c>
      <c r="AE6" s="8" t="str">
        <f>IF(AD6=$U$6,"yes","not yet")</f>
        <v>not yet</v>
      </c>
      <c r="AF6" s="6">
        <f>100*(1-AC6)</f>
        <v>91.609580069095571</v>
      </c>
      <c r="AG6" s="1"/>
      <c r="AH6" s="1"/>
      <c r="AI6" s="8">
        <v>401</v>
      </c>
      <c r="AJ6" s="8">
        <v>4</v>
      </c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</row>
    <row r="7" spans="1:249" x14ac:dyDescent="0.25">
      <c r="A7" s="11"/>
      <c r="B7" s="15" t="s">
        <v>24</v>
      </c>
      <c r="C7" s="12" t="s">
        <v>33</v>
      </c>
      <c r="D7" s="15" t="s">
        <v>26</v>
      </c>
      <c r="E7" s="23">
        <f>+'Regulatory Depr Sch'!O322</f>
        <v>1711895.9796792399</v>
      </c>
      <c r="F7" s="12" t="s">
        <v>27</v>
      </c>
      <c r="G7" s="11"/>
      <c r="H7" s="11"/>
      <c r="I7" s="11"/>
      <c r="J7" s="2"/>
      <c r="K7" s="1"/>
      <c r="L7" s="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6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</row>
    <row r="8" spans="1:249" x14ac:dyDescent="0.25">
      <c r="A8" s="11"/>
      <c r="B8" s="11"/>
      <c r="C8" s="12" t="s">
        <v>34</v>
      </c>
      <c r="D8" s="11"/>
      <c r="E8" s="16">
        <f>V3</f>
        <v>303.11976659825524</v>
      </c>
      <c r="F8" s="12" t="s">
        <v>35</v>
      </c>
      <c r="G8" s="11"/>
      <c r="H8" s="16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3" t="s">
        <v>36</v>
      </c>
      <c r="W8" s="3" t="s">
        <v>7</v>
      </c>
      <c r="X8" s="3" t="s">
        <v>8</v>
      </c>
      <c r="Y8" s="3" t="s">
        <v>9</v>
      </c>
      <c r="Z8" s="1"/>
      <c r="AA8" s="6"/>
      <c r="AB8" s="1"/>
      <c r="AC8" s="1"/>
      <c r="AD8" s="1"/>
      <c r="AE8" s="1"/>
      <c r="AF8" s="1"/>
      <c r="AG8" s="1"/>
      <c r="AH8" s="1"/>
      <c r="AI8" s="2" t="s">
        <v>37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</row>
    <row r="9" spans="1:249" x14ac:dyDescent="0.25">
      <c r="A9" s="11"/>
      <c r="B9" s="11"/>
      <c r="C9" s="12" t="s">
        <v>38</v>
      </c>
      <c r="D9" s="11"/>
      <c r="E9" s="16">
        <f>HLOOKUP($AJ$32,$AJ$26:$AR$30,$E$10+1)</f>
        <v>266.87544419936251</v>
      </c>
      <c r="F9" s="12" t="s">
        <v>35</v>
      </c>
      <c r="G9" s="11"/>
      <c r="H9" s="11"/>
      <c r="I9" s="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6">
        <f>100*(+AD3/$E$7)</f>
        <v>265.63666681602729</v>
      </c>
      <c r="W9" s="9">
        <f>EXP(5.7226-(0.68367*LN(+V9)))</f>
        <v>6.7279167673060352</v>
      </c>
      <c r="X9" s="7">
        <f>(+W9*V9)/100</f>
        <v>17.871813846828367</v>
      </c>
      <c r="Y9" s="6">
        <f>100*((((X9/100)-((X9/100)-0.03574)*$E$19)-0.03574-0.00619)/0.344)</f>
        <v>25.216799419879187</v>
      </c>
      <c r="Z9" s="8">
        <v>0</v>
      </c>
      <c r="AA9" s="6">
        <f>Y9+Z9</f>
        <v>25.216799419879187</v>
      </c>
      <c r="AB9" s="6">
        <f>100*($E$15*$E$17+($E$16*(AA9/100))/(1-$E$19))</f>
        <v>25.07704561835002</v>
      </c>
      <c r="AC9" s="7">
        <f>AB9/V9</f>
        <v>9.4403554746143911E-2</v>
      </c>
      <c r="AD9" s="5">
        <f>$E$6/(1-AC9)</f>
        <v>4584024.2639680635</v>
      </c>
      <c r="AE9" s="8" t="str">
        <f>IF(OR(OR(AD9=AD3,AD9=(AD3+1)),AD9=(AD8187-1)),"yes","not yet")</f>
        <v>not yet</v>
      </c>
      <c r="AF9" s="6">
        <f>100*(1-AC9)</f>
        <v>90.559644525385607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</row>
    <row r="10" spans="1:249" x14ac:dyDescent="0.25">
      <c r="A10" s="11"/>
      <c r="B10" s="11"/>
      <c r="C10" s="12" t="s">
        <v>39</v>
      </c>
      <c r="D10" s="11"/>
      <c r="E10" s="17">
        <f>VLOOKUP(E8,AI3:AJ6,2)</f>
        <v>3</v>
      </c>
      <c r="F10" s="12" t="s">
        <v>35</v>
      </c>
      <c r="G10" s="11"/>
      <c r="H10" s="1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6">
        <f>100*(+AD4/$E$7)</f>
        <v>265.19350122685802</v>
      </c>
      <c r="W10" s="9">
        <f>EXP(5.70827-(0.68367*LN(+V10)))</f>
        <v>6.6397683828576106</v>
      </c>
      <c r="X10" s="7">
        <f>(+W10*V10)/100</f>
        <v>17.608234247854028</v>
      </c>
      <c r="Y10" s="6">
        <f>100*((((X10/100)-((X10/100)-0.03574)*$E$19)-0.03574-0.00619)/0.344)</f>
        <v>24.718756572979999</v>
      </c>
      <c r="Z10" s="8">
        <v>0</v>
      </c>
      <c r="AA10" s="6">
        <f>Y10+Z10</f>
        <v>24.718756572979999</v>
      </c>
      <c r="AB10" s="6">
        <f>100*($E$15*$E$17+($E$16*(AA10/100))/(1-$E$19))</f>
        <v>24.617313759673845</v>
      </c>
      <c r="AC10" s="7">
        <f>AB10/V10</f>
        <v>9.2827741425741531E-2</v>
      </c>
      <c r="AD10" s="5">
        <f>$E$6/(1-AC10)</f>
        <v>4576061.5353595391</v>
      </c>
      <c r="AE10" s="8" t="str">
        <f>IF(OR(OR(AD10=AD4,AD10=(AD4+1)),AD10=(AD4-1)),"yes","not yet")</f>
        <v>not yet</v>
      </c>
      <c r="AF10" s="6">
        <f>100*(1-AC10)</f>
        <v>90.717225857425845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</row>
    <row r="11" spans="1:249" x14ac:dyDescent="0.25">
      <c r="A11" s="11"/>
      <c r="B11" s="11"/>
      <c r="C11" s="11"/>
      <c r="D11" s="11"/>
      <c r="E11" s="11"/>
      <c r="F11" s="11"/>
      <c r="G11" s="11"/>
      <c r="H11" s="11"/>
      <c r="I11" s="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6">
        <f>100*(+AD5/$E$7)</f>
        <v>264.89580986439</v>
      </c>
      <c r="W11" s="9">
        <f>EXP(5.6985-(0.68367*LN(V11)))</f>
        <v>6.5802646275304664</v>
      </c>
      <c r="X11" s="7">
        <f>(+W11*V11)/100</f>
        <v>17.430845276316816</v>
      </c>
      <c r="Y11" s="6">
        <f>100*((((X11/100)-((X11/100)-0.03574)*$E$19)-0.03574-0.00619)/0.344)</f>
        <v>24.383573923273058</v>
      </c>
      <c r="Z11" s="8">
        <v>0</v>
      </c>
      <c r="AA11" s="6">
        <f>Y11+Z11</f>
        <v>24.383573923273058</v>
      </c>
      <c r="AB11" s="6">
        <f>100*($E$15*$E$17+($E$16*(AA11/100))/(1-$E$19))</f>
        <v>24.307914390713588</v>
      </c>
      <c r="AC11" s="7">
        <f>AB11/V11</f>
        <v>9.1764057737106941E-2</v>
      </c>
      <c r="AD11" s="5">
        <f>$E$6/(1-AC11)</f>
        <v>4570702.2649465865</v>
      </c>
      <c r="AE11" s="8" t="str">
        <f>IF(OR(OR(AD11=AD5,AD11=(AD5+1)),AD11=(AD5-1)),"yes","not yet")</f>
        <v>not yet</v>
      </c>
      <c r="AF11" s="6">
        <f>100*(1-AC11)</f>
        <v>90.823594226289302</v>
      </c>
      <c r="AG11" s="1"/>
      <c r="AH11" s="1"/>
      <c r="AI11" s="1"/>
      <c r="AJ11" s="8">
        <v>1</v>
      </c>
      <c r="AK11" s="8">
        <v>2</v>
      </c>
      <c r="AL11" s="8">
        <v>3</v>
      </c>
      <c r="AM11" s="8">
        <v>4</v>
      </c>
      <c r="AN11" s="8">
        <v>5</v>
      </c>
      <c r="AO11" s="8">
        <v>6</v>
      </c>
      <c r="AP11" s="8">
        <v>7</v>
      </c>
      <c r="AQ11" s="8">
        <v>8</v>
      </c>
      <c r="AR11" s="8">
        <v>9</v>
      </c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49" x14ac:dyDescent="0.25">
      <c r="A12" s="11"/>
      <c r="B12" s="11"/>
      <c r="C12" s="12" t="s">
        <v>40</v>
      </c>
      <c r="D12" s="11"/>
      <c r="E12" s="11"/>
      <c r="F12" s="11"/>
      <c r="G12" s="11"/>
      <c r="H12" s="11"/>
      <c r="I12" s="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6">
        <f>100*(+AD6/$E$7)</f>
        <v>264.70573612028818</v>
      </c>
      <c r="W12" s="9">
        <f>EXP(5.6922-(0.68367*LN(V12)))</f>
        <v>6.5421489634411873</v>
      </c>
      <c r="X12" s="7">
        <f>(+W12*V12)/100</f>
        <v>17.317443571762798</v>
      </c>
      <c r="Y12" s="6">
        <f>100*((((X12/100)-((X12/100)-0.03574)*$E$19)-0.03574-0.00619)/0.344)</f>
        <v>24.169297446644826</v>
      </c>
      <c r="Z12" s="8">
        <v>0</v>
      </c>
      <c r="AA12" s="6">
        <f>Y12+Z12</f>
        <v>24.169297446644826</v>
      </c>
      <c r="AB12" s="6">
        <f>100*($E$15*$E$17+($E$16*(AA12/100))/(1-$E$19))</f>
        <v>24.110120719979836</v>
      </c>
      <c r="AC12" s="7">
        <f>AB12/V12</f>
        <v>9.1082728592717987E-2</v>
      </c>
      <c r="AD12" s="5">
        <f>$E$6/(1-AC12)</f>
        <v>4567276.0426033679</v>
      </c>
      <c r="AE12" s="8" t="str">
        <f>IF(OR(OR(AD12=AD6,AD12=(AD6+1)),AD12=(AD6-1)),"yes","not yet")</f>
        <v>not yet</v>
      </c>
      <c r="AF12" s="6">
        <f>100*(1-AC12)</f>
        <v>90.891727140728193</v>
      </c>
      <c r="AG12" s="1"/>
      <c r="AH12" s="1"/>
      <c r="AI12" s="1"/>
      <c r="AJ12" s="8" t="str">
        <f>AE3</f>
        <v>not yet</v>
      </c>
      <c r="AK12" s="8" t="str">
        <f>AE9</f>
        <v>not yet</v>
      </c>
      <c r="AL12" s="8" t="str">
        <f>AE15</f>
        <v>not yet</v>
      </c>
      <c r="AM12" s="8" t="str">
        <f>AE21</f>
        <v>not yet</v>
      </c>
      <c r="AN12" s="8" t="str">
        <f>AE27</f>
        <v>not yet</v>
      </c>
      <c r="AO12" s="8" t="str">
        <f>AE33</f>
        <v>not yet</v>
      </c>
      <c r="AP12" s="8" t="str">
        <f>AE39</f>
        <v>yes</v>
      </c>
      <c r="AQ12" s="8" t="str">
        <f>AE45</f>
        <v>yes</v>
      </c>
      <c r="AR12" s="8" t="str">
        <f>AE51</f>
        <v>yes</v>
      </c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x14ac:dyDescent="0.25">
      <c r="A13" s="11"/>
      <c r="B13" s="11"/>
      <c r="C13" s="12" t="s">
        <v>41</v>
      </c>
      <c r="D13" s="11"/>
      <c r="E13" s="15" t="s">
        <v>16</v>
      </c>
      <c r="F13" s="12" t="s">
        <v>42</v>
      </c>
      <c r="G13" s="11"/>
      <c r="H13" s="16">
        <f>HLOOKUP($AJ$23,$AJ$17:$AR$21,$E$10+1)</f>
        <v>90.864800648546051</v>
      </c>
      <c r="I13" s="12" t="s">
        <v>18</v>
      </c>
      <c r="J13" s="1"/>
      <c r="K13" s="1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6"/>
      <c r="AB13" s="1"/>
      <c r="AC13" s="1"/>
      <c r="AD13" s="1"/>
      <c r="AE13" s="1"/>
      <c r="AF13" s="1"/>
      <c r="AG13" s="1"/>
      <c r="AH13" s="1"/>
      <c r="AI13" s="1"/>
      <c r="AJ13" s="8" t="str">
        <f>AE4</f>
        <v>not yet</v>
      </c>
      <c r="AK13" s="8" t="str">
        <f>AE10</f>
        <v>not yet</v>
      </c>
      <c r="AL13" s="8" t="str">
        <f>AE16</f>
        <v>not yet</v>
      </c>
      <c r="AM13" s="8" t="str">
        <f>AE22</f>
        <v>not yet</v>
      </c>
      <c r="AN13" s="8" t="str">
        <f>AE28</f>
        <v>not yet</v>
      </c>
      <c r="AO13" s="8" t="str">
        <f>AE34</f>
        <v>not yet</v>
      </c>
      <c r="AP13" s="8" t="str">
        <f>AE40</f>
        <v>yes</v>
      </c>
      <c r="AQ13" s="8" t="str">
        <f>AE46</f>
        <v>yes</v>
      </c>
      <c r="AR13" s="8" t="str">
        <f>AE52</f>
        <v>yes</v>
      </c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49" x14ac:dyDescent="0.25">
      <c r="A14" s="11"/>
      <c r="B14" s="11"/>
      <c r="C14" s="18" t="s">
        <v>43</v>
      </c>
      <c r="D14" s="18" t="s">
        <v>43</v>
      </c>
      <c r="E14" s="19"/>
      <c r="F14" s="11"/>
      <c r="G14" s="11"/>
      <c r="H14" s="18" t="s">
        <v>44</v>
      </c>
      <c r="I14" s="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2" t="s">
        <v>45</v>
      </c>
      <c r="W14" s="3" t="s">
        <v>7</v>
      </c>
      <c r="X14" s="3" t="s">
        <v>8</v>
      </c>
      <c r="Y14" s="3" t="s">
        <v>9</v>
      </c>
      <c r="Z14" s="1"/>
      <c r="AA14" s="6"/>
      <c r="AB14" s="1"/>
      <c r="AC14" s="1"/>
      <c r="AD14" s="1"/>
      <c r="AE14" s="1"/>
      <c r="AF14" s="1"/>
      <c r="AG14" s="1"/>
      <c r="AH14" s="1"/>
      <c r="AI14" s="1"/>
      <c r="AJ14" s="8" t="str">
        <f>AE5</f>
        <v>not yet</v>
      </c>
      <c r="AK14" s="8" t="str">
        <f>AE11</f>
        <v>not yet</v>
      </c>
      <c r="AL14" s="8" t="str">
        <f>AE17</f>
        <v>not yet</v>
      </c>
      <c r="AM14" s="8" t="str">
        <f>AE23</f>
        <v>not yet</v>
      </c>
      <c r="AN14" s="8" t="str">
        <f>AE29</f>
        <v>not yet</v>
      </c>
      <c r="AO14" s="8" t="str">
        <f>AE35</f>
        <v>not yet</v>
      </c>
      <c r="AP14" s="8" t="str">
        <f>AE41</f>
        <v>yes</v>
      </c>
      <c r="AQ14" s="8" t="str">
        <f>AE47</f>
        <v>yes</v>
      </c>
      <c r="AR14" s="8" t="str">
        <f>AE53</f>
        <v>yes</v>
      </c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</row>
    <row r="15" spans="1:249" x14ac:dyDescent="0.25">
      <c r="A15" s="11"/>
      <c r="B15" s="15" t="s">
        <v>24</v>
      </c>
      <c r="C15" s="12" t="s">
        <v>46</v>
      </c>
      <c r="D15" s="15" t="s">
        <v>26</v>
      </c>
      <c r="E15" s="34">
        <v>0.4</v>
      </c>
      <c r="F15" s="20" t="s">
        <v>47</v>
      </c>
      <c r="G15" s="11"/>
      <c r="H15" s="11"/>
      <c r="I15" s="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6">
        <f>100*(+AD9/$E$7)</f>
        <v>267.7746964991984</v>
      </c>
      <c r="W15" s="9">
        <f>EXP(5.7226-(0.68367*LN(+V15)))</f>
        <v>6.6911444192528968</v>
      </c>
      <c r="X15" s="7">
        <f>(+W15*V15)/100</f>
        <v>17.917191660977497</v>
      </c>
      <c r="Y15" s="6">
        <f>100*((((X15/100)-((X15/100)-0.03574)*$E$19)-0.03574-0.00619)/0.344)</f>
        <v>25.30254238266097</v>
      </c>
      <c r="Z15" s="8">
        <v>0</v>
      </c>
      <c r="AA15" s="6">
        <f>Y15+Z15</f>
        <v>25.30254238266097</v>
      </c>
      <c r="AB15" s="6">
        <f>100*($E$15*$E$17+($E$16*(AA15/100))/(1-$E$19))</f>
        <v>25.156192968610124</v>
      </c>
      <c r="AC15" s="7">
        <f>AB15/V15</f>
        <v>9.3945370109626586E-2</v>
      </c>
      <c r="AD15" s="5">
        <f>$E$6/(1-AC15)</f>
        <v>4581706.1592733972</v>
      </c>
      <c r="AE15" s="8" t="str">
        <f>IF(OR(OR(AD15=AD9,AD15=(AD9+1)),AD15=(AD1-1)),"yes","not yet")</f>
        <v>not yet</v>
      </c>
      <c r="AF15" s="6">
        <f>100*(1-AC15)</f>
        <v>90.605462989037349</v>
      </c>
      <c r="AG15" s="1"/>
      <c r="AH15" s="1"/>
      <c r="AI15" s="1"/>
      <c r="AJ15" s="8" t="str">
        <f>AE6</f>
        <v>not yet</v>
      </c>
      <c r="AK15" s="8" t="str">
        <f>AE12</f>
        <v>not yet</v>
      </c>
      <c r="AL15" s="8" t="str">
        <f>AE18</f>
        <v>not yet</v>
      </c>
      <c r="AM15" s="8" t="str">
        <f>AE24</f>
        <v>not yet</v>
      </c>
      <c r="AN15" s="8" t="str">
        <f>AE30</f>
        <v>not yet</v>
      </c>
      <c r="AO15" s="8" t="str">
        <f>AE36</f>
        <v>not yet</v>
      </c>
      <c r="AP15" s="8" t="str">
        <f>AE42</f>
        <v>yes</v>
      </c>
      <c r="AQ15" s="8" t="str">
        <f>AE48</f>
        <v>yes</v>
      </c>
      <c r="AR15" s="8" t="str">
        <f>AE54</f>
        <v>yes</v>
      </c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</row>
    <row r="16" spans="1:249" x14ac:dyDescent="0.25">
      <c r="A16" s="11"/>
      <c r="B16" s="15" t="s">
        <v>24</v>
      </c>
      <c r="C16" s="12" t="s">
        <v>48</v>
      </c>
      <c r="D16" s="15" t="s">
        <v>26</v>
      </c>
      <c r="E16" s="34">
        <f>1-E15</f>
        <v>0.6</v>
      </c>
      <c r="F16" s="20" t="s">
        <v>49</v>
      </c>
      <c r="G16" s="11" t="s">
        <v>26</v>
      </c>
      <c r="H16" s="24">
        <v>1.4999999999999999E-2</v>
      </c>
      <c r="I16" s="12" t="s">
        <v>24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6">
        <f>100*(+AD10/$E$7)</f>
        <v>267.30955558508651</v>
      </c>
      <c r="W16" s="9">
        <f>EXP(5.70827-(0.68367*LN(+V16)))</f>
        <v>6.6037887188227833</v>
      </c>
      <c r="X16" s="7">
        <f>(+W16*V16)/100</f>
        <v>17.65255827606326</v>
      </c>
      <c r="Y16" s="6">
        <f>100*((((X16/100)-((X16/100)-0.03574)*$E$19)-0.03574-0.00619)/0.344)</f>
        <v>24.80250837046837</v>
      </c>
      <c r="Z16" s="8">
        <v>0</v>
      </c>
      <c r="AA16" s="6">
        <f>Y16+Z16</f>
        <v>24.80250837046837</v>
      </c>
      <c r="AB16" s="6">
        <f>100*($E$15*$E$17+($E$16*(AA16/100))/(1-$E$19))</f>
        <v>24.694623111201569</v>
      </c>
      <c r="AC16" s="7">
        <f>AB16/V16</f>
        <v>9.2382118765451673E-2</v>
      </c>
      <c r="AD16" s="5">
        <f>$E$6/(1-AC16)</f>
        <v>4573814.7784839878</v>
      </c>
      <c r="AE16" s="8" t="str">
        <f>IF(OR(OR(AD16=AD10,AD16=(AD10+1)),AD16=(AD10-1)),"yes","not yet")</f>
        <v>not yet</v>
      </c>
      <c r="AF16" s="6">
        <f>100*(1-AC16)</f>
        <v>90.761788123454835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</row>
    <row r="17" spans="1:249" x14ac:dyDescent="0.25">
      <c r="A17" s="11"/>
      <c r="B17" s="15" t="s">
        <v>24</v>
      </c>
      <c r="C17" s="12" t="s">
        <v>50</v>
      </c>
      <c r="D17" s="15" t="s">
        <v>26</v>
      </c>
      <c r="E17" s="34">
        <v>4.4999999999999998E-2</v>
      </c>
      <c r="F17" s="20" t="s">
        <v>51</v>
      </c>
      <c r="G17" s="11" t="s">
        <v>26</v>
      </c>
      <c r="H17" s="24">
        <v>5.1000000000000004E-3</v>
      </c>
      <c r="I17" s="12" t="s">
        <v>24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6">
        <f>100*(+AD11/$E$7)</f>
        <v>266.99649506759198</v>
      </c>
      <c r="W17" s="9">
        <f>EXP(5.6985-(0.68367*LN(V17)))</f>
        <v>6.5448251526904535</v>
      </c>
      <c r="X17" s="7">
        <f>(+W17*V17)/100</f>
        <v>17.474453765985686</v>
      </c>
      <c r="Y17" s="6">
        <f>100*((((X17/100)-((X17/100)-0.03574)*$E$19)-0.03574-0.00619)/0.344)</f>
        <v>24.465973685728777</v>
      </c>
      <c r="Z17" s="8">
        <v>0</v>
      </c>
      <c r="AA17" s="6">
        <f>Y17+Z17</f>
        <v>24.465973685728777</v>
      </c>
      <c r="AB17" s="6">
        <f>100*($E$15*$E$17+($E$16*(AA17/100))/(1-$E$19))</f>
        <v>24.383975709903485</v>
      </c>
      <c r="AC17" s="7">
        <f>AB17/V17</f>
        <v>9.1326950579371902E-2</v>
      </c>
      <c r="AD17" s="5">
        <f>$E$6/(1-AC17)</f>
        <v>4568503.5789867043</v>
      </c>
      <c r="AE17" s="8" t="str">
        <f>IF(OR(OR(AD17=AD11,AD17=(AD11+1)),AD17=(AD11-1)),"yes","not yet")</f>
        <v>not yet</v>
      </c>
      <c r="AF17" s="6">
        <f>100*(1-AC17)</f>
        <v>90.867304942062816</v>
      </c>
      <c r="AG17" s="1"/>
      <c r="AH17" s="1"/>
      <c r="AI17" s="1"/>
      <c r="AJ17" s="8" t="str">
        <f>HLOOKUP(1,$AJ$11:$AR$15,$E$10+1)</f>
        <v>not yet</v>
      </c>
      <c r="AK17" s="8" t="str">
        <f>HLOOKUP(2,$AJ$11:$AR$15,$E$10+1)</f>
        <v>not yet</v>
      </c>
      <c r="AL17" s="8" t="str">
        <f>HLOOKUP(3,$AJ$11:$AR$15,$E$10+1)</f>
        <v>not yet</v>
      </c>
      <c r="AM17" s="8" t="str">
        <f>HLOOKUP(4,$AJ$11:$AR$15,$E$10+1)</f>
        <v>not yet</v>
      </c>
      <c r="AN17" s="8" t="str">
        <f>HLOOKUP(5,$AJ$11:$AR$15,$E$10+1)</f>
        <v>not yet</v>
      </c>
      <c r="AO17" s="8" t="str">
        <f>HLOOKUP(6,$AJ$11:$AR$15,$E$10+1)</f>
        <v>not yet</v>
      </c>
      <c r="AP17" s="8" t="str">
        <f>HLOOKUP(7,$AJ$11:$AR$15,$E$10+1)</f>
        <v>yes</v>
      </c>
      <c r="AQ17" s="8" t="str">
        <f>HLOOKUP(8,$AJ$11:$AR$15,$E$10+1)</f>
        <v>yes</v>
      </c>
      <c r="AR17" s="8" t="str">
        <f>HLOOKUP(9,$AJ$11:$AR$15,$E$10+1)</f>
        <v>yes</v>
      </c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</row>
    <row r="18" spans="1:249" x14ac:dyDescent="0.25">
      <c r="A18" s="11"/>
      <c r="B18" s="11"/>
      <c r="C18" s="11"/>
      <c r="D18" s="15"/>
      <c r="E18" s="35"/>
      <c r="F18" s="20" t="s">
        <v>52</v>
      </c>
      <c r="G18" s="11" t="s">
        <v>26</v>
      </c>
      <c r="H18" s="24">
        <v>0</v>
      </c>
      <c r="I18" s="12" t="s">
        <v>24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6">
        <f>100*(+AD12/$E$7)</f>
        <v>266.79635309729184</v>
      </c>
      <c r="W18" s="9">
        <f>EXP(5.6922-(0.68367*LN(V18)))</f>
        <v>6.5070575132855364</v>
      </c>
      <c r="X18" s="7">
        <f>(+W18*V18)/100</f>
        <v>17.360592139389137</v>
      </c>
      <c r="Y18" s="6">
        <f>100*((((X18/100)-((X18/100)-0.03574)*$E$19)-0.03574-0.00619)/0.344)</f>
        <v>24.25082817035738</v>
      </c>
      <c r="Z18" s="8">
        <v>0</v>
      </c>
      <c r="AA18" s="6">
        <f>Y18+Z18</f>
        <v>24.25082817035738</v>
      </c>
      <c r="AB18" s="6">
        <f>100*($E$15*$E$17+($E$16*(AA18/100))/(1-$E$19))</f>
        <v>24.185379849560654</v>
      </c>
      <c r="AC18" s="7">
        <f>AB18/V18</f>
        <v>9.0651088625417015E-2</v>
      </c>
      <c r="AD18" s="5">
        <f>$E$6/(1-AC18)</f>
        <v>4565108.0971018951</v>
      </c>
      <c r="AE18" s="8" t="str">
        <f>IF(OR(OR(AD18=AD12,AD18=(AD12+1)),AD18=(AD12-1)),"yes","not yet")</f>
        <v>not yet</v>
      </c>
      <c r="AF18" s="6">
        <f>100*(1-AC18)</f>
        <v>90.934891137458294</v>
      </c>
      <c r="AG18" s="1"/>
      <c r="AH18" s="1"/>
      <c r="AI18" s="8">
        <v>1</v>
      </c>
      <c r="AJ18" s="6">
        <f>AF3</f>
        <v>91.288531882742745</v>
      </c>
      <c r="AK18" s="6">
        <f>AF9</f>
        <v>90.559644525385607</v>
      </c>
      <c r="AL18" s="6">
        <f>AF15</f>
        <v>90.605462989037349</v>
      </c>
      <c r="AM18" s="6">
        <f>AF21</f>
        <v>90.602578004422455</v>
      </c>
      <c r="AN18" s="6">
        <f>AF27</f>
        <v>90.602759640004393</v>
      </c>
      <c r="AO18" s="6">
        <f>AF33</f>
        <v>90.602748204344635</v>
      </c>
      <c r="AP18" s="6">
        <f>AF39</f>
        <v>90.602748371937977</v>
      </c>
      <c r="AQ18" s="6">
        <f>AF45</f>
        <v>90.602748371937977</v>
      </c>
      <c r="AR18" s="6">
        <f>AF51</f>
        <v>90.602748371937977</v>
      </c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</row>
    <row r="19" spans="1:249" x14ac:dyDescent="0.25">
      <c r="A19" s="11"/>
      <c r="B19" s="15" t="s">
        <v>24</v>
      </c>
      <c r="C19" s="12" t="s">
        <v>53</v>
      </c>
      <c r="D19" s="15" t="s">
        <v>26</v>
      </c>
      <c r="E19" s="34">
        <v>0.35</v>
      </c>
      <c r="F19" s="20" t="s">
        <v>54</v>
      </c>
      <c r="G19" s="11" t="s">
        <v>26</v>
      </c>
      <c r="H19" s="24">
        <v>7.0000000000000001E-3</v>
      </c>
      <c r="I19" s="12" t="s">
        <v>24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6"/>
      <c r="AB19" s="1"/>
      <c r="AC19" s="1"/>
      <c r="AD19" s="1"/>
      <c r="AE19" s="1"/>
      <c r="AF19" s="1"/>
      <c r="AG19" s="1"/>
      <c r="AH19" s="1"/>
      <c r="AI19" s="8">
        <v>2</v>
      </c>
      <c r="AJ19" s="6">
        <f>AF4</f>
        <v>91.441084399410983</v>
      </c>
      <c r="AK19" s="6">
        <f>AF10</f>
        <v>90.717225857425845</v>
      </c>
      <c r="AL19" s="6">
        <f>AF16</f>
        <v>90.761788123454835</v>
      </c>
      <c r="AM19" s="6">
        <f>AF22</f>
        <v>90.759040211547131</v>
      </c>
      <c r="AN19" s="6">
        <f>AF28</f>
        <v>90.759209642905219</v>
      </c>
      <c r="AO19" s="6">
        <f>AF34</f>
        <v>90.759199196003109</v>
      </c>
      <c r="AP19" s="6">
        <f>AF40</f>
        <v>90.759199537184188</v>
      </c>
      <c r="AQ19" s="6">
        <f>AF46</f>
        <v>90.759199537184188</v>
      </c>
      <c r="AR19" s="6">
        <f>AF52</f>
        <v>90.759199537184188</v>
      </c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</row>
    <row r="20" spans="1:249" x14ac:dyDescent="0.25">
      <c r="A20" s="11"/>
      <c r="B20" s="11"/>
      <c r="C20" s="11"/>
      <c r="D20" s="11"/>
      <c r="E20" s="11"/>
      <c r="F20" s="11"/>
      <c r="G20" s="11"/>
      <c r="H20" s="18" t="s">
        <v>43</v>
      </c>
      <c r="I20" s="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2" t="s">
        <v>55</v>
      </c>
      <c r="W20" s="3" t="s">
        <v>7</v>
      </c>
      <c r="X20" s="3" t="s">
        <v>8</v>
      </c>
      <c r="Y20" s="3" t="s">
        <v>9</v>
      </c>
      <c r="Z20" s="1"/>
      <c r="AA20" s="6"/>
      <c r="AB20" s="1"/>
      <c r="AC20" s="1"/>
      <c r="AD20" s="1"/>
      <c r="AE20" s="1"/>
      <c r="AF20" s="1"/>
      <c r="AG20" s="1"/>
      <c r="AH20" s="1"/>
      <c r="AI20" s="8">
        <v>3</v>
      </c>
      <c r="AJ20" s="6">
        <f>AF5</f>
        <v>91.543846391057244</v>
      </c>
      <c r="AK20" s="6">
        <f>AF11</f>
        <v>90.823594226289302</v>
      </c>
      <c r="AL20" s="6">
        <f>AF17</f>
        <v>90.867304942062816</v>
      </c>
      <c r="AM20" s="6">
        <f>AF23</f>
        <v>90.864647814023371</v>
      </c>
      <c r="AN20" s="6">
        <f>AF29</f>
        <v>90.864809321701117</v>
      </c>
      <c r="AO20" s="6">
        <f>AF35</f>
        <v>90.864799504752227</v>
      </c>
      <c r="AP20" s="6">
        <f>AF41</f>
        <v>90.864800648546051</v>
      </c>
      <c r="AQ20" s="6">
        <f>AF47</f>
        <v>90.864799439638915</v>
      </c>
      <c r="AR20" s="6">
        <f>AF53</f>
        <v>90.864800648546051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</row>
    <row r="21" spans="1:249" x14ac:dyDescent="0.25">
      <c r="A21" s="11"/>
      <c r="B21" s="11"/>
      <c r="C21" s="11"/>
      <c r="D21" s="11"/>
      <c r="E21" s="11"/>
      <c r="F21" s="12" t="s">
        <v>56</v>
      </c>
      <c r="G21" s="11"/>
      <c r="H21" s="21">
        <f>SUM(H16:H19)</f>
        <v>2.7099999999999999E-2</v>
      </c>
      <c r="I21" s="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6">
        <f>100*(+AD15/$E$7)</f>
        <v>267.63928496005212</v>
      </c>
      <c r="W21" s="9">
        <f>EXP(5.7226-(0.68367*LN(+V21)))</f>
        <v>6.693458710394439</v>
      </c>
      <c r="X21" s="7">
        <f>(+W21*V21)/100</f>
        <v>17.914325031596</v>
      </c>
      <c r="Y21" s="6">
        <f>100*((((X21/100)-((X21/100)-0.03574)*$E$19)-0.03574-0.00619)/0.344)</f>
        <v>25.297125786445939</v>
      </c>
      <c r="Z21" s="8">
        <v>0</v>
      </c>
      <c r="AA21" s="6">
        <f>Y21+Z21</f>
        <v>25.297125786445939</v>
      </c>
      <c r="AB21" s="6">
        <f>100*($E$15*$E$17+($E$16*(AA21/100))/(1-$E$19))</f>
        <v>25.151193033642404</v>
      </c>
      <c r="AC21" s="7">
        <f>AB21/V21</f>
        <v>9.3974219955775457E-2</v>
      </c>
      <c r="AD21" s="5">
        <f>$E$6/(1-AC21)</f>
        <v>4581852.0508370874</v>
      </c>
      <c r="AE21" s="8" t="str">
        <f>IF(OR(OR(AD21=AD15,AD21=(AD15+1)),AD21=(AD7-1)),"yes","not yet")</f>
        <v>not yet</v>
      </c>
      <c r="AF21" s="6">
        <f>100*(1-AC21)</f>
        <v>90.602578004422455</v>
      </c>
      <c r="AG21" s="1"/>
      <c r="AH21" s="1"/>
      <c r="AI21" s="8">
        <v>4</v>
      </c>
      <c r="AJ21" s="6">
        <f>AF6</f>
        <v>91.609580069095571</v>
      </c>
      <c r="AK21" s="6">
        <f>AF12</f>
        <v>90.891727140728193</v>
      </c>
      <c r="AL21" s="6">
        <f>AF18</f>
        <v>90.934891137458294</v>
      </c>
      <c r="AM21" s="6">
        <f>AF24</f>
        <v>90.932291405969053</v>
      </c>
      <c r="AN21" s="6">
        <f>AF30</f>
        <v>90.932447969966717</v>
      </c>
      <c r="AO21" s="6">
        <f>AF36</f>
        <v>90.932438541134118</v>
      </c>
      <c r="AP21" s="6">
        <f>AF42</f>
        <v>90.932438838446146</v>
      </c>
      <c r="AQ21" s="6">
        <f>AF48</f>
        <v>90.932438838446146</v>
      </c>
      <c r="AR21" s="6">
        <f>AF54</f>
        <v>90.932438838446146</v>
      </c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</row>
    <row r="22" spans="1:249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6">
        <f>100*(+AD16/$E$7)</f>
        <v>267.17831181197056</v>
      </c>
      <c r="W22" s="9">
        <f>EXP(5.70827-(0.68367*LN(+V22)))</f>
        <v>6.6060063200996213</v>
      </c>
      <c r="X22" s="7">
        <f>(+W22*V22)/100</f>
        <v>17.649816164234249</v>
      </c>
      <c r="Y22" s="6">
        <f>100*((((X22/100)-((X22/100)-0.03574)*$E$19)-0.03574-0.00619)/0.344)</f>
        <v>24.797327054512397</v>
      </c>
      <c r="Z22" s="8">
        <v>0</v>
      </c>
      <c r="AA22" s="6">
        <f>Y22+Z22</f>
        <v>24.797327054512397</v>
      </c>
      <c r="AB22" s="6">
        <f>100*($E$15*$E$17+($E$16*(AA22/100))/(1-$E$19))</f>
        <v>24.689840358011441</v>
      </c>
      <c r="AC22" s="7">
        <f>AB22/V22</f>
        <v>9.2409597884528766E-2</v>
      </c>
      <c r="AD22" s="5">
        <f>$E$6/(1-AC22)</f>
        <v>4573953.2598965736</v>
      </c>
      <c r="AE22" s="8" t="str">
        <f>IF(OR(OR(AD22=AD16,AD22=(AD16+1)),AD22=(AD16-1)),"yes","not yet")</f>
        <v>not yet</v>
      </c>
      <c r="AF22" s="6">
        <f>100*(1-AC22)</f>
        <v>90.759040211547131</v>
      </c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</row>
    <row r="23" spans="1:249" x14ac:dyDescent="0.25">
      <c r="A23" s="11"/>
      <c r="B23" s="11"/>
      <c r="C23" s="11"/>
      <c r="D23" s="11"/>
      <c r="E23" s="11"/>
      <c r="F23" s="12" t="s">
        <v>57</v>
      </c>
      <c r="G23" s="11"/>
      <c r="H23" s="22">
        <f>((+H13/100)-H21)</f>
        <v>0.8815480064854605</v>
      </c>
      <c r="I23" s="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6">
        <f>100*(+AD17/$E$7)</f>
        <v>266.86805934568002</v>
      </c>
      <c r="W23" s="9">
        <f>EXP(5.6985-(0.68367*LN(V23)))</f>
        <v>6.5469784339103887</v>
      </c>
      <c r="X23" s="7">
        <f>(+W23*V23)/100</f>
        <v>17.471794292356847</v>
      </c>
      <c r="Y23" s="6">
        <f>100*((((X23/100)-((X23/100)-0.03574)*$E$19)-0.03574-0.00619)/0.344)</f>
        <v>24.460948517534739</v>
      </c>
      <c r="Z23" s="8">
        <v>0</v>
      </c>
      <c r="AA23" s="6">
        <f>Y23+Z23</f>
        <v>24.460948517534739</v>
      </c>
      <c r="AB23" s="6">
        <f>100*($E$15*$E$17+($E$16*(AA23/100))/(1-$E$19))</f>
        <v>24.379337093108987</v>
      </c>
      <c r="AC23" s="7">
        <f>AB23/V23</f>
        <v>9.1353521859766293E-2</v>
      </c>
      <c r="AD23" s="5">
        <f>$E$6/(1-AC23)</f>
        <v>4568637.1743865665</v>
      </c>
      <c r="AE23" s="8" t="str">
        <f>IF(OR(OR(AD23=AD17,AD23=(AD17+1)),AD23=(AD17-1)),"yes","not yet")</f>
        <v>not yet</v>
      </c>
      <c r="AF23" s="6">
        <f>100*(1-AC23)</f>
        <v>90.864647814023371</v>
      </c>
      <c r="AG23" s="1"/>
      <c r="AH23" s="1"/>
      <c r="AI23" s="1"/>
      <c r="AJ23" s="2" t="s">
        <v>58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</row>
    <row r="24" spans="1:249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6">
        <f>100*(+AD18/$E$7)</f>
        <v>266.66971307200947</v>
      </c>
      <c r="W24" s="9">
        <f>EXP(5.6922-(0.68367*LN(V24)))</f>
        <v>6.5091700090570628</v>
      </c>
      <c r="X24" s="7">
        <f>(+W24*V24)/100</f>
        <v>17.357984986521764</v>
      </c>
      <c r="Y24" s="6">
        <f>100*((((X24/100)-((X24/100)-0.03574)*$E$19)-0.03574-0.00619)/0.344)</f>
        <v>24.245901864067289</v>
      </c>
      <c r="Z24" s="8">
        <v>0</v>
      </c>
      <c r="AA24" s="6">
        <f>Y24+Z24</f>
        <v>24.245901864067289</v>
      </c>
      <c r="AB24" s="6">
        <f>100*($E$15*$E$17+($E$16*(AA24/100))/(1-$E$19))</f>
        <v>24.180832489908262</v>
      </c>
      <c r="AC24" s="7">
        <f>AB24/V24</f>
        <v>9.0677085940309432E-2</v>
      </c>
      <c r="AD24" s="5">
        <f>$E$6/(1-AC24)</f>
        <v>4565238.6124016671</v>
      </c>
      <c r="AE24" s="8" t="str">
        <f>IF(OR(OR(AD24=AD18,AD24=(AD18+1)),AD24=(AD18-1)),"yes","not yet")</f>
        <v>not yet</v>
      </c>
      <c r="AF24" s="6">
        <f>100*(1-AC24)</f>
        <v>90.932291405969053</v>
      </c>
      <c r="AG24" s="1"/>
      <c r="AH24" s="1"/>
      <c r="AI24" s="1"/>
      <c r="AJ24" s="6">
        <f>HLOOKUP($AJ$23,$AJ$17:$AR$21,$E$10+1)</f>
        <v>90.864800648546051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</row>
    <row r="25" spans="1:249" x14ac:dyDescent="0.25">
      <c r="A25" s="1"/>
      <c r="B25" s="1"/>
      <c r="C25" s="1"/>
      <c r="D25" s="1"/>
      <c r="E25" s="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6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</row>
    <row r="26" spans="1:2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2" t="s">
        <v>59</v>
      </c>
      <c r="W26" s="3" t="s">
        <v>7</v>
      </c>
      <c r="X26" s="3" t="s">
        <v>8</v>
      </c>
      <c r="Y26" s="3" t="s">
        <v>9</v>
      </c>
      <c r="Z26" s="1"/>
      <c r="AA26" s="6"/>
      <c r="AB26" s="1"/>
      <c r="AC26" s="1"/>
      <c r="AD26" s="1"/>
      <c r="AE26" s="1"/>
      <c r="AF26" s="1"/>
      <c r="AG26" s="1"/>
      <c r="AH26" s="1"/>
      <c r="AI26" s="1"/>
      <c r="AJ26" s="8" t="str">
        <f>HLOOKUP(1,$AJ$11:$AR$15,$E$10+1)</f>
        <v>not yet</v>
      </c>
      <c r="AK26" s="8" t="str">
        <f>HLOOKUP(2,$AJ$11:$AR$15,$E$10+1)</f>
        <v>not yet</v>
      </c>
      <c r="AL26" s="8" t="str">
        <f>HLOOKUP(3,$AJ$11:$AR$15,$E$10+1)</f>
        <v>not yet</v>
      </c>
      <c r="AM26" s="8" t="str">
        <f>HLOOKUP(4,$AJ$11:$AR$15,$E$10+1)</f>
        <v>not yet</v>
      </c>
      <c r="AN26" s="8" t="str">
        <f>HLOOKUP(5,$AJ$11:$AR$15,$E$10+1)</f>
        <v>not yet</v>
      </c>
      <c r="AO26" s="8" t="str">
        <f>HLOOKUP(6,$AJ$11:$AR$15,$E$10+1)</f>
        <v>not yet</v>
      </c>
      <c r="AP26" s="8" t="str">
        <f>HLOOKUP(7,$AJ$11:$AR$15,$E$10+1)</f>
        <v>yes</v>
      </c>
      <c r="AQ26" s="8" t="str">
        <f>HLOOKUP(8,$AJ$11:$AR$15,$E$10+1)</f>
        <v>yes</v>
      </c>
      <c r="AR26" s="8" t="str">
        <f>HLOOKUP(9,$AJ$11:$AR$15,$E$10+1)</f>
        <v>yes</v>
      </c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</row>
    <row r="27" spans="1:249" x14ac:dyDescent="0.25">
      <c r="A27" s="1"/>
      <c r="B27" s="1"/>
      <c r="C27" s="1"/>
      <c r="D27" s="1"/>
      <c r="E27" s="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6">
        <f>100*(+AD21/$E$7)</f>
        <v>267.64780718134489</v>
      </c>
      <c r="W27" s="9">
        <f>EXP(5.7226-(0.68367*LN(+V27)))</f>
        <v>6.6933130007103552</v>
      </c>
      <c r="X27" s="7">
        <f>(+W27*V27)/100</f>
        <v>17.914505474185141</v>
      </c>
      <c r="Y27" s="6">
        <f>100*((((X27/100)-((X27/100)-0.03574)*$E$19)-0.03574-0.00619)/0.344)</f>
        <v>25.297466739012624</v>
      </c>
      <c r="Z27" s="8">
        <v>0</v>
      </c>
      <c r="AA27" s="6">
        <f>Y27+Z27</f>
        <v>25.297466739012624</v>
      </c>
      <c r="AB27" s="6">
        <f>100*($E$15*$E$17+($E$16*(AA27/100))/(1-$E$19))</f>
        <v>25.151507759088577</v>
      </c>
      <c r="AC27" s="7">
        <f>AB27/V27</f>
        <v>9.3972403599956122E-2</v>
      </c>
      <c r="AD27" s="5">
        <f>$E$6/(1-AC27)</f>
        <v>4581842.8653843822</v>
      </c>
      <c r="AE27" s="8" t="str">
        <f>IF(OR(OR(AD27=AD21,AD27=(AD21+1)),AD27=(AD13-1)),"yes","not yet")</f>
        <v>not yet</v>
      </c>
      <c r="AF27" s="6">
        <f>100*(1-AC27)</f>
        <v>90.602759640004393</v>
      </c>
      <c r="AG27" s="1"/>
      <c r="AH27" s="1"/>
      <c r="AI27" s="8">
        <v>1</v>
      </c>
      <c r="AJ27" s="6">
        <f>V3</f>
        <v>303.11976659825524</v>
      </c>
      <c r="AK27" s="6">
        <f>V9</f>
        <v>265.63666681602729</v>
      </c>
      <c r="AL27" s="6">
        <f>V15</f>
        <v>267.7746964991984</v>
      </c>
      <c r="AM27" s="6">
        <f>V21</f>
        <v>267.63928496005212</v>
      </c>
      <c r="AN27" s="6">
        <f>V27</f>
        <v>267.64780718134489</v>
      </c>
      <c r="AO27" s="6">
        <f>V33</f>
        <v>267.64727061529101</v>
      </c>
      <c r="AP27" s="6">
        <f>V39</f>
        <v>267.64727847883057</v>
      </c>
      <c r="AQ27" s="6">
        <f>V45</f>
        <v>267.64727847883057</v>
      </c>
      <c r="AR27" s="6">
        <f>V51</f>
        <v>267.64727847883057</v>
      </c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</row>
    <row r="28" spans="1:249" x14ac:dyDescent="0.25">
      <c r="A28" s="1"/>
      <c r="B28" s="1"/>
      <c r="C28" s="1"/>
      <c r="D28" s="1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6">
        <f>100*(+AD22/$E$7)</f>
        <v>267.18640117103382</v>
      </c>
      <c r="W28" s="9">
        <f>EXP(5.70827-(0.68367*LN(+V28)))</f>
        <v>6.6058695826893805</v>
      </c>
      <c r="X28" s="7">
        <f>(+W28*V28)/100</f>
        <v>17.649985204039748</v>
      </c>
      <c r="Y28" s="6">
        <f>100*((((X28/100)-((X28/100)-0.03574)*$E$19)-0.03574-0.00619)/0.344)</f>
        <v>24.797646461121627</v>
      </c>
      <c r="Z28" s="8">
        <v>0</v>
      </c>
      <c r="AA28" s="6">
        <f>Y28+Z28</f>
        <v>24.797646461121627</v>
      </c>
      <c r="AB28" s="6">
        <f>100*($E$15*$E$17+($E$16*(AA28/100))/(1-$E$19))</f>
        <v>24.690135194881496</v>
      </c>
      <c r="AC28" s="7">
        <f>AB28/V28</f>
        <v>9.24079035709479E-2</v>
      </c>
      <c r="AD28" s="5">
        <f>$E$6/(1-AC28)</f>
        <v>4573944.7211365327</v>
      </c>
      <c r="AE28" s="8" t="str">
        <f>IF(OR(OR(AD28=AD22,AD28=(AD22+1)),AD28=(AD22-1)),"yes","not yet")</f>
        <v>not yet</v>
      </c>
      <c r="AF28" s="6">
        <f>100*(1-AC28)</f>
        <v>90.759209642905219</v>
      </c>
      <c r="AG28" s="1"/>
      <c r="AH28" s="1"/>
      <c r="AI28" s="8">
        <v>2</v>
      </c>
      <c r="AJ28" s="6">
        <f>V4</f>
        <v>303.11976659825524</v>
      </c>
      <c r="AK28" s="6">
        <f>V10</f>
        <v>265.19350122685802</v>
      </c>
      <c r="AL28" s="6">
        <f>V16</f>
        <v>267.30955558508651</v>
      </c>
      <c r="AM28" s="6">
        <f>V22</f>
        <v>267.17831181197056</v>
      </c>
      <c r="AN28" s="6">
        <f>V28</f>
        <v>267.18640117103382</v>
      </c>
      <c r="AO28" s="6">
        <f>V34</f>
        <v>267.18590238137938</v>
      </c>
      <c r="AP28" s="6">
        <f>V40</f>
        <v>267.18591867112309</v>
      </c>
      <c r="AQ28" s="6">
        <f>V46</f>
        <v>267.18591867112309</v>
      </c>
      <c r="AR28" s="6">
        <f>V52</f>
        <v>267.18591867112309</v>
      </c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</row>
    <row r="29" spans="1:249" x14ac:dyDescent="0.25">
      <c r="A29" s="1"/>
      <c r="B29" s="1"/>
      <c r="C29" s="1"/>
      <c r="D29" s="1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6">
        <f>100*(+AD23/$E$7)</f>
        <v>266.87586328946213</v>
      </c>
      <c r="W29" s="9">
        <f>EXP(5.6985-(0.68367*LN(V29)))</f>
        <v>6.5468475475844237</v>
      </c>
      <c r="X29" s="7">
        <f>(+W29*V29)/100</f>
        <v>17.47195591086091</v>
      </c>
      <c r="Y29" s="6">
        <f>100*((((X29/100)-((X29/100)-0.03574)*$E$19)-0.03574-0.00619)/0.344)</f>
        <v>24.461253901336018</v>
      </c>
      <c r="Z29" s="8">
        <v>0</v>
      </c>
      <c r="AA29" s="6">
        <f>Y29+Z29</f>
        <v>24.461253901336018</v>
      </c>
      <c r="AB29" s="6">
        <f>100*($E$15*$E$17+($E$16*(AA29/100))/(1-$E$19))</f>
        <v>24.37961898584863</v>
      </c>
      <c r="AC29" s="7">
        <f>AB29/V29</f>
        <v>9.1351906782988879E-2</v>
      </c>
      <c r="AD29" s="5">
        <f>$E$6/(1-AC29)</f>
        <v>4568629.0538612939</v>
      </c>
      <c r="AE29" s="8" t="str">
        <f>IF(OR(OR(AD29=AD23,AD29=(AD23+1)),AD29=(AD23-1)),"yes","not yet")</f>
        <v>not yet</v>
      </c>
      <c r="AF29" s="6">
        <f>100*(1-AC29)</f>
        <v>90.864809321701117</v>
      </c>
      <c r="AG29" s="1"/>
      <c r="AH29" s="1"/>
      <c r="AI29" s="8">
        <v>3</v>
      </c>
      <c r="AJ29" s="6">
        <f>V5</f>
        <v>303.11976659825524</v>
      </c>
      <c r="AK29" s="6">
        <f>V11</f>
        <v>264.89580986439</v>
      </c>
      <c r="AL29" s="6">
        <f>V17</f>
        <v>266.99649506759198</v>
      </c>
      <c r="AM29" s="6">
        <f>V23</f>
        <v>266.86805934568002</v>
      </c>
      <c r="AN29" s="6">
        <f>V29</f>
        <v>266.87586328946213</v>
      </c>
      <c r="AO29" s="6">
        <f>V35</f>
        <v>266.87538893089305</v>
      </c>
      <c r="AP29" s="6">
        <f>V41</f>
        <v>266.87544419936251</v>
      </c>
      <c r="AQ29" s="6">
        <f>V47</f>
        <v>266.87538578459828</v>
      </c>
      <c r="AR29" s="6">
        <f>V53</f>
        <v>266.87544419936251</v>
      </c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</row>
    <row r="30" spans="1:249" x14ac:dyDescent="0.25">
      <c r="A30" s="1"/>
      <c r="B30" s="1"/>
      <c r="C30" s="1"/>
      <c r="D30" s="1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6">
        <f>100*(+AD24/$E$7)</f>
        <v>266.67733709247108</v>
      </c>
      <c r="W30" s="9">
        <f>EXP(5.6922-(0.68367*LN(V30)))</f>
        <v>6.509042784178483</v>
      </c>
      <c r="X30" s="7">
        <f>(+W30*V30)/100</f>
        <v>17.358141967056817</v>
      </c>
      <c r="Y30" s="6">
        <f>100*((((X30/100)-((X30/100)-0.03574)*$E$19)-0.03574-0.00619)/0.344)</f>
        <v>24.246198484264337</v>
      </c>
      <c r="Z30" s="8">
        <v>0</v>
      </c>
      <c r="AA30" s="6">
        <f>Y30+Z30</f>
        <v>24.246198484264337</v>
      </c>
      <c r="AB30" s="6">
        <f>100*($E$15*$E$17+($E$16*(AA30/100))/(1-$E$19))</f>
        <v>24.181106293167076</v>
      </c>
      <c r="AC30" s="7">
        <f>AB30/V30</f>
        <v>9.0675520300332879E-2</v>
      </c>
      <c r="AD30" s="5">
        <f>$E$6/(1-AC30)</f>
        <v>4565230.7521491023</v>
      </c>
      <c r="AE30" s="8" t="str">
        <f>IF(OR(OR(AD30=AD24,AD30=(AD24+1)),AD30=(AD24-1)),"yes","not yet")</f>
        <v>not yet</v>
      </c>
      <c r="AF30" s="6">
        <f>100*(1-AC30)</f>
        <v>90.932447969966717</v>
      </c>
      <c r="AG30" s="1"/>
      <c r="AH30" s="1"/>
      <c r="AI30" s="8">
        <v>4</v>
      </c>
      <c r="AJ30" s="6">
        <f>V6</f>
        <v>303.11976659825524</v>
      </c>
      <c r="AK30" s="6">
        <f>V12</f>
        <v>264.70573612028818</v>
      </c>
      <c r="AL30" s="6">
        <f>V18</f>
        <v>266.79635309729184</v>
      </c>
      <c r="AM30" s="6">
        <f>V24</f>
        <v>266.66971307200947</v>
      </c>
      <c r="AN30" s="6">
        <f>V30</f>
        <v>266.67733709247108</v>
      </c>
      <c r="AO30" s="6">
        <f>V36</f>
        <v>266.67687793767089</v>
      </c>
      <c r="AP30" s="6">
        <f>V42</f>
        <v>266.67689241582264</v>
      </c>
      <c r="AQ30" s="6">
        <f>V48</f>
        <v>266.67689241582264</v>
      </c>
      <c r="AR30" s="6">
        <f>V54</f>
        <v>266.67689241582264</v>
      </c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</row>
    <row r="31" spans="1:249" x14ac:dyDescent="0.25">
      <c r="A31" s="1"/>
      <c r="B31" s="1"/>
      <c r="C31" s="1"/>
      <c r="D31" s="1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6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</row>
    <row r="32" spans="1:2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2" t="s">
        <v>60</v>
      </c>
      <c r="W32" s="3" t="s">
        <v>7</v>
      </c>
      <c r="X32" s="3" t="s">
        <v>8</v>
      </c>
      <c r="Y32" s="3" t="s">
        <v>9</v>
      </c>
      <c r="Z32" s="1"/>
      <c r="AA32" s="6"/>
      <c r="AB32" s="1"/>
      <c r="AC32" s="1"/>
      <c r="AD32" s="1"/>
      <c r="AE32" s="1"/>
      <c r="AF32" s="1"/>
      <c r="AG32" s="1"/>
      <c r="AH32" s="1"/>
      <c r="AI32" s="1"/>
      <c r="AJ32" s="2" t="s">
        <v>58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</row>
    <row r="33" spans="1:2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6">
        <f>100*(+AD27/$E$7)</f>
        <v>267.64727061529101</v>
      </c>
      <c r="W33" s="9">
        <f>EXP(5.7226-(0.68367*LN(+V33)))</f>
        <v>6.6933221744813416</v>
      </c>
      <c r="X33" s="7">
        <f>(+W33*V33)/100</f>
        <v>17.914494113487354</v>
      </c>
      <c r="Y33" s="6">
        <f>100*((((X33/100)-((X33/100)-0.03574)*$E$19)-0.03574-0.00619)/0.344)</f>
        <v>25.29744527257785</v>
      </c>
      <c r="Z33" s="8">
        <v>0</v>
      </c>
      <c r="AA33" s="6">
        <f>Y33+Z33</f>
        <v>25.29744527257785</v>
      </c>
      <c r="AB33" s="6">
        <f>100*($E$15*$E$17+($E$16*(AA33/100))/(1-$E$19))</f>
        <v>25.151487943918017</v>
      </c>
      <c r="AC33" s="7">
        <f>AB33/V33</f>
        <v>9.3972517956553689E-2</v>
      </c>
      <c r="AD33" s="5">
        <f>ROUND($E$6/(1-AC33),0)</f>
        <v>4581843</v>
      </c>
      <c r="AE33" s="8" t="str">
        <f>IF(OR(OR(AD33=AD27,AD33=(AD27+1)),AD33=(AD19-1)),"yes","not yet")</f>
        <v>not yet</v>
      </c>
      <c r="AF33" s="6">
        <f>100*(1-AC33)</f>
        <v>90.602748204344635</v>
      </c>
      <c r="AG33" s="1"/>
      <c r="AH33" s="1"/>
      <c r="AI33" s="1"/>
      <c r="AJ33" s="6">
        <f>HLOOKUP($AJ$32,$AJ$26:$AR$30,$E$10+1)</f>
        <v>266.87544419936251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</row>
    <row r="34" spans="1:2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6">
        <f>100*(+AD28/$E$7)</f>
        <v>267.18590238137938</v>
      </c>
      <c r="W34" s="9">
        <f>EXP(5.70827-(0.68367*LN(+V34)))</f>
        <v>6.6058780137126467</v>
      </c>
      <c r="X34" s="7">
        <f>(+W34*V34)/100</f>
        <v>17.649974781151275</v>
      </c>
      <c r="Y34" s="6">
        <f>100*((((X34/100)-((X34/100)-0.03574)*$E$19)-0.03574-0.00619)/0.344)</f>
        <v>24.797626766710263</v>
      </c>
      <c r="Z34" s="8">
        <v>0</v>
      </c>
      <c r="AA34" s="6">
        <f>Y34+Z34</f>
        <v>24.797626766710263</v>
      </c>
      <c r="AB34" s="6">
        <f>100*($E$15*$E$17+($E$16*(AA34/100))/(1-$E$19))</f>
        <v>24.690117015424857</v>
      </c>
      <c r="AC34" s="7">
        <f>AB34/V34</f>
        <v>9.2408008039968917E-2</v>
      </c>
      <c r="AD34" s="5">
        <f>ROUND($E$6/(1-AC34),0)</f>
        <v>4573945</v>
      </c>
      <c r="AE34" s="8" t="str">
        <f>IF(OR(OR(AD34=AD28,AD34=(AD28+1)),AD34=(AD28-1)),"yes","not yet")</f>
        <v>not yet</v>
      </c>
      <c r="AF34" s="6">
        <f>100*(1-AC34)</f>
        <v>90.759199196003109</v>
      </c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</row>
    <row r="35" spans="1:2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6">
        <f>100*(+AD29/$E$7)</f>
        <v>266.87538893089305</v>
      </c>
      <c r="W35" s="9">
        <f>EXP(5.6985-(0.68367*LN(V35)))</f>
        <v>6.5468555032561371</v>
      </c>
      <c r="X35" s="7">
        <f>(+W35*V35)/100</f>
        <v>17.471946087058392</v>
      </c>
      <c r="Y35" s="6">
        <f>100*((((X35/100)-((X35/100)-0.03574)*$E$19)-0.03574-0.00619)/0.344)</f>
        <v>24.461235338918478</v>
      </c>
      <c r="Z35" s="8">
        <v>0</v>
      </c>
      <c r="AA35" s="6">
        <f>Y35+Z35</f>
        <v>24.461235338918478</v>
      </c>
      <c r="AB35" s="6">
        <f>100*($E$15*$E$17+($E$16*(AA35/100))/(1-$E$19))</f>
        <v>24.37960185130936</v>
      </c>
      <c r="AC35" s="7">
        <f>AB35/V35</f>
        <v>9.1352004952477722E-2</v>
      </c>
      <c r="AD35" s="5">
        <f>ROUND($E$6/(1-AC35),0)</f>
        <v>4568630</v>
      </c>
      <c r="AE35" s="8" t="str">
        <f>IF(OR(OR(AD35=AD29,AD35=(AD29+1)),AD35=(AD29-1)),"yes","not yet")</f>
        <v>not yet</v>
      </c>
      <c r="AF35" s="6">
        <f>100*(1-AC35)</f>
        <v>90.864799504752227</v>
      </c>
      <c r="AG35" s="1"/>
      <c r="AH35" s="1"/>
      <c r="AI35" s="1"/>
      <c r="AJ35" s="8" t="str">
        <f>HLOOKUP(1,$AJ$11:$AR$15,$E$10+1)</f>
        <v>not yet</v>
      </c>
      <c r="AK35" s="8" t="str">
        <f>HLOOKUP(2,$AJ$11:$AR$15,$E$10+1)</f>
        <v>not yet</v>
      </c>
      <c r="AL35" s="8" t="str">
        <f>HLOOKUP(3,$AJ$11:$AR$15,$E$10+1)</f>
        <v>not yet</v>
      </c>
      <c r="AM35" s="8" t="str">
        <f>HLOOKUP(4,$AJ$11:$AR$15,$E$10+1)</f>
        <v>not yet</v>
      </c>
      <c r="AN35" s="8" t="str">
        <f>HLOOKUP(5,$AJ$11:$AR$15,$E$10+1)</f>
        <v>not yet</v>
      </c>
      <c r="AO35" s="8" t="str">
        <f>HLOOKUP(6,$AJ$11:$AR$15,$E$10+1)</f>
        <v>not yet</v>
      </c>
      <c r="AP35" s="8" t="str">
        <f>HLOOKUP(7,$AJ$11:$AR$15,$E$10+1)</f>
        <v>yes</v>
      </c>
      <c r="AQ35" s="8" t="str">
        <f>HLOOKUP(8,$AJ$11:$AR$15,$E$10+1)</f>
        <v>yes</v>
      </c>
      <c r="AR35" s="8" t="str">
        <f>HLOOKUP(9,$AJ$11:$AR$15,$E$10+1)</f>
        <v>yes</v>
      </c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</row>
    <row r="36" spans="1:2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6">
        <f>100*(+AD30/$E$7)</f>
        <v>266.67687793767089</v>
      </c>
      <c r="W36" s="9">
        <f>EXP(5.6922-(0.68367*LN(V36)))</f>
        <v>6.5090504460929219</v>
      </c>
      <c r="X36" s="7">
        <f>(+W36*V36)/100</f>
        <v>17.358132513028647</v>
      </c>
      <c r="Y36" s="6">
        <f>100*((((X36/100)-((X36/100)-0.03574)*$E$19)-0.03574-0.00619)/0.344)</f>
        <v>24.246180620548312</v>
      </c>
      <c r="Z36" s="8">
        <v>0</v>
      </c>
      <c r="AA36" s="6">
        <f>Y36+Z36</f>
        <v>24.246180620548312</v>
      </c>
      <c r="AB36" s="6">
        <f>100*($E$15*$E$17+($E$16*(AA36/100))/(1-$E$19))</f>
        <v>24.181089803583056</v>
      </c>
      <c r="AC36" s="7">
        <f>AB36/V36</f>
        <v>9.0675614588658818E-2</v>
      </c>
      <c r="AD36" s="5">
        <f>ROUND($E$6/(1-AC36),0)</f>
        <v>4565231</v>
      </c>
      <c r="AE36" s="8" t="str">
        <f>IF(OR(OR(AD36=AD30,AD36=(AD30+1)),AD36=(AD30-1)),"yes","not yet")</f>
        <v>not yet</v>
      </c>
      <c r="AF36" s="6">
        <f>100*(1-AC36)</f>
        <v>90.932438541134118</v>
      </c>
      <c r="AG36" s="1"/>
      <c r="AH36" s="1"/>
      <c r="AI36" s="8">
        <v>1</v>
      </c>
      <c r="AJ36" s="5">
        <f>AD3</f>
        <v>4547423.4197775088</v>
      </c>
      <c r="AK36" s="5">
        <f>AD9</f>
        <v>4584024.2639680635</v>
      </c>
      <c r="AL36" s="5">
        <f>AD15</f>
        <v>4581706.1592733972</v>
      </c>
      <c r="AM36" s="5">
        <f>AD21</f>
        <v>4581852.0508370874</v>
      </c>
      <c r="AN36" s="5">
        <f>AD27</f>
        <v>4581842.8653843822</v>
      </c>
      <c r="AO36" s="5">
        <f>AD33</f>
        <v>4581843</v>
      </c>
      <c r="AP36" s="5">
        <f>AD39</f>
        <v>4581843</v>
      </c>
      <c r="AQ36" s="5">
        <f>AD45</f>
        <v>4581843</v>
      </c>
      <c r="AR36" s="5">
        <f>AD51</f>
        <v>4581843</v>
      </c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</row>
    <row r="37" spans="1:2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6"/>
      <c r="AB37" s="1"/>
      <c r="AC37" s="1"/>
      <c r="AD37" s="1"/>
      <c r="AE37" s="1"/>
      <c r="AF37" s="1"/>
      <c r="AG37" s="1"/>
      <c r="AH37" s="1"/>
      <c r="AI37" s="8">
        <v>2</v>
      </c>
      <c r="AJ37" s="5">
        <f>AD4</f>
        <v>4539836.8858731985</v>
      </c>
      <c r="AK37" s="5">
        <f>AD10</f>
        <v>4576061.5353595391</v>
      </c>
      <c r="AL37" s="5">
        <f>AD16</f>
        <v>4573814.7784839878</v>
      </c>
      <c r="AM37" s="5">
        <f>AD22</f>
        <v>4573953.2598965736</v>
      </c>
      <c r="AN37" s="5">
        <f>AD28</f>
        <v>4573944.7211365327</v>
      </c>
      <c r="AO37" s="5">
        <f>AD34</f>
        <v>4573945</v>
      </c>
      <c r="AP37" s="5">
        <f>AD40</f>
        <v>4573945</v>
      </c>
      <c r="AQ37" s="5">
        <f>AD46</f>
        <v>4573945</v>
      </c>
      <c r="AR37" s="5">
        <f>AD52</f>
        <v>4573945</v>
      </c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</row>
    <row r="38" spans="1:2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2" t="s">
        <v>61</v>
      </c>
      <c r="W38" s="3" t="s">
        <v>7</v>
      </c>
      <c r="X38" s="3" t="s">
        <v>8</v>
      </c>
      <c r="Y38" s="3" t="s">
        <v>9</v>
      </c>
      <c r="Z38" s="1"/>
      <c r="AA38" s="6"/>
      <c r="AB38" s="1"/>
      <c r="AC38" s="1"/>
      <c r="AD38" s="1"/>
      <c r="AE38" s="1"/>
      <c r="AF38" s="1"/>
      <c r="AG38" s="1"/>
      <c r="AH38" s="1"/>
      <c r="AI38" s="8">
        <v>3</v>
      </c>
      <c r="AJ38" s="5">
        <f>AD5</f>
        <v>4534740.7194072558</v>
      </c>
      <c r="AK38" s="5">
        <f>AD11</f>
        <v>4570702.2649465865</v>
      </c>
      <c r="AL38" s="5">
        <f>AD17</f>
        <v>4568503.5789867043</v>
      </c>
      <c r="AM38" s="5">
        <f>AD23</f>
        <v>4568637.1743865665</v>
      </c>
      <c r="AN38" s="5">
        <f>AD29</f>
        <v>4568629.0538612939</v>
      </c>
      <c r="AO38" s="5">
        <f>AD35</f>
        <v>4568630</v>
      </c>
      <c r="AP38" s="5">
        <f>AD41</f>
        <v>4568629</v>
      </c>
      <c r="AQ38" s="5">
        <f>AD47</f>
        <v>4568630</v>
      </c>
      <c r="AR38" s="5">
        <f>AD53</f>
        <v>4568629</v>
      </c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</row>
    <row r="39" spans="1:2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6">
        <f>100*(+AD33/$E$7)</f>
        <v>267.64727847883057</v>
      </c>
      <c r="W39" s="9">
        <f>EXP(5.7226-(0.68367*LN(+V39)))</f>
        <v>6.6933220400366995</v>
      </c>
      <c r="X39" s="7">
        <f>(+W39*V39)/100</f>
        <v>17.91449427998197</v>
      </c>
      <c r="Y39" s="6">
        <f>100*((((X39/100)-((X39/100)-0.03574)*$E$19)-0.03574-0.00619)/0.344)</f>
        <v>25.29744558717524</v>
      </c>
      <c r="Z39" s="8">
        <v>0</v>
      </c>
      <c r="AA39" s="6">
        <f>Y39+Z39</f>
        <v>25.29744558717524</v>
      </c>
      <c r="AB39" s="6">
        <f>100*($E$15*$E$17+($E$16*(AA39/100))/(1-$E$19))</f>
        <v>25.1514882343156</v>
      </c>
      <c r="AC39" s="7">
        <f>AB39/V39</f>
        <v>9.3972516280620227E-2</v>
      </c>
      <c r="AD39" s="5">
        <f>ROUND($E$6/(1-AC39),0)</f>
        <v>4581843</v>
      </c>
      <c r="AE39" s="8" t="str">
        <f>IF(OR(OR(AD39=AD33,AD39=(AD33+1)),AD39=(AD25-1)),"yes","not yet")</f>
        <v>yes</v>
      </c>
      <c r="AF39" s="6">
        <f>100*(1-AC39)</f>
        <v>90.602748371937977</v>
      </c>
      <c r="AG39" s="1"/>
      <c r="AH39" s="1"/>
      <c r="AI39" s="8">
        <v>4</v>
      </c>
      <c r="AJ39" s="5">
        <f>AD6</f>
        <v>4531486.8546235505</v>
      </c>
      <c r="AK39" s="5">
        <f>AD12</f>
        <v>4567276.0426033679</v>
      </c>
      <c r="AL39" s="5">
        <f>AD18</f>
        <v>4565108.0971018951</v>
      </c>
      <c r="AM39" s="5">
        <f>AD24</f>
        <v>4565238.6124016671</v>
      </c>
      <c r="AN39" s="5">
        <f>AD30</f>
        <v>4565230.7521491023</v>
      </c>
      <c r="AO39" s="5">
        <f>AD36</f>
        <v>4565231</v>
      </c>
      <c r="AP39" s="5">
        <f>AD42</f>
        <v>4565231</v>
      </c>
      <c r="AQ39" s="5">
        <f>AD48</f>
        <v>4565231</v>
      </c>
      <c r="AR39" s="5">
        <f>AD54</f>
        <v>4565231</v>
      </c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</row>
    <row r="40" spans="1:2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6">
        <f>100*(+AD34/$E$7)</f>
        <v>267.18591867112309</v>
      </c>
      <c r="W40" s="9">
        <f>EXP(5.70827-(0.68367*LN(+V40)))</f>
        <v>6.6058777383672869</v>
      </c>
      <c r="X40" s="7">
        <f>(+W40*V40)/100</f>
        <v>17.649975121547847</v>
      </c>
      <c r="Y40" s="6">
        <f>100*((((X40/100)-((X40/100)-0.03574)*$E$19)-0.03574-0.00619)/0.344)</f>
        <v>24.797627409901462</v>
      </c>
      <c r="Z40" s="8">
        <v>0</v>
      </c>
      <c r="AA40" s="6">
        <f>Y40+Z40</f>
        <v>24.797627409901462</v>
      </c>
      <c r="AB40" s="6">
        <f>100*($E$15*$E$17+($E$16*(AA40/100))/(1-$E$19))</f>
        <v>24.690117609139808</v>
      </c>
      <c r="AC40" s="7">
        <f>AB40/V40</f>
        <v>9.2408004628158069E-2</v>
      </c>
      <c r="AD40" s="5">
        <f>ROUND($E$6/(1-AC40),0)</f>
        <v>4573945</v>
      </c>
      <c r="AE40" s="8" t="str">
        <f>IF(OR(OR(AD40=AD34,AD40=(AD34+1)),AD40=(AD34-1)),"yes","not yet")</f>
        <v>yes</v>
      </c>
      <c r="AF40" s="6">
        <f>100*(1-AC40)</f>
        <v>90.759199537184188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</row>
    <row r="41" spans="1:2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6">
        <f>100*(+AD35/$E$7)</f>
        <v>266.87544419936251</v>
      </c>
      <c r="W41" s="9">
        <f>EXP(5.6985-(0.68367*LN(V41)))</f>
        <v>6.546854576323625</v>
      </c>
      <c r="X41" s="7">
        <f>(+W41*V41)/100</f>
        <v>17.471947231649967</v>
      </c>
      <c r="Y41" s="6">
        <f>100*((((X41/100)-((X41/100)-0.03574)*$E$19)-0.03574-0.00619)/0.344)</f>
        <v>24.461237501664186</v>
      </c>
      <c r="Z41" s="8">
        <v>0</v>
      </c>
      <c r="AA41" s="6">
        <f>Y41+Z41</f>
        <v>24.461237501664186</v>
      </c>
      <c r="AB41" s="6">
        <f>100*($E$15*$E$17+($E$16*(AA41/100))/(1-$E$19))</f>
        <v>24.379603847690017</v>
      </c>
      <c r="AC41" s="7">
        <f>AB41/V41</f>
        <v>9.1351993514539515E-2</v>
      </c>
      <c r="AD41" s="5">
        <f>ROUND($E$6/(1-AC41),0)</f>
        <v>4568629</v>
      </c>
      <c r="AE41" s="8" t="str">
        <f>IF(OR(OR(AD41=AD35,AD41=(AD35+1)),AD41=(AD35-1)),"yes","not yet")</f>
        <v>yes</v>
      </c>
      <c r="AF41" s="6">
        <f>100*(1-AC41)</f>
        <v>90.864800648546051</v>
      </c>
      <c r="AG41" s="1"/>
      <c r="AH41" s="1"/>
      <c r="AI41" s="1"/>
      <c r="AJ41" s="2" t="s">
        <v>58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</row>
    <row r="42" spans="1:2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6">
        <f>100*(+AD36/$E$7)</f>
        <v>266.67689241582264</v>
      </c>
      <c r="W42" s="9">
        <f>EXP(5.6922-(0.68367*LN(V42)))</f>
        <v>6.5090502044957201</v>
      </c>
      <c r="X42" s="7">
        <f>(+W42*V42)/100</f>
        <v>17.358132811134936</v>
      </c>
      <c r="Y42" s="6">
        <f>100*((((X42/100)-((X42/100)-0.03574)*$E$19)-0.03574-0.00619)/0.344)</f>
        <v>24.246181183830551</v>
      </c>
      <c r="Z42" s="8">
        <v>0</v>
      </c>
      <c r="AA42" s="6">
        <f>Y42+Z42</f>
        <v>24.246181183830551</v>
      </c>
      <c r="AB42" s="6">
        <f>100*($E$15*$E$17+($E$16*(AA42/100))/(1-$E$19))</f>
        <v>24.181090323535891</v>
      </c>
      <c r="AC42" s="7">
        <f>AB42/V42</f>
        <v>9.0675611615538554E-2</v>
      </c>
      <c r="AD42" s="5">
        <f>ROUND($E$6/(1-AC42),0)</f>
        <v>4565231</v>
      </c>
      <c r="AE42" s="8" t="str">
        <f>IF(OR(OR(AD42=AD36,AD42=(AD36+1)),AD42=(AD36-1)),"yes","not yet")</f>
        <v>yes</v>
      </c>
      <c r="AF42" s="6">
        <f>100*(1-AC42)</f>
        <v>90.932438838446146</v>
      </c>
      <c r="AG42" s="1"/>
      <c r="AH42" s="1"/>
      <c r="AI42" s="1"/>
      <c r="AJ42" s="5">
        <f>HLOOKUP($AJ$32,$AJ$35:$AR$39,$E$10+1)</f>
        <v>4568629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</row>
    <row r="43" spans="1:2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6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</row>
    <row r="44" spans="1:249" x14ac:dyDescent="0.25">
      <c r="A44" s="1"/>
      <c r="B44" s="1"/>
      <c r="C44" s="1"/>
      <c r="D44" s="5"/>
      <c r="E44" s="5"/>
      <c r="F44" s="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2" t="s">
        <v>62</v>
      </c>
      <c r="W44" s="3" t="s">
        <v>7</v>
      </c>
      <c r="X44" s="3" t="s">
        <v>8</v>
      </c>
      <c r="Y44" s="3" t="s">
        <v>9</v>
      </c>
      <c r="Z44" s="1"/>
      <c r="AA44" s="6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</row>
    <row r="45" spans="1:249" x14ac:dyDescent="0.25">
      <c r="A45" s="1"/>
      <c r="B45" s="1"/>
      <c r="C45" s="1"/>
      <c r="D45" s="5"/>
      <c r="E45" s="5"/>
      <c r="F45" s="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6">
        <f>100*(+AD39/$E$7)</f>
        <v>267.64727847883057</v>
      </c>
      <c r="W45" s="9">
        <f>EXP(5.7226-(0.68367*LN(+V45)))</f>
        <v>6.6933220400366995</v>
      </c>
      <c r="X45" s="7">
        <f>(+W45*V45)/100</f>
        <v>17.91449427998197</v>
      </c>
      <c r="Y45" s="6">
        <f>100*((((X45/100)-((X45/100)-0.03574)*$E$19)-0.03574-0.00619)/0.344)</f>
        <v>25.29744558717524</v>
      </c>
      <c r="Z45" s="8">
        <v>0</v>
      </c>
      <c r="AA45" s="6">
        <f>Y45+Z45</f>
        <v>25.29744558717524</v>
      </c>
      <c r="AB45" s="6">
        <f>100*($E$15*$E$17+($E$16*(AA45/100))/(1-$E$19))</f>
        <v>25.1514882343156</v>
      </c>
      <c r="AC45" s="7">
        <f>AB45/V45</f>
        <v>9.3972516280620227E-2</v>
      </c>
      <c r="AD45" s="5">
        <f>ROUND($E$6/(1-AC45),0)</f>
        <v>4581843</v>
      </c>
      <c r="AE45" s="8" t="str">
        <f>IF(OR(OR(AD45=AD39,AD45=(AD39+1)),AD45=(AD31-1)),"yes","not yet")</f>
        <v>yes</v>
      </c>
      <c r="AF45" s="6">
        <f>100*(1-AC45)</f>
        <v>90.602748371937977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</row>
    <row r="46" spans="1:2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6">
        <f>100*(+AD40/$E$7)</f>
        <v>267.18591867112309</v>
      </c>
      <c r="W46" s="9">
        <f>EXP(5.70827-(0.68367*LN(+V46)))</f>
        <v>6.6058777383672869</v>
      </c>
      <c r="X46" s="7">
        <f>(+W46*V46)/100</f>
        <v>17.649975121547847</v>
      </c>
      <c r="Y46" s="6">
        <f>100*((((X46/100)-((X46/100)-0.03574)*$E$19)-0.03574-0.00619)/0.344)</f>
        <v>24.797627409901462</v>
      </c>
      <c r="Z46" s="8">
        <v>0</v>
      </c>
      <c r="AA46" s="6">
        <f>Y46+Z46</f>
        <v>24.797627409901462</v>
      </c>
      <c r="AB46" s="6">
        <f>100*($E$15*$E$17+($E$16*(AA46/100))/(1-$E$19))</f>
        <v>24.690117609139808</v>
      </c>
      <c r="AC46" s="7">
        <f>AB46/V46</f>
        <v>9.2408004628158069E-2</v>
      </c>
      <c r="AD46" s="5">
        <f>ROUND($E$6/(1-AC46),0)</f>
        <v>4573945</v>
      </c>
      <c r="AE46" s="8" t="str">
        <f>IF(OR(OR(AD46=AD40,AD46=(AD40+1)),AD46=(AD40-1)),"yes","not yet")</f>
        <v>yes</v>
      </c>
      <c r="AF46" s="6">
        <f>100*(1-AC46)</f>
        <v>90.759199537184188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</row>
    <row r="47" spans="1:2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6">
        <f>100*(+AD41/$E$7)</f>
        <v>266.87538578459828</v>
      </c>
      <c r="W47" s="9">
        <f>EXP(5.6985-(0.68367*LN(V47)))</f>
        <v>6.5468555560240818</v>
      </c>
      <c r="X47" s="7">
        <f>(+W47*V47)/100</f>
        <v>17.471946021899676</v>
      </c>
      <c r="Y47" s="6">
        <f>100*((((X47/100)-((X47/100)-0.03574)*$E$19)-0.03574-0.00619)/0.344)</f>
        <v>24.461235215798808</v>
      </c>
      <c r="Z47" s="8">
        <v>0</v>
      </c>
      <c r="AA47" s="6">
        <f>Y47+Z47</f>
        <v>24.461235215798808</v>
      </c>
      <c r="AB47" s="6">
        <f>100*($E$15*$E$17+($E$16*(AA47/100))/(1-$E$19))</f>
        <v>24.379601737660437</v>
      </c>
      <c r="AC47" s="7">
        <f>AB47/V47</f>
        <v>9.1352005603610884E-2</v>
      </c>
      <c r="AD47" s="5">
        <f>ROUND($E$6/(1-AC47),0)</f>
        <v>4568630</v>
      </c>
      <c r="AE47" s="8" t="str">
        <f>IF(OR(OR(AD47=AD41,AD47=(AD41+1)),AD47=(AD41-1)),"yes","not yet")</f>
        <v>yes</v>
      </c>
      <c r="AF47" s="6">
        <f>100*(1-AC47)</f>
        <v>90.864799439638915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</row>
    <row r="48" spans="1:2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6">
        <f>100*(+AD42/$E$7)</f>
        <v>266.67689241582264</v>
      </c>
      <c r="W48" s="9">
        <f>EXP(5.6922-(0.68367*LN(V48)))</f>
        <v>6.5090502044957201</v>
      </c>
      <c r="X48" s="7">
        <f>(+W48*V48)/100</f>
        <v>17.358132811134936</v>
      </c>
      <c r="Y48" s="6">
        <f>100*((((X48/100)-((X48/100)-0.03574)*$E$19)-0.03574-0.00619)/0.344)</f>
        <v>24.246181183830551</v>
      </c>
      <c r="Z48" s="8">
        <v>0</v>
      </c>
      <c r="AA48" s="6">
        <f>Y48+Z48</f>
        <v>24.246181183830551</v>
      </c>
      <c r="AB48" s="6">
        <f>100*($E$15*$E$17+($E$16*(AA48/100))/(1-$E$19))</f>
        <v>24.181090323535891</v>
      </c>
      <c r="AC48" s="7">
        <f>AB48/V48</f>
        <v>9.0675611615538554E-2</v>
      </c>
      <c r="AD48" s="5">
        <f>ROUND($E$6/(1-AC48),0)</f>
        <v>4565231</v>
      </c>
      <c r="AE48" s="8" t="str">
        <f>IF(OR(OR(AD48=AD42,AD48=(AD42+1)),AD48=(AD42-1)),"yes","not yet")</f>
        <v>yes</v>
      </c>
      <c r="AF48" s="6">
        <f>100*(1-AC48)</f>
        <v>90.932438838446146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</row>
    <row r="49" spans="1:2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6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</row>
    <row r="50" spans="1:2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2" t="s">
        <v>63</v>
      </c>
      <c r="W50" s="3" t="s">
        <v>7</v>
      </c>
      <c r="X50" s="3" t="s">
        <v>8</v>
      </c>
      <c r="Y50" s="3" t="s">
        <v>9</v>
      </c>
      <c r="Z50" s="1"/>
      <c r="AA50" s="6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</row>
    <row r="51" spans="1:2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6">
        <f>100*(+AD45/$E$7)</f>
        <v>267.64727847883057</v>
      </c>
      <c r="W51" s="9">
        <f>EXP(5.7226-(0.68367*LN(+V51)))</f>
        <v>6.6933220400366995</v>
      </c>
      <c r="X51" s="7">
        <f>(+W51*V51)/100</f>
        <v>17.91449427998197</v>
      </c>
      <c r="Y51" s="6">
        <f>100*((((X51/100)-((X51/100)-0.03574)*$E$19)-0.03574-0.00619)/0.344)</f>
        <v>25.29744558717524</v>
      </c>
      <c r="Z51" s="8">
        <v>0</v>
      </c>
      <c r="AA51" s="6">
        <f>Y51+Z51</f>
        <v>25.29744558717524</v>
      </c>
      <c r="AB51" s="6">
        <f>100*($E$15*$E$17+($E$16*(AA51/100))/(1-$E$19))</f>
        <v>25.1514882343156</v>
      </c>
      <c r="AC51" s="7">
        <f>AB51/V51</f>
        <v>9.3972516280620227E-2</v>
      </c>
      <c r="AD51" s="5">
        <f>ROUND($E$6/(1-AC51),0)</f>
        <v>4581843</v>
      </c>
      <c r="AE51" s="8" t="str">
        <f>IF(OR(OR(AD51=AD45,AD51=(AD45+1)),AD51=(AD37-1)),"yes","not yet")</f>
        <v>yes</v>
      </c>
      <c r="AF51" s="6">
        <f>100*(1-AC51)</f>
        <v>90.602748371937977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</row>
    <row r="52" spans="1:2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6">
        <f>100*(+AD46/$E$7)</f>
        <v>267.18591867112309</v>
      </c>
      <c r="W52" s="9">
        <f>EXP(5.70827-(0.68367*LN(+V52)))</f>
        <v>6.6058777383672869</v>
      </c>
      <c r="X52" s="7">
        <f>(+W52*V52)/100</f>
        <v>17.649975121547847</v>
      </c>
      <c r="Y52" s="6">
        <f>100*((((X52/100)-((X52/100)-0.03574)*$E$19)-0.03574-0.00619)/0.344)</f>
        <v>24.797627409901462</v>
      </c>
      <c r="Z52" s="8">
        <v>0</v>
      </c>
      <c r="AA52" s="6">
        <f>Y52+Z52</f>
        <v>24.797627409901462</v>
      </c>
      <c r="AB52" s="6">
        <f>100*($E$15*$E$17+($E$16*(AA52/100))/(1-$E$19))</f>
        <v>24.690117609139808</v>
      </c>
      <c r="AC52" s="7">
        <f>AB52/V52</f>
        <v>9.2408004628158069E-2</v>
      </c>
      <c r="AD52" s="5">
        <f>ROUND($E$6/(1-AC52),0)</f>
        <v>4573945</v>
      </c>
      <c r="AE52" s="8" t="str">
        <f>IF(OR(OR(AD52=AD46,AD52=(AD46+1)),AD52=(AD46-1)),"yes","not yet")</f>
        <v>yes</v>
      </c>
      <c r="AF52" s="6">
        <f>100*(1-AC52)</f>
        <v>90.759199537184188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</row>
    <row r="53" spans="1:2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6">
        <f>100*(+AD47/$E$7)</f>
        <v>266.87544419936251</v>
      </c>
      <c r="W53" s="9">
        <f>EXP(5.6985-(0.68367*LN(V53)))</f>
        <v>6.546854576323625</v>
      </c>
      <c r="X53" s="7">
        <f>(+W53*V53)/100</f>
        <v>17.471947231649967</v>
      </c>
      <c r="Y53" s="6">
        <f>100*((((X53/100)-((X53/100)-0.03574)*$E$19)-0.03574-0.00619)/0.344)</f>
        <v>24.461237501664186</v>
      </c>
      <c r="Z53" s="8">
        <v>0</v>
      </c>
      <c r="AA53" s="6">
        <f>Y53+Z53</f>
        <v>24.461237501664186</v>
      </c>
      <c r="AB53" s="6">
        <f>100*($E$15*$E$17+($E$16*(AA53/100))/(1-$E$19))</f>
        <v>24.379603847690017</v>
      </c>
      <c r="AC53" s="7">
        <f>AB53/V53</f>
        <v>9.1351993514539515E-2</v>
      </c>
      <c r="AD53" s="5">
        <f>ROUND($E$6/(1-AC53),0)</f>
        <v>4568629</v>
      </c>
      <c r="AE53" s="8" t="str">
        <f>IF(OR(OR(AD53=AD47,AD53=(AD47+1)),AD53=(AD47-1)),"yes","not yet")</f>
        <v>yes</v>
      </c>
      <c r="AF53" s="6">
        <f>100*(1-AC53)</f>
        <v>90.864800648546051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</row>
    <row r="54" spans="1:2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6">
        <f>100*(+AD48/$E$7)</f>
        <v>266.67689241582264</v>
      </c>
      <c r="W54" s="9">
        <f>EXP(5.6922-(0.68367*LN(V54)))</f>
        <v>6.5090502044957201</v>
      </c>
      <c r="X54" s="7">
        <f>(+W54*V54)/100</f>
        <v>17.358132811134936</v>
      </c>
      <c r="Y54" s="6">
        <f>100*((((X54/100)-((X54/100)-0.03574)*$E$19)-0.03574-0.00619)/0.344)</f>
        <v>24.246181183830551</v>
      </c>
      <c r="Z54" s="8">
        <v>0</v>
      </c>
      <c r="AA54" s="6">
        <f>Y54+Z54</f>
        <v>24.246181183830551</v>
      </c>
      <c r="AB54" s="6">
        <f>100*($E$15*$E$17+($E$16*(AA54/100))/(1-$E$19))</f>
        <v>24.181090323535891</v>
      </c>
      <c r="AC54" s="7">
        <f>AB54/V54</f>
        <v>9.0675611615538554E-2</v>
      </c>
      <c r="AD54" s="5">
        <f>ROUND($E$6/(1-AC54),0)</f>
        <v>4565231</v>
      </c>
      <c r="AE54" s="8" t="str">
        <f>IF(OR(OR(AD54=AD48,AD54=(AD48+1)),AD54=(AD48-1)),"yes","not yet")</f>
        <v>yes</v>
      </c>
      <c r="AF54" s="6">
        <f>100*(1-AC54)</f>
        <v>90.932438838446146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</row>
    <row r="55" spans="1:2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</row>
    <row r="56" spans="1:2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</row>
    <row r="57" spans="1:2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6"/>
      <c r="W57" s="9"/>
      <c r="X57" s="7"/>
      <c r="Y57" s="6"/>
      <c r="Z57" s="1"/>
      <c r="AA57" s="1"/>
      <c r="AB57" s="6"/>
      <c r="AC57" s="7"/>
      <c r="AD57" s="5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</row>
    <row r="58" spans="1:2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6"/>
      <c r="W58" s="9"/>
      <c r="X58" s="7"/>
      <c r="Y58" s="6"/>
      <c r="Z58" s="1"/>
      <c r="AA58" s="1"/>
      <c r="AB58" s="6"/>
      <c r="AC58" s="7"/>
      <c r="AD58" s="5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</row>
    <row r="59" spans="1:2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6"/>
      <c r="W59" s="9"/>
      <c r="X59" s="7"/>
      <c r="Y59" s="6"/>
      <c r="Z59" s="1"/>
      <c r="AA59" s="1"/>
      <c r="AB59" s="6"/>
      <c r="AC59" s="7"/>
      <c r="AD59" s="5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</row>
    <row r="60" spans="1:2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6"/>
      <c r="W60" s="9"/>
      <c r="X60" s="7"/>
      <c r="Y60" s="6"/>
      <c r="Z60" s="1"/>
      <c r="AA60" s="1"/>
      <c r="AB60" s="6"/>
      <c r="AC60" s="7"/>
      <c r="AD60" s="5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</row>
    <row r="61" spans="1:2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</row>
    <row r="62" spans="1:2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</row>
    <row r="63" spans="1:2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6"/>
      <c r="W63" s="9"/>
      <c r="X63" s="7"/>
      <c r="Y63" s="6"/>
      <c r="Z63" s="1"/>
      <c r="AA63" s="1"/>
      <c r="AB63" s="6"/>
      <c r="AC63" s="7"/>
      <c r="AD63" s="5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</row>
    <row r="64" spans="1:2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6"/>
      <c r="W64" s="9"/>
      <c r="X64" s="7"/>
      <c r="Y64" s="6"/>
      <c r="Z64" s="1"/>
      <c r="AA64" s="1"/>
      <c r="AB64" s="6"/>
      <c r="AC64" s="7"/>
      <c r="AD64" s="5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</row>
    <row r="65" spans="1:2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6"/>
      <c r="W65" s="9"/>
      <c r="X65" s="7"/>
      <c r="Y65" s="6"/>
      <c r="Z65" s="1"/>
      <c r="AA65" s="1"/>
      <c r="AB65" s="6"/>
      <c r="AC65" s="7"/>
      <c r="AD65" s="5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</row>
    <row r="66" spans="1:2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6"/>
      <c r="W66" s="9"/>
      <c r="X66" s="7"/>
      <c r="Y66" s="6"/>
      <c r="Z66" s="1"/>
      <c r="AA66" s="1"/>
      <c r="AB66" s="6"/>
      <c r="AC66" s="7"/>
      <c r="AD66" s="5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</row>
    <row r="67" spans="1:2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</row>
    <row r="68" spans="1:2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</row>
    <row r="69" spans="1:2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6"/>
      <c r="W69" s="9"/>
      <c r="X69" s="7"/>
      <c r="Y69" s="6"/>
      <c r="Z69" s="1"/>
      <c r="AA69" s="1"/>
      <c r="AB69" s="6"/>
      <c r="AC69" s="7"/>
      <c r="AD69" s="5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</row>
    <row r="70" spans="1:2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6"/>
      <c r="W70" s="9"/>
      <c r="X70" s="7"/>
      <c r="Y70" s="6"/>
      <c r="Z70" s="1"/>
      <c r="AA70" s="1"/>
      <c r="AB70" s="6"/>
      <c r="AC70" s="7"/>
      <c r="AD70" s="5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</row>
    <row r="71" spans="1:2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6"/>
      <c r="W71" s="9"/>
      <c r="X71" s="7"/>
      <c r="Y71" s="6"/>
      <c r="Z71" s="1"/>
      <c r="AA71" s="1"/>
      <c r="AB71" s="6"/>
      <c r="AC71" s="7"/>
      <c r="AD71" s="5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</row>
    <row r="72" spans="1:2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6"/>
      <c r="W72" s="9"/>
      <c r="X72" s="7"/>
      <c r="Y72" s="6"/>
      <c r="Z72" s="1"/>
      <c r="AA72" s="1"/>
      <c r="AB72" s="6"/>
      <c r="AC72" s="7"/>
      <c r="AD72" s="5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</row>
    <row r="73" spans="1:2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</row>
    <row r="74" spans="1:2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</row>
    <row r="75" spans="1:2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6"/>
      <c r="W75" s="9"/>
      <c r="X75" s="7"/>
      <c r="Y75" s="6"/>
      <c r="Z75" s="1"/>
      <c r="AA75" s="1"/>
      <c r="AB75" s="6"/>
      <c r="AC75" s="7"/>
      <c r="AD75" s="5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</row>
    <row r="76" spans="1:2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6"/>
      <c r="W76" s="9"/>
      <c r="X76" s="7"/>
      <c r="Y76" s="6"/>
      <c r="Z76" s="1"/>
      <c r="AA76" s="1"/>
      <c r="AB76" s="6"/>
      <c r="AC76" s="7"/>
      <c r="AD76" s="5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</row>
    <row r="77" spans="1:2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6"/>
      <c r="W77" s="9"/>
      <c r="X77" s="7"/>
      <c r="Y77" s="6"/>
      <c r="Z77" s="1"/>
      <c r="AA77" s="1"/>
      <c r="AB77" s="6"/>
      <c r="AC77" s="7"/>
      <c r="AD77" s="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</row>
    <row r="78" spans="1:2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6"/>
      <c r="W78" s="9"/>
      <c r="X78" s="7"/>
      <c r="Y78" s="6"/>
      <c r="Z78" s="1"/>
      <c r="AA78" s="1"/>
      <c r="AB78" s="6"/>
      <c r="AC78" s="7"/>
      <c r="AD78" s="5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</row>
    <row r="79" spans="1:2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</row>
    <row r="80" spans="1:2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</row>
    <row r="81" spans="1:2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6"/>
      <c r="W81" s="9"/>
      <c r="X81" s="7"/>
      <c r="Y81" s="6"/>
      <c r="Z81" s="1"/>
      <c r="AA81" s="1"/>
      <c r="AB81" s="6"/>
      <c r="AC81" s="7"/>
      <c r="AD81" s="5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6"/>
      <c r="W82" s="9"/>
      <c r="X82" s="7"/>
      <c r="Y82" s="6"/>
      <c r="Z82" s="1"/>
      <c r="AA82" s="1"/>
      <c r="AB82" s="6"/>
      <c r="AC82" s="7"/>
      <c r="AD82" s="5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</row>
    <row r="83" spans="1:2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6"/>
      <c r="W83" s="9"/>
      <c r="X83" s="7"/>
      <c r="Y83" s="6"/>
      <c r="Z83" s="1"/>
      <c r="AA83" s="1"/>
      <c r="AB83" s="6"/>
      <c r="AC83" s="7"/>
      <c r="AD83" s="5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</row>
    <row r="84" spans="1:2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6"/>
      <c r="W84" s="9"/>
      <c r="X84" s="7"/>
      <c r="Y84" s="6"/>
      <c r="Z84" s="1"/>
      <c r="AA84" s="1"/>
      <c r="AB84" s="6"/>
      <c r="AC84" s="7"/>
      <c r="AD84" s="5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</row>
    <row r="85" spans="1:2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</row>
    <row r="86" spans="1:2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</row>
    <row r="87" spans="1:2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6"/>
      <c r="W87" s="9"/>
      <c r="X87" s="7"/>
      <c r="Y87" s="6"/>
      <c r="Z87" s="1"/>
      <c r="AA87" s="1"/>
      <c r="AB87" s="6"/>
      <c r="AC87" s="7"/>
      <c r="AD87" s="5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</row>
    <row r="88" spans="1:2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6"/>
      <c r="W88" s="9"/>
      <c r="X88" s="7"/>
      <c r="Y88" s="6"/>
      <c r="Z88" s="1"/>
      <c r="AA88" s="1"/>
      <c r="AB88" s="6"/>
      <c r="AC88" s="7"/>
      <c r="AD88" s="5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</row>
    <row r="89" spans="1:2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6"/>
      <c r="W89" s="9"/>
      <c r="X89" s="7"/>
      <c r="Y89" s="6"/>
      <c r="Z89" s="1"/>
      <c r="AA89" s="1"/>
      <c r="AB89" s="6"/>
      <c r="AC89" s="7"/>
      <c r="AD89" s="5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</row>
    <row r="90" spans="1:2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6"/>
      <c r="W90" s="9"/>
      <c r="X90" s="7"/>
      <c r="Y90" s="6"/>
      <c r="Z90" s="1"/>
      <c r="AA90" s="1"/>
      <c r="AB90" s="6"/>
      <c r="AC90" s="7"/>
      <c r="AD90" s="5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</row>
    <row r="91" spans="1:2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</row>
    <row r="92" spans="1:2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</row>
    <row r="93" spans="1:2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</row>
    <row r="94" spans="1:2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</row>
    <row r="95" spans="1:2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</row>
    <row r="96" spans="1:2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</row>
    <row r="97" spans="1:2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</row>
    <row r="98" spans="1:2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</row>
    <row r="99" spans="1:2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</row>
    <row r="100" spans="1:2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</row>
    <row r="101" spans="1:2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</row>
    <row r="102" spans="1:2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</row>
    <row r="103" spans="1:2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</row>
    <row r="104" spans="1:2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</row>
    <row r="105" spans="1:2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</row>
    <row r="106" spans="1:2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</row>
    <row r="107" spans="1:2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</row>
    <row r="108" spans="1:2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</row>
    <row r="109" spans="1:2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</row>
    <row r="110" spans="1:2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</row>
    <row r="111" spans="1:2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</row>
    <row r="112" spans="1:2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</row>
    <row r="113" spans="1:2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</row>
    <row r="114" spans="1:2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</row>
    <row r="115" spans="1:2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</row>
    <row r="116" spans="1:2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</row>
    <row r="117" spans="1:2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</row>
    <row r="118" spans="1:2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</row>
    <row r="119" spans="1:2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</row>
    <row r="120" spans="1:2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</row>
    <row r="121" spans="1:2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</row>
    <row r="122" spans="1:2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</row>
    <row r="123" spans="1:2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</row>
    <row r="124" spans="1:2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</row>
    <row r="125" spans="1:2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</row>
    <row r="126" spans="1:2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</row>
    <row r="127" spans="1:2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</row>
    <row r="128" spans="1:2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</row>
    <row r="129" spans="1:2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</row>
    <row r="130" spans="1:2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</row>
    <row r="131" spans="1:2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</row>
    <row r="132" spans="1:2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</row>
    <row r="133" spans="1:2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</row>
    <row r="134" spans="1:2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</row>
    <row r="135" spans="1:2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</row>
    <row r="136" spans="1:2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</row>
    <row r="137" spans="1:2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</row>
    <row r="138" spans="1:2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</row>
    <row r="139" spans="1:2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</row>
    <row r="140" spans="1:2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</row>
    <row r="141" spans="1:2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</row>
    <row r="142" spans="1:2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</row>
    <row r="143" spans="1:2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</row>
    <row r="144" spans="1:2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</row>
    <row r="145" spans="1:2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</row>
    <row r="146" spans="1:2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</row>
    <row r="147" spans="1:2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</row>
    <row r="148" spans="1:2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</row>
    <row r="149" spans="1:2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</row>
    <row r="150" spans="1:2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</row>
    <row r="151" spans="1:2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</row>
    <row r="152" spans="1:2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</row>
    <row r="153" spans="1:2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</row>
    <row r="154" spans="1:2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</row>
    <row r="155" spans="1:2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</row>
    <row r="156" spans="1:2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</row>
    <row r="157" spans="1:2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</row>
    <row r="158" spans="1:2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</row>
    <row r="159" spans="1:2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</row>
    <row r="160" spans="1:2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</row>
    <row r="161" spans="1:2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</row>
    <row r="162" spans="1:2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</row>
    <row r="163" spans="1:2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</row>
    <row r="164" spans="1:2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</row>
    <row r="165" spans="1:2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</row>
    <row r="166" spans="1:2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</row>
    <row r="167" spans="1:2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</row>
    <row r="168" spans="1:2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</row>
    <row r="169" spans="1:2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</row>
    <row r="170" spans="1:2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</row>
    <row r="171" spans="1:2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</row>
    <row r="172" spans="1:2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</row>
    <row r="173" spans="1:2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</row>
    <row r="174" spans="1:2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</row>
    <row r="175" spans="1:2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</row>
    <row r="176" spans="1:2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</row>
    <row r="177" spans="1:2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</row>
    <row r="178" spans="1:2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</row>
    <row r="179" spans="1:2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</row>
    <row r="180" spans="1:2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</row>
    <row r="181" spans="1:2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</row>
    <row r="182" spans="1:2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</row>
    <row r="183" spans="1:2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</row>
    <row r="184" spans="1:2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</row>
    <row r="185" spans="1:2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</row>
    <row r="186" spans="1:2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</row>
    <row r="187" spans="1:2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</row>
    <row r="188" spans="1:2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</row>
    <row r="189" spans="1:2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</row>
    <row r="190" spans="1:2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</row>
    <row r="191" spans="1:2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</row>
    <row r="192" spans="1:2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</row>
    <row r="193" spans="1:2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</row>
    <row r="194" spans="1:2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</row>
    <row r="195" spans="1:2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</row>
    <row r="196" spans="1:2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</row>
    <row r="197" spans="1:2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</row>
    <row r="198" spans="1:2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</row>
    <row r="199" spans="1:2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</row>
    <row r="200" spans="1:2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</row>
    <row r="201" spans="1:2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</row>
    <row r="202" spans="1:2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</row>
    <row r="203" spans="1:2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</row>
    <row r="204" spans="1:2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</row>
    <row r="205" spans="1:2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</row>
    <row r="206" spans="1:2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</row>
    <row r="207" spans="1:2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</row>
    <row r="208" spans="1:2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</row>
    <row r="209" spans="1:2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</row>
    <row r="210" spans="1:2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</row>
    <row r="211" spans="1:2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</row>
    <row r="212" spans="1:2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</row>
    <row r="213" spans="1:2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</row>
    <row r="214" spans="1:2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</row>
    <row r="215" spans="1:2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</row>
    <row r="216" spans="1:2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</row>
    <row r="217" spans="1:2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</row>
    <row r="218" spans="1:2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</row>
    <row r="219" spans="1:2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</row>
    <row r="220" spans="1:2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</row>
    <row r="221" spans="1:2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</row>
    <row r="222" spans="1:2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</row>
    <row r="223" spans="1:2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</row>
    <row r="224" spans="1:2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</row>
    <row r="225" spans="1:2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</row>
    <row r="226" spans="1:2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</row>
    <row r="227" spans="1:2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</row>
    <row r="228" spans="1:2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</row>
    <row r="229" spans="1:2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</row>
    <row r="230" spans="1:2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</row>
    <row r="231" spans="1:2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</row>
    <row r="232" spans="1:2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</row>
    <row r="233" spans="1:2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</row>
    <row r="234" spans="1:2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</row>
    <row r="235" spans="1:2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</row>
    <row r="236" spans="1:2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</row>
    <row r="237" spans="1:2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</row>
    <row r="238" spans="1:2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</row>
    <row r="239" spans="1:2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</row>
    <row r="240" spans="1:2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</row>
    <row r="241" spans="1:2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</row>
    <row r="242" spans="1:2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</row>
    <row r="243" spans="1:2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</row>
    <row r="244" spans="1:2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</row>
    <row r="245" spans="1:2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</row>
    <row r="246" spans="1:2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</row>
    <row r="247" spans="1:2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</row>
    <row r="248" spans="1:2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</row>
    <row r="249" spans="1:2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</row>
    <row r="250" spans="1:2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</row>
    <row r="251" spans="1:2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</row>
    <row r="252" spans="1:2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</row>
    <row r="253" spans="1:2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</row>
    <row r="254" spans="1:2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</row>
    <row r="255" spans="1:2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</row>
    <row r="256" spans="1:2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</row>
    <row r="257" spans="1:2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</row>
    <row r="258" spans="1:2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</row>
    <row r="259" spans="1:2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</row>
    <row r="260" spans="1:2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</row>
    <row r="261" spans="1:2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</row>
    <row r="262" spans="1:2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</row>
    <row r="263" spans="1:2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</row>
    <row r="264" spans="1:2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</row>
    <row r="265" spans="1:2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</row>
    <row r="266" spans="1:2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</row>
    <row r="267" spans="1:2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</row>
    <row r="268" spans="1:2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</row>
    <row r="269" spans="1:2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</row>
    <row r="270" spans="1:2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</row>
    <row r="271" spans="1:2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</row>
    <row r="272" spans="1:2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</row>
    <row r="273" spans="1:2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</row>
    <row r="274" spans="1:2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</row>
    <row r="275" spans="1:2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</row>
    <row r="276" spans="1:2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</row>
    <row r="277" spans="1:2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</row>
    <row r="278" spans="1:2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</row>
    <row r="279" spans="1:2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</row>
    <row r="280" spans="1:2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</row>
    <row r="281" spans="1:2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</row>
    <row r="282" spans="1:2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</row>
    <row r="283" spans="1:2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</row>
    <row r="284" spans="1:2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</row>
    <row r="285" spans="1:2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</row>
    <row r="286" spans="1:2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</row>
    <row r="287" spans="1:2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</row>
    <row r="288" spans="1:2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</row>
    <row r="289" spans="1:2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</row>
    <row r="290" spans="1:2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</row>
    <row r="291" spans="1:2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</row>
    <row r="292" spans="1:2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</row>
    <row r="293" spans="1:2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</row>
    <row r="294" spans="1:2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</row>
    <row r="295" spans="1:2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</row>
    <row r="296" spans="1:2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</row>
    <row r="297" spans="1:2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</row>
    <row r="298" spans="1:2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</row>
    <row r="299" spans="1:2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</row>
    <row r="300" spans="1:2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</row>
    <row r="301" spans="1:2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</row>
    <row r="302" spans="1:2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</row>
    <row r="303" spans="1:2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</row>
    <row r="304" spans="1:2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</row>
    <row r="305" spans="1:2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</row>
    <row r="306" spans="1:2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</row>
    <row r="307" spans="1:2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</row>
    <row r="308" spans="1:2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</row>
    <row r="309" spans="1:2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</row>
    <row r="310" spans="1:2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</row>
    <row r="311" spans="1:2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</row>
    <row r="312" spans="1:2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</row>
    <row r="313" spans="1:2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</row>
    <row r="314" spans="1:2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</row>
    <row r="315" spans="1:2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</row>
    <row r="316" spans="1:2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</row>
    <row r="317" spans="1:2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</row>
    <row r="318" spans="1:2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</row>
    <row r="319" spans="1:2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</row>
    <row r="320" spans="1:2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</row>
    <row r="321" spans="1:2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</row>
    <row r="322" spans="1:2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</row>
    <row r="323" spans="1:2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</row>
    <row r="324" spans="1:2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</row>
    <row r="325" spans="1:2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</row>
    <row r="326" spans="1:2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</row>
    <row r="327" spans="1:2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</row>
    <row r="328" spans="1:2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</row>
    <row r="329" spans="1:2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</row>
    <row r="330" spans="1:2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</row>
    <row r="331" spans="1:2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</row>
    <row r="332" spans="1:2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</row>
    <row r="333" spans="1:2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</row>
    <row r="334" spans="1:2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</row>
    <row r="335" spans="1:2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</row>
    <row r="336" spans="1:2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</row>
    <row r="337" spans="1:2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</row>
    <row r="338" spans="1:2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</row>
    <row r="339" spans="1:2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</row>
    <row r="340" spans="1:2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</row>
    <row r="341" spans="1:2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</row>
    <row r="342" spans="1:2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</row>
    <row r="343" spans="1:2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</row>
    <row r="344" spans="1:2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</row>
    <row r="345" spans="1:2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</row>
    <row r="346" spans="1:2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</row>
    <row r="347" spans="1:2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</row>
    <row r="348" spans="1:2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</row>
    <row r="349" spans="1:2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</row>
    <row r="350" spans="1:2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</row>
    <row r="351" spans="1:2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</row>
    <row r="352" spans="1:2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</row>
    <row r="353" spans="1:2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</row>
    <row r="354" spans="1:2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</row>
    <row r="355" spans="1:2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</row>
    <row r="356" spans="1:2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</row>
    <row r="357" spans="1:2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</row>
    <row r="358" spans="1:2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</row>
    <row r="359" spans="1:2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</row>
    <row r="360" spans="1:2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</row>
    <row r="361" spans="1:2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</row>
    <row r="362" spans="1:2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</row>
    <row r="363" spans="1:2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</row>
    <row r="364" spans="1:2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</row>
    <row r="365" spans="1:2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</row>
    <row r="366" spans="1:2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</row>
    <row r="367" spans="1:2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</row>
    <row r="368" spans="1:2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</row>
    <row r="369" spans="1:2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</row>
    <row r="370" spans="1:2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</row>
    <row r="371" spans="1:2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</row>
    <row r="372" spans="1:2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</row>
    <row r="373" spans="1:2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</row>
    <row r="374" spans="1:2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</row>
    <row r="375" spans="1:2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</row>
    <row r="376" spans="1:2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</row>
    <row r="377" spans="1:2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</row>
    <row r="378" spans="1:2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</row>
    <row r="379" spans="1:2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</row>
    <row r="380" spans="1:2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</row>
    <row r="381" spans="1:2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</row>
    <row r="382" spans="1:2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</row>
    <row r="383" spans="1:2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</row>
    <row r="384" spans="1:2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</row>
    <row r="385" spans="1:2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</row>
    <row r="386" spans="1:2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</row>
    <row r="387" spans="1:2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</row>
    <row r="388" spans="1:2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</row>
    <row r="389" spans="1:2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</row>
    <row r="390" spans="1:2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</row>
    <row r="391" spans="1:2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</row>
    <row r="392" spans="1:2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</row>
    <row r="393" spans="1:2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</row>
    <row r="394" spans="1:2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</row>
    <row r="395" spans="1:2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</row>
    <row r="396" spans="1:2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</row>
    <row r="397" spans="1:2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</row>
    <row r="398" spans="1:2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</row>
    <row r="399" spans="1:2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</row>
    <row r="400" spans="1:2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</row>
    <row r="401" spans="1:2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</row>
    <row r="402" spans="1:2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</row>
    <row r="403" spans="1:2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</row>
    <row r="404" spans="1:2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</row>
    <row r="405" spans="1:2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</row>
    <row r="406" spans="1:2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</row>
    <row r="407" spans="1:2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</row>
    <row r="408" spans="1:2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</row>
    <row r="409" spans="1:2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</row>
    <row r="410" spans="1:2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</row>
    <row r="411" spans="1:2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</row>
    <row r="412" spans="1:2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</row>
    <row r="413" spans="1:2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</row>
    <row r="414" spans="1:2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</row>
    <row r="415" spans="1:2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</row>
    <row r="416" spans="1:2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</row>
    <row r="417" spans="1:2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</row>
    <row r="418" spans="1:2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</row>
    <row r="419" spans="1:2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</row>
    <row r="420" spans="1:2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</row>
    <row r="421" spans="1:2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</row>
    <row r="422" spans="1:2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</row>
    <row r="423" spans="1:2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</row>
    <row r="424" spans="1:2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</row>
    <row r="425" spans="1:2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</row>
    <row r="426" spans="1:2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</row>
    <row r="427" spans="1:2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</row>
    <row r="428" spans="1:2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</row>
    <row r="429" spans="1:2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</row>
    <row r="430" spans="1:2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</row>
    <row r="431" spans="1:2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</row>
    <row r="432" spans="1:2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</row>
    <row r="433" spans="1:2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</row>
    <row r="434" spans="1:2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</row>
    <row r="435" spans="1:2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</row>
    <row r="436" spans="1:2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</row>
    <row r="437" spans="1:2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</row>
    <row r="438" spans="1:2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</row>
    <row r="439" spans="1:2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</row>
    <row r="440" spans="1:2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</row>
    <row r="441" spans="1:2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</row>
    <row r="442" spans="1:2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</row>
    <row r="443" spans="1:2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</row>
    <row r="444" spans="1:2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</row>
    <row r="445" spans="1:2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</row>
    <row r="446" spans="1:2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</row>
    <row r="447" spans="1:2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</row>
    <row r="448" spans="1:2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</row>
    <row r="449" spans="1:2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</row>
    <row r="450" spans="1:2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</row>
    <row r="451" spans="1:2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</row>
    <row r="452" spans="1:2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</row>
    <row r="453" spans="1:2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</row>
    <row r="454" spans="1:2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</row>
    <row r="455" spans="1:2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</row>
    <row r="456" spans="1:2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</row>
    <row r="457" spans="1:2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</row>
    <row r="458" spans="1:2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</row>
    <row r="459" spans="1:2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</row>
    <row r="460" spans="1:2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</row>
    <row r="461" spans="1:2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</row>
    <row r="462" spans="1:2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</row>
    <row r="463" spans="1:2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</row>
    <row r="464" spans="1:2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</row>
    <row r="465" spans="1:2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</row>
    <row r="466" spans="1:2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</row>
    <row r="467" spans="1:2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</row>
    <row r="468" spans="1:2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</row>
    <row r="469" spans="1:2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</row>
    <row r="470" spans="1:2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</row>
    <row r="471" spans="1:2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</row>
    <row r="472" spans="1:2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</row>
    <row r="473" spans="1:2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</row>
    <row r="474" spans="1:2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</row>
    <row r="475" spans="1:2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</row>
    <row r="476" spans="1:2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</row>
    <row r="477" spans="1:2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</row>
    <row r="478" spans="1:2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</row>
    <row r="479" spans="1:2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</row>
    <row r="480" spans="1:2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</row>
    <row r="481" spans="1:2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</row>
    <row r="482" spans="1:2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</row>
    <row r="483" spans="1:2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</row>
    <row r="484" spans="1:2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</row>
    <row r="485" spans="1:2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</row>
    <row r="486" spans="1:2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</row>
    <row r="487" spans="1:2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</row>
    <row r="488" spans="1:2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</row>
    <row r="489" spans="1:2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</row>
    <row r="490" spans="1:2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</row>
    <row r="491" spans="1:2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</row>
    <row r="492" spans="1:2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</row>
    <row r="493" spans="1:2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</row>
    <row r="494" spans="1:2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</row>
    <row r="495" spans="1:2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</row>
    <row r="496" spans="1:2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</row>
    <row r="497" spans="1:2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</row>
    <row r="498" spans="1:2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</row>
    <row r="499" spans="1:2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</row>
    <row r="500" spans="1:2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</row>
    <row r="501" spans="1:2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</row>
    <row r="502" spans="1:2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</row>
    <row r="503" spans="1:2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</row>
    <row r="504" spans="1:2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</row>
    <row r="505" spans="1:2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</row>
    <row r="506" spans="1:2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</row>
    <row r="507" spans="1:2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</row>
    <row r="508" spans="1:2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</row>
    <row r="509" spans="1:2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</row>
    <row r="510" spans="1:2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</row>
    <row r="511" spans="1:2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</row>
    <row r="512" spans="1:2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</row>
    <row r="513" spans="1:2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</row>
    <row r="514" spans="1:2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</row>
    <row r="515" spans="1:2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</row>
    <row r="516" spans="1:2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</row>
    <row r="517" spans="1:2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</row>
    <row r="518" spans="1:2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</row>
    <row r="519" spans="1:2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</row>
    <row r="520" spans="1:2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</row>
    <row r="521" spans="1:2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</row>
    <row r="522" spans="1:2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</row>
    <row r="523" spans="1:2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</row>
    <row r="524" spans="1:2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</row>
    <row r="525" spans="1:2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</row>
    <row r="526" spans="1:2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</row>
    <row r="527" spans="1:2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</row>
    <row r="528" spans="1:2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</row>
    <row r="529" spans="1:2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</row>
    <row r="530" spans="1:2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</row>
    <row r="531" spans="1:2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</row>
    <row r="532" spans="1:2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</row>
    <row r="533" spans="1:2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</row>
    <row r="534" spans="1:2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</row>
    <row r="535" spans="1:2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</row>
    <row r="536" spans="1:2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</row>
    <row r="537" spans="1:2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</row>
    <row r="538" spans="1:2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</row>
    <row r="539" spans="1:2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</row>
    <row r="540" spans="1:2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</row>
    <row r="541" spans="1:2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</row>
    <row r="542" spans="1:2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</row>
    <row r="543" spans="1:2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</row>
    <row r="544" spans="1:2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</row>
    <row r="545" spans="1:2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</row>
    <row r="546" spans="1:2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</row>
    <row r="547" spans="1:2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</row>
    <row r="548" spans="1:2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</row>
    <row r="549" spans="1:2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</row>
    <row r="550" spans="1:2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</row>
    <row r="551" spans="1:2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</row>
    <row r="552" spans="1:2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</row>
    <row r="553" spans="1:2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</row>
    <row r="554" spans="1:2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</row>
    <row r="555" spans="1:2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</row>
    <row r="556" spans="1:2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</row>
    <row r="557" spans="1:2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</row>
    <row r="558" spans="1:2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</row>
    <row r="559" spans="1:2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</row>
    <row r="560" spans="1:2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</row>
    <row r="561" spans="1:2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</row>
    <row r="562" spans="1:2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</row>
    <row r="563" spans="1:2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</row>
    <row r="564" spans="1:2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</row>
    <row r="565" spans="1:2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</row>
    <row r="566" spans="1:2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</row>
    <row r="567" spans="1:2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</row>
    <row r="568" spans="1:2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</row>
    <row r="569" spans="1:2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</row>
    <row r="570" spans="1:2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</row>
    <row r="571" spans="1:2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</row>
    <row r="572" spans="1:2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</row>
    <row r="573" spans="1:2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</row>
    <row r="574" spans="1:2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</row>
    <row r="575" spans="1:2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</row>
    <row r="576" spans="1:2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</row>
    <row r="577" spans="1:2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</row>
    <row r="578" spans="1:2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</row>
    <row r="579" spans="1:2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</row>
    <row r="580" spans="1:2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</row>
    <row r="581" spans="1:2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</row>
    <row r="582" spans="1:2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</row>
    <row r="583" spans="1:2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</row>
    <row r="584" spans="1:2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</row>
    <row r="585" spans="1:2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</row>
    <row r="586" spans="1:2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</row>
    <row r="587" spans="1:2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</row>
    <row r="588" spans="1:2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</row>
    <row r="589" spans="1:2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</row>
    <row r="590" spans="1:2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</row>
    <row r="591" spans="1:2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</row>
    <row r="592" spans="1:2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</row>
    <row r="593" spans="1:2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</row>
    <row r="594" spans="1:2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</row>
    <row r="595" spans="1:2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</row>
    <row r="596" spans="1:2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</row>
    <row r="597" spans="1:2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</row>
    <row r="598" spans="1:2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</row>
    <row r="599" spans="1:2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</row>
    <row r="600" spans="1:2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</row>
    <row r="601" spans="1:2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</row>
    <row r="602" spans="1:2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</row>
    <row r="603" spans="1:2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</row>
    <row r="604" spans="1:2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</row>
    <row r="605" spans="1:2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</row>
    <row r="606" spans="1:2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</row>
    <row r="607" spans="1:2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</row>
    <row r="608" spans="1:2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</row>
    <row r="609" spans="1:2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</row>
    <row r="610" spans="1:2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</row>
    <row r="611" spans="1:2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</row>
    <row r="612" spans="1:2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</row>
    <row r="613" spans="1:2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</row>
    <row r="614" spans="1:2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</row>
    <row r="615" spans="1:2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</row>
    <row r="616" spans="1:2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</row>
    <row r="617" spans="1:2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</row>
    <row r="618" spans="1:2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</row>
    <row r="619" spans="1:2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</row>
    <row r="620" spans="1:2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</row>
    <row r="621" spans="1:2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</row>
    <row r="622" spans="1:2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</row>
    <row r="623" spans="1:2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</row>
    <row r="624" spans="1:2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</row>
    <row r="625" spans="1:24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</row>
    <row r="626" spans="1:24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</row>
    <row r="627" spans="1:24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</row>
    <row r="628" spans="1:24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</row>
    <row r="629" spans="1:24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</row>
    <row r="630" spans="1:24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</row>
    <row r="631" spans="1:24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</row>
    <row r="632" spans="1:24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</row>
    <row r="633" spans="1:24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</row>
    <row r="634" spans="1:24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</row>
    <row r="635" spans="1:24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</row>
    <row r="636" spans="1:24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</row>
    <row r="637" spans="1:24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</row>
    <row r="638" spans="1:24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</row>
    <row r="639" spans="1:24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</row>
    <row r="640" spans="1:24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</row>
    <row r="641" spans="1:24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</row>
    <row r="642" spans="1:24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</row>
    <row r="643" spans="1:24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</row>
    <row r="644" spans="1:24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</row>
    <row r="645" spans="1:24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</row>
    <row r="646" spans="1:24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</row>
    <row r="647" spans="1:24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</row>
    <row r="648" spans="1:24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</row>
    <row r="649" spans="1:24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</row>
    <row r="650" spans="1:24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</row>
    <row r="651" spans="1:24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</row>
    <row r="652" spans="1:24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</row>
    <row r="653" spans="1:24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</row>
    <row r="654" spans="1:24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</row>
    <row r="655" spans="1:24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</row>
    <row r="656" spans="1:24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</row>
    <row r="657" spans="1:24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</row>
    <row r="658" spans="1:24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</row>
    <row r="659" spans="1:24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</row>
    <row r="660" spans="1:24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</row>
    <row r="661" spans="1:24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</row>
    <row r="662" spans="1:24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</row>
    <row r="663" spans="1:24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</row>
    <row r="664" spans="1:24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</row>
    <row r="665" spans="1:24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</row>
    <row r="666" spans="1:24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</row>
    <row r="667" spans="1:24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</row>
    <row r="668" spans="1:24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</row>
    <row r="669" spans="1:24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</row>
    <row r="670" spans="1:24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</row>
    <row r="671" spans="1:24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</row>
    <row r="672" spans="1:24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</row>
    <row r="673" spans="1:24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</row>
    <row r="674" spans="1:24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</row>
    <row r="675" spans="1:24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</row>
    <row r="676" spans="1:24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</row>
    <row r="677" spans="1:24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</row>
    <row r="678" spans="1:24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</row>
    <row r="679" spans="1:24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</row>
    <row r="680" spans="1:24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</row>
    <row r="681" spans="1:24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</row>
    <row r="682" spans="1:24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</row>
    <row r="683" spans="1:24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</row>
    <row r="684" spans="1:24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</row>
    <row r="685" spans="1:24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</row>
    <row r="686" spans="1:24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</row>
    <row r="687" spans="1:24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</row>
    <row r="688" spans="1:24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</row>
    <row r="689" spans="1:24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</row>
    <row r="690" spans="1:24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</row>
    <row r="691" spans="1:24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</row>
    <row r="692" spans="1:24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</row>
    <row r="693" spans="1:24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</row>
    <row r="694" spans="1:24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</row>
    <row r="695" spans="1:24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</row>
    <row r="696" spans="1:24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</row>
    <row r="697" spans="1:24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</row>
    <row r="698" spans="1:24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</row>
    <row r="699" spans="1:24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</row>
    <row r="700" spans="1:24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</row>
    <row r="701" spans="1:24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</row>
    <row r="702" spans="1:24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</row>
    <row r="703" spans="1:24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</row>
    <row r="704" spans="1:24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</row>
    <row r="705" spans="1:24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</row>
    <row r="706" spans="1:24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</row>
    <row r="707" spans="1:24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</row>
    <row r="708" spans="1:24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</row>
    <row r="709" spans="1:24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</row>
    <row r="710" spans="1:24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</row>
    <row r="711" spans="1:24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</row>
    <row r="712" spans="1:24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</row>
    <row r="713" spans="1:24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</row>
    <row r="714" spans="1:24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</row>
    <row r="715" spans="1:24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</row>
    <row r="716" spans="1:24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</row>
    <row r="717" spans="1:24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</row>
    <row r="718" spans="1:24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</row>
    <row r="719" spans="1:24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</row>
    <row r="720" spans="1:24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</row>
    <row r="721" spans="1:24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</row>
    <row r="722" spans="1:24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</row>
    <row r="723" spans="1:24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</row>
    <row r="724" spans="1:24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</row>
    <row r="725" spans="1:24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</row>
    <row r="726" spans="1:24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</row>
    <row r="727" spans="1:24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</row>
    <row r="728" spans="1:24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</row>
    <row r="729" spans="1:24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</row>
    <row r="730" spans="1:24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</row>
    <row r="731" spans="1:24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</row>
    <row r="732" spans="1:24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</row>
    <row r="733" spans="1:24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</row>
    <row r="734" spans="1:24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</row>
    <row r="735" spans="1:24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</row>
    <row r="736" spans="1:24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</row>
    <row r="737" spans="1:24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</row>
    <row r="738" spans="1:24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</row>
    <row r="739" spans="1:24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</row>
    <row r="740" spans="1:24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</row>
    <row r="741" spans="1:24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</row>
    <row r="742" spans="1:24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</row>
    <row r="743" spans="1:24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</row>
    <row r="744" spans="1:24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</row>
    <row r="745" spans="1:24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</row>
    <row r="746" spans="1:24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</row>
    <row r="747" spans="1:24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</row>
    <row r="748" spans="1:24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</row>
    <row r="749" spans="1:24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</row>
    <row r="750" spans="1:24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</row>
    <row r="751" spans="1:24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</row>
    <row r="752" spans="1:24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</row>
    <row r="753" spans="1:24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</row>
    <row r="754" spans="1:24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</row>
    <row r="755" spans="1:24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</row>
    <row r="756" spans="1:24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</row>
    <row r="757" spans="1:24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</row>
    <row r="758" spans="1:24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</row>
    <row r="759" spans="1:24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</row>
    <row r="760" spans="1:24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</row>
    <row r="761" spans="1:24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</row>
    <row r="762" spans="1:24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</row>
    <row r="763" spans="1:24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</row>
    <row r="764" spans="1:24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</row>
    <row r="765" spans="1:24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</row>
    <row r="766" spans="1:24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</row>
    <row r="767" spans="1:24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</row>
    <row r="768" spans="1:24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</row>
    <row r="769" spans="1:24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</row>
    <row r="770" spans="1:24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</row>
    <row r="771" spans="1:24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</row>
    <row r="772" spans="1:24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</row>
    <row r="773" spans="1:24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</row>
    <row r="774" spans="1:24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</row>
    <row r="775" spans="1:24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</row>
    <row r="776" spans="1:24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</row>
    <row r="777" spans="1:24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</row>
    <row r="778" spans="1:24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</row>
    <row r="779" spans="1:24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</row>
    <row r="780" spans="1:24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</row>
    <row r="781" spans="1:24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</row>
    <row r="782" spans="1:24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</row>
    <row r="783" spans="1:24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</row>
    <row r="784" spans="1:24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</row>
    <row r="785" spans="1:24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</row>
    <row r="786" spans="1:24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</row>
    <row r="787" spans="1:24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</row>
    <row r="788" spans="1:24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</row>
    <row r="789" spans="1:24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</row>
    <row r="790" spans="1:24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</row>
    <row r="791" spans="1:24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</row>
    <row r="792" spans="1:24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</row>
    <row r="793" spans="1:24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</row>
    <row r="794" spans="1:24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</row>
    <row r="795" spans="1:24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</row>
    <row r="796" spans="1:24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</row>
    <row r="797" spans="1:24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</row>
    <row r="798" spans="1:24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</row>
    <row r="799" spans="1:24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</row>
    <row r="800" spans="1:24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</row>
    <row r="801" spans="1:24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</row>
    <row r="802" spans="1:24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</row>
    <row r="803" spans="1:24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</row>
    <row r="804" spans="1:24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</row>
    <row r="805" spans="1:24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</row>
    <row r="806" spans="1:24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</row>
    <row r="807" spans="1:24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</row>
    <row r="808" spans="1:24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</row>
    <row r="809" spans="1:24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</row>
    <row r="810" spans="1:24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</row>
    <row r="811" spans="1:24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</row>
    <row r="812" spans="1:24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</row>
    <row r="813" spans="1:24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</row>
    <row r="814" spans="1:24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</row>
    <row r="815" spans="1:24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</row>
    <row r="816" spans="1:24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</row>
    <row r="817" spans="1:24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</row>
    <row r="818" spans="1:24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</row>
    <row r="819" spans="1:24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</row>
    <row r="820" spans="1:24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</row>
    <row r="821" spans="1:24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</row>
    <row r="822" spans="1:24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</row>
    <row r="823" spans="1:24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</row>
    <row r="824" spans="1:24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</row>
    <row r="825" spans="1:24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</row>
    <row r="826" spans="1:24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</row>
    <row r="827" spans="1:24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</row>
    <row r="828" spans="1:24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</row>
    <row r="829" spans="1:24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</row>
    <row r="830" spans="1:24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</row>
    <row r="831" spans="1:24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</row>
    <row r="832" spans="1:24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</row>
    <row r="833" spans="1:24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</row>
    <row r="834" spans="1:24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</row>
    <row r="835" spans="1:24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</row>
    <row r="836" spans="1:24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</row>
    <row r="837" spans="1:24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</row>
    <row r="838" spans="1:24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</row>
    <row r="839" spans="1:24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</row>
    <row r="840" spans="1:24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</row>
    <row r="841" spans="1:24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</row>
    <row r="842" spans="1:24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</row>
    <row r="843" spans="1:24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</row>
    <row r="844" spans="1:24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</row>
    <row r="845" spans="1:24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</row>
    <row r="846" spans="1:24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</row>
    <row r="847" spans="1:24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</row>
    <row r="848" spans="1:24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</row>
    <row r="849" spans="1:24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</row>
    <row r="850" spans="1:24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</row>
    <row r="851" spans="1:24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</row>
    <row r="852" spans="1:24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</row>
    <row r="853" spans="1:24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</row>
    <row r="854" spans="1:24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</row>
    <row r="855" spans="1:24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</row>
    <row r="856" spans="1:24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</row>
    <row r="857" spans="1:24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</row>
    <row r="858" spans="1:24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</row>
    <row r="859" spans="1:24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</row>
    <row r="860" spans="1:24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</row>
    <row r="861" spans="1:24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</row>
    <row r="862" spans="1:24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</row>
    <row r="863" spans="1:24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</row>
    <row r="864" spans="1:24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</row>
    <row r="865" spans="1:24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</row>
    <row r="866" spans="1:24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</row>
    <row r="867" spans="1:24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</row>
    <row r="868" spans="1:24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</row>
    <row r="869" spans="1:24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</row>
    <row r="870" spans="1:24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</row>
    <row r="871" spans="1:24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</row>
    <row r="872" spans="1:24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</row>
    <row r="873" spans="1:24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</row>
    <row r="874" spans="1:24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</row>
    <row r="875" spans="1:24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</row>
    <row r="876" spans="1:24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</row>
    <row r="877" spans="1:24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</row>
    <row r="878" spans="1:24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</row>
    <row r="879" spans="1:24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</row>
    <row r="880" spans="1:24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</row>
    <row r="881" spans="1:24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</row>
    <row r="882" spans="1:24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</row>
    <row r="883" spans="1:24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</row>
    <row r="884" spans="1:24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</row>
    <row r="885" spans="1:24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</row>
    <row r="886" spans="1:24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</row>
    <row r="887" spans="1:24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</row>
    <row r="888" spans="1:24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</row>
    <row r="889" spans="1:24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</row>
    <row r="890" spans="1:24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</row>
    <row r="891" spans="1:24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</row>
    <row r="892" spans="1:24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</row>
    <row r="893" spans="1:24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</row>
    <row r="894" spans="1:24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</row>
    <row r="895" spans="1:24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</row>
    <row r="896" spans="1:24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</row>
    <row r="897" spans="1:24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</row>
    <row r="898" spans="1:24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</row>
    <row r="899" spans="1:24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</row>
    <row r="900" spans="1:24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</row>
    <row r="901" spans="1:24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</row>
    <row r="902" spans="1:24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</row>
    <row r="903" spans="1:24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</row>
    <row r="904" spans="1:24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</row>
    <row r="905" spans="1:24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</row>
    <row r="906" spans="1:24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</row>
    <row r="907" spans="1:24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</row>
    <row r="908" spans="1:24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</row>
    <row r="909" spans="1:24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</row>
    <row r="910" spans="1:24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</row>
    <row r="911" spans="1:24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</row>
    <row r="912" spans="1:24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</row>
    <row r="913" spans="1:24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</row>
    <row r="914" spans="1:24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</row>
    <row r="915" spans="1:24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</row>
    <row r="916" spans="1:24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</row>
    <row r="917" spans="1:24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</row>
    <row r="918" spans="1:24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</row>
    <row r="919" spans="1:24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</row>
    <row r="920" spans="1:24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</row>
    <row r="921" spans="1:24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</row>
    <row r="922" spans="1:24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</row>
    <row r="923" spans="1:24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</row>
    <row r="924" spans="1:24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</row>
    <row r="925" spans="1:24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</row>
    <row r="926" spans="1:24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</row>
    <row r="927" spans="1:24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</row>
    <row r="928" spans="1:24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</row>
    <row r="929" spans="1:24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</row>
    <row r="930" spans="1:24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</row>
    <row r="931" spans="1:24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</row>
    <row r="932" spans="1:24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</row>
    <row r="933" spans="1:24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</row>
    <row r="934" spans="1:24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</row>
    <row r="935" spans="1:24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</row>
    <row r="936" spans="1:24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</row>
    <row r="937" spans="1:24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</row>
    <row r="938" spans="1:24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</row>
    <row r="939" spans="1:24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</row>
    <row r="940" spans="1:24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</row>
    <row r="941" spans="1:24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</row>
    <row r="942" spans="1:24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</row>
    <row r="943" spans="1:24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</row>
    <row r="944" spans="1:24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</row>
    <row r="945" spans="1:24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</row>
    <row r="946" spans="1:24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</row>
    <row r="947" spans="1:24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</row>
    <row r="948" spans="1:24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</row>
    <row r="949" spans="1:24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</row>
    <row r="950" spans="1:24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</row>
    <row r="951" spans="1:24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</row>
    <row r="952" spans="1:24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</row>
    <row r="953" spans="1:24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</row>
    <row r="954" spans="1:24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</row>
    <row r="955" spans="1:24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</row>
    <row r="956" spans="1:24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</row>
    <row r="957" spans="1:24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</row>
    <row r="958" spans="1:24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</row>
    <row r="959" spans="1:24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</row>
    <row r="960" spans="1:24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</row>
    <row r="961" spans="1:24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</row>
    <row r="962" spans="1:24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</row>
    <row r="963" spans="1:24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</row>
    <row r="964" spans="1:24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</row>
    <row r="965" spans="1:24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</row>
    <row r="966" spans="1:24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</row>
    <row r="967" spans="1:24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</row>
    <row r="968" spans="1:24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</row>
    <row r="969" spans="1:24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</row>
    <row r="970" spans="1:24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</row>
    <row r="971" spans="1:24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</row>
    <row r="972" spans="1:24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</row>
    <row r="973" spans="1:24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</row>
    <row r="974" spans="1:24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</row>
    <row r="975" spans="1:24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</row>
    <row r="976" spans="1:24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</row>
    <row r="977" spans="1:24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</row>
    <row r="978" spans="1:24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</row>
    <row r="979" spans="1:24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</row>
    <row r="980" spans="1:24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</row>
    <row r="981" spans="1:24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</row>
    <row r="982" spans="1:24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</row>
    <row r="983" spans="1:24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</row>
    <row r="984" spans="1:24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</row>
    <row r="985" spans="1:24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</row>
    <row r="986" spans="1:24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</row>
    <row r="987" spans="1:24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</row>
    <row r="988" spans="1:24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</row>
    <row r="989" spans="1:24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</row>
    <row r="990" spans="1:24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</row>
    <row r="991" spans="1:24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</row>
    <row r="992" spans="1:24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</row>
    <row r="993" spans="1:24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</row>
    <row r="994" spans="1:24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</row>
    <row r="995" spans="1:24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</row>
    <row r="996" spans="1:24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</row>
    <row r="997" spans="1:24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</row>
    <row r="998" spans="1:24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</row>
    <row r="999" spans="1:24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</row>
    <row r="1000" spans="1:24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</row>
    <row r="1001" spans="1:24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</row>
    <row r="1002" spans="1:24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</row>
    <row r="1003" spans="1:24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</row>
    <row r="1004" spans="1:24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</row>
    <row r="1005" spans="1:24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</row>
    <row r="1006" spans="1:24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</row>
    <row r="1007" spans="1:24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</row>
    <row r="1008" spans="1:24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</row>
    <row r="1009" spans="1:24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</row>
    <row r="1010" spans="1:24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</row>
    <row r="1011" spans="1:24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</row>
    <row r="1012" spans="1:24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</row>
    <row r="1013" spans="1:24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</row>
    <row r="1014" spans="1:24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</row>
    <row r="1015" spans="1:24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</row>
    <row r="1016" spans="1:24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</row>
    <row r="1017" spans="1:24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</row>
    <row r="1018" spans="1:24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</row>
    <row r="1019" spans="1:24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</row>
    <row r="1020" spans="1:24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</row>
    <row r="1021" spans="1:24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</row>
    <row r="1022" spans="1:24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</row>
    <row r="1023" spans="1:24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</row>
    <row r="1024" spans="1:24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</row>
    <row r="1025" spans="1:24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</row>
    <row r="1026" spans="1:24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</row>
    <row r="1027" spans="1:24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</row>
    <row r="1028" spans="1:24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</row>
    <row r="1029" spans="1:24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</row>
    <row r="1030" spans="1:24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</row>
    <row r="1031" spans="1:24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</row>
    <row r="1032" spans="1:24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</row>
    <row r="1033" spans="1:24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</row>
    <row r="1034" spans="1:24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</row>
    <row r="1035" spans="1:24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</row>
    <row r="1036" spans="1:24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</row>
    <row r="1037" spans="1:24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</row>
    <row r="1038" spans="1:24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</row>
    <row r="1039" spans="1:24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</row>
    <row r="1040" spans="1:24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</row>
    <row r="1041" spans="1:24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</row>
    <row r="1042" spans="1:24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</row>
    <row r="1043" spans="1:24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</row>
    <row r="1044" spans="1:24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</row>
    <row r="1045" spans="1:24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</row>
    <row r="1046" spans="1:24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</row>
    <row r="1047" spans="1:24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</row>
    <row r="1048" spans="1:24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</row>
    <row r="1049" spans="1:24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</row>
    <row r="1050" spans="1:24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</row>
    <row r="1051" spans="1:24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</row>
    <row r="1052" spans="1:24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</row>
    <row r="1053" spans="1:24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</row>
    <row r="1054" spans="1:24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</row>
    <row r="1055" spans="1:24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</row>
    <row r="1056" spans="1:24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</row>
    <row r="1057" spans="1:24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</row>
    <row r="1058" spans="1:24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</row>
    <row r="1059" spans="1:24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</row>
    <row r="1060" spans="1:24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</row>
    <row r="1061" spans="1:24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</row>
    <row r="1062" spans="1:24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</row>
    <row r="1063" spans="1:24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</row>
    <row r="1064" spans="1:24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</row>
    <row r="1065" spans="1:24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</row>
    <row r="1066" spans="1:24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</row>
    <row r="1067" spans="1:24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</row>
    <row r="1068" spans="1:24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</row>
    <row r="1069" spans="1:24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</row>
    <row r="1070" spans="1:249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</row>
    <row r="1071" spans="1:249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</row>
    <row r="1072" spans="1:249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</row>
    <row r="1073" spans="1:249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</row>
    <row r="1074" spans="1:249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</row>
    <row r="1075" spans="1:249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</row>
    <row r="1076" spans="1:249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</row>
    <row r="1077" spans="1:249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</row>
    <row r="1078" spans="1:249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</row>
    <row r="1079" spans="1:249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</row>
    <row r="1080" spans="1:249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</row>
    <row r="1081" spans="1:249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</row>
    <row r="1082" spans="1:249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</row>
    <row r="1083" spans="1:249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</row>
    <row r="1084" spans="1:249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</row>
    <row r="1085" spans="1:249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</row>
    <row r="1086" spans="1:249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</row>
    <row r="1087" spans="1:249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</row>
    <row r="1088" spans="1:249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</row>
    <row r="1089" spans="1:249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</row>
    <row r="1090" spans="1:249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</row>
    <row r="1091" spans="1:249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</row>
    <row r="1092" spans="1:249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</row>
    <row r="1093" spans="1:249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</row>
    <row r="1094" spans="1:249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</row>
    <row r="1095" spans="1:249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</row>
    <row r="1096" spans="1:249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</row>
    <row r="1097" spans="1:249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</row>
    <row r="1098" spans="1:249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</row>
    <row r="1099" spans="1:249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</row>
    <row r="1100" spans="1:249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</row>
    <row r="1101" spans="1:249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</row>
    <row r="1102" spans="1:249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</row>
    <row r="1103" spans="1:249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</row>
    <row r="1104" spans="1:249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</row>
    <row r="1105" spans="1:249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</row>
    <row r="1106" spans="1:249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</row>
    <row r="1107" spans="1:249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</row>
    <row r="1108" spans="1:249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</row>
    <row r="1109" spans="1:249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</row>
    <row r="1110" spans="1:249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</row>
    <row r="1111" spans="1:249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</row>
    <row r="1112" spans="1:249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</row>
    <row r="1113" spans="1:249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</row>
    <row r="1114" spans="1:249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</row>
    <row r="1115" spans="1:249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</row>
    <row r="1116" spans="1:249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</row>
    <row r="1117" spans="1:249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</row>
    <row r="1118" spans="1:249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</row>
    <row r="1119" spans="1:249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</row>
    <row r="1120" spans="1:249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</row>
    <row r="1121" spans="1:249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</row>
    <row r="1122" spans="1:249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</row>
    <row r="1123" spans="1:249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</row>
    <row r="1124" spans="1:249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</row>
    <row r="1125" spans="1:249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</row>
    <row r="1126" spans="1:249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</row>
    <row r="1127" spans="1:249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</row>
    <row r="1128" spans="1:249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</row>
    <row r="1129" spans="1:249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</row>
    <row r="1130" spans="1:249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</row>
    <row r="1131" spans="1:249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</row>
    <row r="1132" spans="1:249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</row>
    <row r="1133" spans="1:249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</row>
    <row r="1134" spans="1:249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</row>
    <row r="1135" spans="1:249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</row>
    <row r="1136" spans="1:249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</row>
    <row r="1137" spans="1:249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</row>
    <row r="1138" spans="1:249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</row>
    <row r="1139" spans="1:249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</row>
    <row r="1140" spans="1:249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</row>
    <row r="1141" spans="1:249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</row>
    <row r="1142" spans="1:249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</row>
    <row r="1143" spans="1:249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</row>
    <row r="1144" spans="1:249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</row>
    <row r="1145" spans="1:249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</row>
    <row r="1146" spans="1:249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</row>
    <row r="1147" spans="1:249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</row>
    <row r="1148" spans="1:249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</row>
    <row r="1149" spans="1:249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</row>
    <row r="1150" spans="1:249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</row>
    <row r="1151" spans="1:249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</row>
    <row r="1152" spans="1:249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</row>
    <row r="1153" spans="1:249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</row>
    <row r="1154" spans="1:249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</row>
    <row r="1155" spans="1:249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</row>
    <row r="1156" spans="1:249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</row>
    <row r="1157" spans="1:249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</row>
    <row r="1158" spans="1:249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</row>
    <row r="1159" spans="1:249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</row>
    <row r="1160" spans="1:249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</row>
    <row r="1161" spans="1:249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</row>
    <row r="1162" spans="1:249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</row>
    <row r="1163" spans="1:249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</row>
    <row r="1164" spans="1:249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</row>
    <row r="1165" spans="1:249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</row>
    <row r="1166" spans="1:249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</row>
    <row r="1167" spans="1:249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</row>
    <row r="1168" spans="1:249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</row>
    <row r="1169" spans="1:249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</row>
    <row r="1170" spans="1:249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</row>
    <row r="1171" spans="1:249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</row>
    <row r="1172" spans="1:249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</row>
    <row r="1173" spans="1:249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</row>
    <row r="1174" spans="1:249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</row>
    <row r="1175" spans="1:249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</row>
    <row r="1176" spans="1:249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</row>
    <row r="1177" spans="1:249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</row>
    <row r="1178" spans="1:249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</row>
    <row r="1179" spans="1:249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</row>
    <row r="1180" spans="1:249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</row>
    <row r="1181" spans="1:249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</row>
    <row r="1182" spans="1:249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</row>
    <row r="1183" spans="1:249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</row>
    <row r="1184" spans="1:249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</row>
    <row r="1185" spans="1:249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</row>
    <row r="1186" spans="1:249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</row>
    <row r="1187" spans="1:249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</row>
    <row r="1188" spans="1:249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</row>
    <row r="1189" spans="1:249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</row>
    <row r="1190" spans="1:249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</row>
    <row r="1191" spans="1:249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</row>
    <row r="1192" spans="1:249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</row>
    <row r="1193" spans="1:249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</row>
    <row r="1194" spans="1:249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</row>
    <row r="1195" spans="1:249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</row>
    <row r="1196" spans="1:249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</row>
    <row r="1197" spans="1:249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</row>
    <row r="1198" spans="1:249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</row>
    <row r="1199" spans="1:249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</row>
    <row r="1200" spans="1:249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</row>
    <row r="1201" spans="1:249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</row>
    <row r="1202" spans="1:249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</row>
    <row r="1203" spans="1:249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</row>
    <row r="1204" spans="1:249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</row>
    <row r="1205" spans="1:249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</row>
    <row r="1206" spans="1:249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</row>
    <row r="1207" spans="1:249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</row>
    <row r="1208" spans="1:249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</row>
    <row r="1209" spans="1:249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</row>
    <row r="1210" spans="1:249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</row>
    <row r="1211" spans="1:249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</row>
    <row r="1212" spans="1:249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</row>
    <row r="1213" spans="1:249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</row>
    <row r="1214" spans="1:249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</row>
    <row r="1215" spans="1:249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</row>
    <row r="1216" spans="1:249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</row>
    <row r="1217" spans="1:249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</row>
    <row r="1218" spans="1:249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</row>
    <row r="1219" spans="1:249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</row>
    <row r="1220" spans="1:249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</row>
    <row r="1221" spans="1:249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</row>
    <row r="1222" spans="1:249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</row>
    <row r="1223" spans="1:249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</row>
    <row r="1224" spans="1:249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</row>
    <row r="1225" spans="1:249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</row>
    <row r="1226" spans="1:249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</row>
    <row r="1227" spans="1:249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</row>
    <row r="1228" spans="1:249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</row>
    <row r="1229" spans="1:249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</row>
    <row r="1230" spans="1:249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</row>
    <row r="1231" spans="1:249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</row>
    <row r="1232" spans="1:249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</row>
    <row r="1233" spans="1:249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</row>
    <row r="1234" spans="1:249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</row>
    <row r="1235" spans="1:249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</row>
    <row r="1236" spans="1:249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</row>
    <row r="1237" spans="1:249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</row>
    <row r="1238" spans="1:249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</row>
    <row r="1239" spans="1:249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</row>
    <row r="1240" spans="1:249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</row>
    <row r="1241" spans="1:249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</row>
    <row r="1242" spans="1:249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</row>
    <row r="1243" spans="1:249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</row>
    <row r="1244" spans="1:249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</row>
    <row r="1245" spans="1:249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</row>
    <row r="1246" spans="1:249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</row>
    <row r="1247" spans="1:249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</row>
    <row r="1248" spans="1:249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</row>
    <row r="1249" spans="1:249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</row>
    <row r="1250" spans="1:249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</row>
    <row r="1251" spans="1:249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</row>
    <row r="1252" spans="1:249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</row>
    <row r="1253" spans="1:249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</row>
    <row r="1254" spans="1:249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</row>
    <row r="1255" spans="1:249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</row>
    <row r="1256" spans="1:249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</row>
    <row r="1257" spans="1:249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</row>
    <row r="1258" spans="1:249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</row>
    <row r="1259" spans="1:249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</row>
    <row r="1260" spans="1:249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</row>
    <row r="1261" spans="1:249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</row>
    <row r="1262" spans="1:249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</row>
    <row r="1263" spans="1:249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</row>
    <row r="1264" spans="1:249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</row>
    <row r="1265" spans="1:249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</row>
    <row r="1266" spans="1:249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</row>
    <row r="1267" spans="1:249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</row>
    <row r="1268" spans="1:249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</row>
    <row r="1269" spans="1:249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</row>
    <row r="1270" spans="1:249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</row>
    <row r="1271" spans="1:249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</row>
    <row r="1272" spans="1:249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</row>
    <row r="1273" spans="1:249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</row>
    <row r="1274" spans="1:249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</row>
    <row r="1275" spans="1:249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</row>
    <row r="1276" spans="1:249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</row>
    <row r="1277" spans="1:249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</row>
    <row r="1278" spans="1:249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</row>
    <row r="1279" spans="1:249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</row>
    <row r="1280" spans="1:249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</row>
    <row r="1281" spans="1:249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</row>
    <row r="1282" spans="1:249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</row>
    <row r="1283" spans="1:249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</row>
    <row r="1284" spans="1:249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</row>
    <row r="1285" spans="1:249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</row>
    <row r="1286" spans="1:249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</row>
    <row r="1287" spans="1:249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</row>
    <row r="1288" spans="1:249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</row>
    <row r="1289" spans="1:249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</row>
    <row r="1290" spans="1:249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</row>
    <row r="1291" spans="1:249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</row>
    <row r="1292" spans="1:249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</row>
    <row r="1293" spans="1:249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</row>
    <row r="1294" spans="1:249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</row>
    <row r="1295" spans="1:249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</row>
    <row r="1296" spans="1:249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</row>
    <row r="1297" spans="1:249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</row>
    <row r="1298" spans="1:249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</row>
    <row r="1299" spans="1:249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</row>
    <row r="1300" spans="1:249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</row>
    <row r="1301" spans="1:249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</row>
    <row r="1302" spans="1:249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</row>
    <row r="1303" spans="1:249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</row>
    <row r="1304" spans="1:249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</row>
    <row r="1305" spans="1:249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</row>
    <row r="1306" spans="1:249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</row>
    <row r="1307" spans="1:249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</row>
    <row r="1308" spans="1:249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</row>
    <row r="1309" spans="1:249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</row>
    <row r="1310" spans="1:249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</row>
    <row r="1311" spans="1:249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</row>
    <row r="1312" spans="1:249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</row>
    <row r="1313" spans="1:249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</row>
    <row r="1314" spans="1:249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</row>
    <row r="1315" spans="1:249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</row>
    <row r="1316" spans="1:249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</row>
    <row r="1317" spans="1:249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</row>
    <row r="1318" spans="1:249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</row>
    <row r="1319" spans="1:249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</row>
    <row r="1320" spans="1:249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</row>
    <row r="1321" spans="1:249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</row>
    <row r="1322" spans="1:249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</row>
    <row r="1323" spans="1:249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</row>
    <row r="1324" spans="1:249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</row>
    <row r="1325" spans="1:249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</row>
    <row r="1326" spans="1:249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</row>
    <row r="1327" spans="1:249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</row>
    <row r="1328" spans="1:249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</row>
    <row r="1329" spans="1:249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</row>
    <row r="1330" spans="1:249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</row>
    <row r="1331" spans="1:249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</row>
    <row r="1332" spans="1:249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</row>
    <row r="1333" spans="1:249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</row>
    <row r="1334" spans="1:249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</row>
    <row r="1335" spans="1:249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</row>
    <row r="1336" spans="1:249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</row>
    <row r="1337" spans="1:249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</row>
    <row r="1338" spans="1:249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</row>
    <row r="1339" spans="1:249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</row>
    <row r="1340" spans="1:249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</row>
    <row r="1341" spans="1:249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</row>
    <row r="1342" spans="1:249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</row>
    <row r="1343" spans="1:249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</row>
    <row r="1344" spans="1:249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</row>
    <row r="1345" spans="1:249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</row>
    <row r="1346" spans="1:249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</row>
    <row r="1347" spans="1:249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</row>
    <row r="1348" spans="1:249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</row>
    <row r="1349" spans="1:249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</row>
    <row r="1350" spans="1:249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</row>
    <row r="1351" spans="1:249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</row>
    <row r="1352" spans="1:249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</row>
    <row r="1353" spans="1:249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</row>
    <row r="1354" spans="1:249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</row>
    <row r="1355" spans="1:249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</row>
    <row r="1356" spans="1:249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</row>
    <row r="1357" spans="1:249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</row>
    <row r="1358" spans="1:249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</row>
    <row r="1359" spans="1:249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</row>
    <row r="1360" spans="1:249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</row>
    <row r="1361" spans="1:249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</row>
    <row r="1362" spans="1:249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</row>
    <row r="1363" spans="1:249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</row>
    <row r="1364" spans="1:249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</row>
    <row r="1365" spans="1:249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</row>
    <row r="1366" spans="1:249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</row>
    <row r="1367" spans="1:249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</row>
    <row r="1368" spans="1:249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</row>
    <row r="1369" spans="1:249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</row>
    <row r="1370" spans="1:249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</row>
    <row r="1371" spans="1:249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</row>
    <row r="1372" spans="1:249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</row>
    <row r="1373" spans="1:249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</row>
    <row r="1374" spans="1:249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</row>
    <row r="1375" spans="1:249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</row>
    <row r="1376" spans="1:249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</row>
    <row r="1377" spans="1:249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</row>
    <row r="1378" spans="1:249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</row>
    <row r="1379" spans="1:249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</row>
    <row r="1380" spans="1:249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</row>
    <row r="1381" spans="1:249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</row>
    <row r="1382" spans="1:249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</row>
    <row r="1383" spans="1:249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</row>
    <row r="1384" spans="1:249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</row>
    <row r="1385" spans="1:249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</row>
    <row r="1386" spans="1:249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</row>
    <row r="1387" spans="1:249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</row>
    <row r="1388" spans="1:249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</row>
    <row r="1389" spans="1:249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</row>
    <row r="1390" spans="1:249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</row>
    <row r="1391" spans="1:249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</row>
    <row r="1392" spans="1:249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</row>
    <row r="1393" spans="1:249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</row>
    <row r="1394" spans="1:249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</row>
    <row r="1395" spans="1:249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</row>
    <row r="1396" spans="1:249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</row>
    <row r="1397" spans="1:249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</row>
    <row r="1398" spans="1:249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</row>
    <row r="1399" spans="1:249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</row>
    <row r="1400" spans="1:249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</row>
    <row r="1401" spans="1:249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</row>
    <row r="1402" spans="1:249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</row>
    <row r="1403" spans="1:249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</row>
    <row r="1404" spans="1:249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</row>
    <row r="1405" spans="1:249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</row>
    <row r="1406" spans="1:249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</row>
    <row r="1407" spans="1:249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</row>
    <row r="1408" spans="1:249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</row>
    <row r="1409" spans="1:249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</row>
    <row r="1410" spans="1:249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</row>
    <row r="1411" spans="1:249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</row>
    <row r="1412" spans="1:249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</row>
    <row r="1413" spans="1:249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</row>
    <row r="1414" spans="1:249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</row>
    <row r="1415" spans="1:249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</row>
    <row r="1416" spans="1:249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</row>
    <row r="1417" spans="1:249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</row>
    <row r="1418" spans="1:249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</row>
    <row r="1419" spans="1:249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</row>
    <row r="1420" spans="1:249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</row>
    <row r="1421" spans="1:249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</row>
    <row r="1422" spans="1:249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</row>
    <row r="1423" spans="1:249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</row>
    <row r="1424" spans="1:249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</row>
    <row r="1425" spans="1:249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</row>
    <row r="1426" spans="1:249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</row>
    <row r="1427" spans="1:249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</row>
    <row r="1428" spans="1:249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</row>
    <row r="1429" spans="1:249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</row>
    <row r="1430" spans="1:249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</row>
    <row r="1431" spans="1:249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</row>
    <row r="1432" spans="1:249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</row>
    <row r="1433" spans="1:249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</row>
    <row r="1434" spans="1:249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</row>
    <row r="1435" spans="1:249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</row>
    <row r="1436" spans="1:249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</row>
    <row r="1437" spans="1:249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</row>
    <row r="1438" spans="1:249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</row>
    <row r="1439" spans="1:249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</row>
    <row r="1440" spans="1:249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</row>
    <row r="1441" spans="1:249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</row>
    <row r="1442" spans="1:249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</row>
    <row r="1443" spans="1:249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</row>
    <row r="1444" spans="1:249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</row>
    <row r="1445" spans="1:249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</row>
    <row r="1446" spans="1:249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</row>
    <row r="1447" spans="1:249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</row>
    <row r="1448" spans="1:249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</row>
    <row r="1449" spans="1:249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</row>
    <row r="1450" spans="1:249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</row>
    <row r="1451" spans="1:249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</row>
    <row r="1452" spans="1:249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</row>
    <row r="1453" spans="1:249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</row>
    <row r="1454" spans="1:249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</row>
    <row r="1455" spans="1:249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</row>
    <row r="1456" spans="1:249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</row>
  </sheetData>
  <phoneticPr fontId="0" type="noConversion"/>
  <printOptions gridLinesSet="0"/>
  <pageMargins left="0.75" right="0.5" top="1.5" bottom="0.55000000000000004" header="0.5" footer="0.5"/>
  <pageSetup orientation="portrait" horizontalDpi="1200" verticalDpi="1200" r:id="rId1"/>
  <headerFooter alignWithMargins="0">
    <oddFooter>&amp;L&amp;D&amp;C&amp;A&amp;RPage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workbookViewId="0">
      <selection activeCell="S28" sqref="S28"/>
    </sheetView>
  </sheetViews>
  <sheetFormatPr defaultRowHeight="15.75" x14ac:dyDescent="0.25"/>
  <cols>
    <col min="1" max="1" width="3.109375" customWidth="1"/>
    <col min="3" max="3" width="17.77734375" customWidth="1"/>
    <col min="5" max="5" width="8.6640625" bestFit="1" customWidth="1"/>
    <col min="8" max="8" width="8.21875" customWidth="1"/>
    <col min="9" max="9" width="10.21875" customWidth="1"/>
    <col min="10" max="10" width="8.33203125" customWidth="1"/>
    <col min="11" max="11" width="11.5546875" customWidth="1"/>
    <col min="12" max="12" width="8.21875" bestFit="1" customWidth="1"/>
    <col min="13" max="13" width="8.6640625" bestFit="1" customWidth="1"/>
  </cols>
  <sheetData>
    <row r="1" spans="1:13" x14ac:dyDescent="0.25">
      <c r="A1" s="427"/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</row>
    <row r="2" spans="1:13" x14ac:dyDescent="0.25">
      <c r="A2" s="427"/>
      <c r="B2" s="554" t="s">
        <v>345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427"/>
    </row>
    <row r="3" spans="1:13" x14ac:dyDescent="0.25">
      <c r="A3" s="427"/>
      <c r="B3" s="554" t="s">
        <v>3111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427"/>
    </row>
    <row r="4" spans="1:13" x14ac:dyDescent="0.25">
      <c r="A4" s="427"/>
      <c r="B4" s="554" t="s">
        <v>3112</v>
      </c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427"/>
    </row>
    <row r="5" spans="1:13" x14ac:dyDescent="0.25">
      <c r="A5" s="427"/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</row>
    <row r="6" spans="1:13" x14ac:dyDescent="0.25">
      <c r="A6" s="427"/>
      <c r="B6" s="555">
        <v>2015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</row>
    <row r="7" spans="1:13" x14ac:dyDescent="0.25">
      <c r="A7" s="427"/>
      <c r="B7" s="427" t="s">
        <v>3113</v>
      </c>
      <c r="C7" s="427" t="s">
        <v>3114</v>
      </c>
      <c r="D7" s="427"/>
      <c r="E7" s="556" t="s">
        <v>3115</v>
      </c>
      <c r="F7" s="556" t="s">
        <v>3116</v>
      </c>
      <c r="G7" s="556" t="s">
        <v>3117</v>
      </c>
      <c r="H7" s="556" t="s">
        <v>3118</v>
      </c>
      <c r="I7" s="556" t="s">
        <v>3119</v>
      </c>
      <c r="J7" s="556" t="s">
        <v>255</v>
      </c>
      <c r="K7" s="556" t="s">
        <v>3120</v>
      </c>
      <c r="L7" s="556"/>
      <c r="M7" s="427"/>
    </row>
    <row r="8" spans="1:13" x14ac:dyDescent="0.25">
      <c r="A8" s="427"/>
      <c r="B8" s="427" t="s">
        <v>3121</v>
      </c>
      <c r="C8" s="427" t="s">
        <v>2811</v>
      </c>
      <c r="D8" s="557"/>
      <c r="E8" s="558" t="s">
        <v>3122</v>
      </c>
      <c r="F8" s="558" t="s">
        <v>3123</v>
      </c>
      <c r="G8" s="558" t="s">
        <v>3124</v>
      </c>
      <c r="H8" s="558" t="s">
        <v>82</v>
      </c>
      <c r="I8" s="558" t="s">
        <v>3125</v>
      </c>
      <c r="J8" s="558" t="s">
        <v>3126</v>
      </c>
      <c r="K8" s="558" t="s">
        <v>3127</v>
      </c>
      <c r="L8" s="558" t="s">
        <v>3128</v>
      </c>
      <c r="M8" s="427"/>
    </row>
    <row r="9" spans="1:13" x14ac:dyDescent="0.25">
      <c r="A9" s="427"/>
      <c r="B9" s="427" t="s">
        <v>3129</v>
      </c>
      <c r="C9" s="427" t="s">
        <v>3130</v>
      </c>
      <c r="D9" s="557"/>
      <c r="E9" s="559">
        <f>1.4442</f>
        <v>1.4441999999999999</v>
      </c>
      <c r="F9" s="559">
        <v>0.64810000000000001</v>
      </c>
      <c r="G9" s="559">
        <v>2.93E-2</v>
      </c>
      <c r="H9" s="559">
        <f>SUM(E9:G9)</f>
        <v>2.1215999999999999</v>
      </c>
      <c r="I9" s="559">
        <v>8.9599999999999999E-2</v>
      </c>
      <c r="J9" s="559">
        <f>+H9+I9</f>
        <v>2.2111999999999998</v>
      </c>
      <c r="K9" s="557">
        <v>0.38350000000000001</v>
      </c>
      <c r="L9" s="557">
        <f>+J9-K9</f>
        <v>1.8276999999999999</v>
      </c>
      <c r="M9" s="427"/>
    </row>
    <row r="10" spans="1:13" x14ac:dyDescent="0.25">
      <c r="A10" s="427"/>
      <c r="B10" s="427" t="s">
        <v>3131</v>
      </c>
      <c r="C10" s="427" t="s">
        <v>3132</v>
      </c>
      <c r="D10" s="557"/>
      <c r="E10" s="559">
        <v>2.2599999999999999E-2</v>
      </c>
      <c r="F10" s="559">
        <v>1.7600000000000001E-2</v>
      </c>
      <c r="G10" s="559">
        <v>5.0000000000000001E-4</v>
      </c>
      <c r="H10" s="559">
        <f>SUM(E10:G10)</f>
        <v>4.07E-2</v>
      </c>
      <c r="I10" s="559">
        <v>8.9599999999999999E-2</v>
      </c>
      <c r="J10" s="559">
        <f t="shared" ref="J10:J11" si="0">+H10+I10</f>
        <v>0.1303</v>
      </c>
      <c r="K10" s="557">
        <v>5.3850000000000002E-2</v>
      </c>
      <c r="L10" s="557">
        <f t="shared" ref="L10:L11" si="1">+J10-K10</f>
        <v>7.644999999999999E-2</v>
      </c>
      <c r="M10" s="427"/>
    </row>
    <row r="11" spans="1:13" x14ac:dyDescent="0.25">
      <c r="A11" s="427"/>
      <c r="B11" s="427" t="s">
        <v>3133</v>
      </c>
      <c r="C11" s="427" t="s">
        <v>3134</v>
      </c>
      <c r="D11" s="557"/>
      <c r="E11" s="559">
        <v>8.0299999999999996E-2</v>
      </c>
      <c r="F11" s="559">
        <v>5.1700000000000003E-2</v>
      </c>
      <c r="G11" s="559">
        <v>1.6000000000000001E-3</v>
      </c>
      <c r="H11" s="559">
        <f>SUM(E11:G11)</f>
        <v>0.1336</v>
      </c>
      <c r="I11" s="559">
        <v>8.9599999999999999E-2</v>
      </c>
      <c r="J11" s="559">
        <f t="shared" si="0"/>
        <v>0.22320000000000001</v>
      </c>
      <c r="K11" s="557">
        <v>7.145E-2</v>
      </c>
      <c r="L11" s="557">
        <f t="shared" si="1"/>
        <v>0.15175</v>
      </c>
      <c r="M11" s="427"/>
    </row>
    <row r="12" spans="1:13" x14ac:dyDescent="0.25">
      <c r="A12" s="427"/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</row>
    <row r="13" spans="1:13" x14ac:dyDescent="0.25">
      <c r="A13" s="427"/>
      <c r="B13" s="427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27"/>
    </row>
    <row r="14" spans="1:13" x14ac:dyDescent="0.25">
      <c r="A14" s="427"/>
      <c r="B14" s="555">
        <v>2016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</row>
    <row r="15" spans="1:13" x14ac:dyDescent="0.25">
      <c r="A15" s="427"/>
      <c r="B15" s="427" t="s">
        <v>3113</v>
      </c>
      <c r="C15" s="427" t="s">
        <v>3114</v>
      </c>
      <c r="D15" s="427"/>
      <c r="E15" s="556" t="s">
        <v>3115</v>
      </c>
      <c r="F15" s="556" t="s">
        <v>3116</v>
      </c>
      <c r="G15" s="556" t="s">
        <v>3117</v>
      </c>
      <c r="H15" s="556" t="s">
        <v>3118</v>
      </c>
      <c r="I15" s="556" t="s">
        <v>3119</v>
      </c>
      <c r="J15" s="556" t="s">
        <v>255</v>
      </c>
      <c r="K15" s="556" t="s">
        <v>3120</v>
      </c>
      <c r="L15" s="556"/>
      <c r="M15" s="427"/>
    </row>
    <row r="16" spans="1:13" x14ac:dyDescent="0.25">
      <c r="A16" s="427"/>
      <c r="B16" s="427" t="s">
        <v>3121</v>
      </c>
      <c r="C16" s="427" t="s">
        <v>2811</v>
      </c>
      <c r="D16" s="557"/>
      <c r="E16" s="558" t="s">
        <v>3122</v>
      </c>
      <c r="F16" s="558" t="s">
        <v>3123</v>
      </c>
      <c r="G16" s="558" t="s">
        <v>3124</v>
      </c>
      <c r="H16" s="558" t="s">
        <v>82</v>
      </c>
      <c r="I16" s="558" t="s">
        <v>3125</v>
      </c>
      <c r="J16" s="558" t="s">
        <v>3126</v>
      </c>
      <c r="K16" s="558" t="s">
        <v>3127</v>
      </c>
      <c r="L16" s="558" t="s">
        <v>3128</v>
      </c>
      <c r="M16" s="557"/>
    </row>
    <row r="17" spans="1:13" x14ac:dyDescent="0.25">
      <c r="A17" s="427"/>
      <c r="B17" s="427" t="s">
        <v>3129</v>
      </c>
      <c r="C17" s="427" t="s">
        <v>3130</v>
      </c>
      <c r="D17" s="557"/>
      <c r="E17" s="559">
        <v>1.6060000000000001</v>
      </c>
      <c r="F17" s="559">
        <v>0.6865</v>
      </c>
      <c r="G17" s="559">
        <v>2.3900000000000001E-2</v>
      </c>
      <c r="H17" s="559">
        <f>SUM(E17:G17)</f>
        <v>2.3163999999999998</v>
      </c>
      <c r="I17" s="559">
        <v>9.5200000000000007E-2</v>
      </c>
      <c r="J17" s="559">
        <f t="shared" ref="J17:J19" si="2">+H17+I17</f>
        <v>2.4116</v>
      </c>
      <c r="K17" s="557">
        <v>0.40279999999999999</v>
      </c>
      <c r="L17" s="557">
        <f>+J17-K17</f>
        <v>2.0087999999999999</v>
      </c>
      <c r="M17" s="557"/>
    </row>
    <row r="18" spans="1:13" x14ac:dyDescent="0.25">
      <c r="A18" s="427"/>
      <c r="B18" s="427" t="s">
        <v>3131</v>
      </c>
      <c r="C18" s="427" t="s">
        <v>3132</v>
      </c>
      <c r="D18" s="557"/>
      <c r="E18" s="559">
        <v>2.3300000000000001E-2</v>
      </c>
      <c r="F18" s="559">
        <v>1.7600000000000001E-2</v>
      </c>
      <c r="G18" s="559">
        <v>2.9999999999999997E-4</v>
      </c>
      <c r="H18" s="559">
        <f>SUM(E18:G18)</f>
        <v>4.1200000000000007E-2</v>
      </c>
      <c r="I18" s="559">
        <v>9.5200000000000007E-2</v>
      </c>
      <c r="J18" s="559">
        <f t="shared" si="2"/>
        <v>0.13640000000000002</v>
      </c>
      <c r="K18" s="557">
        <v>5.6550000000000003E-2</v>
      </c>
      <c r="L18" s="557">
        <f t="shared" ref="L18:L19" si="3">+J18-K18</f>
        <v>7.9850000000000018E-2</v>
      </c>
      <c r="M18" s="557"/>
    </row>
    <row r="19" spans="1:13" x14ac:dyDescent="0.25">
      <c r="A19" s="427"/>
      <c r="B19" s="427" t="s">
        <v>3133</v>
      </c>
      <c r="C19" s="427" t="s">
        <v>3134</v>
      </c>
      <c r="D19" s="557"/>
      <c r="E19" s="559">
        <v>8.3099999999999993E-2</v>
      </c>
      <c r="F19" s="559">
        <v>4.9099999999999998E-2</v>
      </c>
      <c r="G19" s="559">
        <v>1.1999999999999999E-3</v>
      </c>
      <c r="H19" s="559">
        <f>SUM(E19:G19)</f>
        <v>0.13339999999999999</v>
      </c>
      <c r="I19" s="559">
        <v>9.5200000000000007E-2</v>
      </c>
      <c r="J19" s="559">
        <f t="shared" si="2"/>
        <v>0.2286</v>
      </c>
      <c r="K19" s="557">
        <v>7.2749999999999995E-2</v>
      </c>
      <c r="L19" s="557">
        <f t="shared" si="3"/>
        <v>0.15584999999999999</v>
      </c>
      <c r="M19" s="557"/>
    </row>
    <row r="20" spans="1:13" x14ac:dyDescent="0.25">
      <c r="A20" s="427"/>
      <c r="B20" s="427"/>
      <c r="C20" s="427"/>
      <c r="D20" s="557"/>
      <c r="E20" s="557"/>
      <c r="F20" s="557"/>
      <c r="G20" s="557"/>
      <c r="H20" s="557"/>
      <c r="I20" s="557"/>
      <c r="J20" s="557"/>
      <c r="K20" s="557"/>
      <c r="L20" s="557"/>
      <c r="M20" s="557"/>
    </row>
    <row r="21" spans="1:13" x14ac:dyDescent="0.25">
      <c r="A21" s="427"/>
      <c r="B21" s="427"/>
      <c r="C21" s="427"/>
      <c r="D21" s="557"/>
      <c r="E21" s="557"/>
      <c r="F21" s="557"/>
      <c r="G21" s="557"/>
      <c r="H21" s="557"/>
      <c r="I21" s="557"/>
      <c r="J21" s="557"/>
      <c r="K21" s="557"/>
      <c r="L21" s="557"/>
      <c r="M21" s="557"/>
    </row>
    <row r="22" spans="1:13" x14ac:dyDescent="0.25">
      <c r="A22" s="427"/>
      <c r="B22" s="555">
        <v>2017</v>
      </c>
      <c r="C22" s="427"/>
      <c r="D22" s="557"/>
      <c r="E22" s="557"/>
      <c r="F22" s="557"/>
      <c r="G22" s="557"/>
      <c r="H22" s="557"/>
      <c r="I22" s="557"/>
      <c r="J22" s="557"/>
      <c r="K22" s="557"/>
      <c r="L22" s="557"/>
      <c r="M22" s="557"/>
    </row>
    <row r="23" spans="1:13" x14ac:dyDescent="0.25">
      <c r="A23" s="427"/>
      <c r="B23" s="427" t="s">
        <v>3113</v>
      </c>
      <c r="C23" s="427" t="s">
        <v>3114</v>
      </c>
      <c r="D23" s="427"/>
      <c r="E23" s="556" t="s">
        <v>3115</v>
      </c>
      <c r="F23" s="556" t="s">
        <v>3116</v>
      </c>
      <c r="G23" s="556" t="s">
        <v>3117</v>
      </c>
      <c r="H23" s="556" t="s">
        <v>3118</v>
      </c>
      <c r="I23" s="556" t="s">
        <v>3119</v>
      </c>
      <c r="J23" s="556" t="s">
        <v>255</v>
      </c>
      <c r="K23" s="556" t="s">
        <v>3120</v>
      </c>
      <c r="L23" s="558"/>
      <c r="M23" s="557"/>
    </row>
    <row r="24" spans="1:13" x14ac:dyDescent="0.25">
      <c r="A24" s="427"/>
      <c r="B24" s="427" t="s">
        <v>3121</v>
      </c>
      <c r="C24" s="427" t="s">
        <v>2811</v>
      </c>
      <c r="D24" s="557"/>
      <c r="E24" s="558" t="s">
        <v>3122</v>
      </c>
      <c r="F24" s="558" t="s">
        <v>3123</v>
      </c>
      <c r="G24" s="558" t="s">
        <v>3124</v>
      </c>
      <c r="H24" s="558" t="s">
        <v>82</v>
      </c>
      <c r="I24" s="558" t="s">
        <v>3125</v>
      </c>
      <c r="J24" s="558" t="s">
        <v>3126</v>
      </c>
      <c r="K24" s="558" t="s">
        <v>3127</v>
      </c>
      <c r="L24" s="558" t="s">
        <v>3128</v>
      </c>
      <c r="M24" s="557"/>
    </row>
    <row r="25" spans="1:13" x14ac:dyDescent="0.25">
      <c r="A25" s="427"/>
      <c r="B25" s="427" t="s">
        <v>3129</v>
      </c>
      <c r="C25" s="427" t="s">
        <v>3130</v>
      </c>
      <c r="D25" s="557"/>
      <c r="E25" s="559">
        <v>1.7986</v>
      </c>
      <c r="F25" s="559">
        <v>0.74690000000000001</v>
      </c>
      <c r="G25" s="559">
        <v>2.23E-2</v>
      </c>
      <c r="H25" s="559">
        <f>SUM(E25:G25)</f>
        <v>2.5678000000000001</v>
      </c>
      <c r="I25" s="559">
        <v>9.6000000000000002E-2</v>
      </c>
      <c r="J25" s="559">
        <f t="shared" ref="J25:J27" si="4">+H25+I25</f>
        <v>2.6638000000000002</v>
      </c>
      <c r="K25" s="557">
        <v>0.43259999999999998</v>
      </c>
      <c r="L25" s="557">
        <f t="shared" ref="L25:L27" si="5">+J25-K25</f>
        <v>2.2312000000000003</v>
      </c>
      <c r="M25" s="557"/>
    </row>
    <row r="26" spans="1:13" x14ac:dyDescent="0.25">
      <c r="A26" s="427"/>
      <c r="B26" s="427" t="s">
        <v>3131</v>
      </c>
      <c r="C26" s="427" t="s">
        <v>3132</v>
      </c>
      <c r="D26" s="557"/>
      <c r="E26" s="559">
        <v>2.47E-2</v>
      </c>
      <c r="F26" s="559">
        <v>1.8200000000000001E-2</v>
      </c>
      <c r="G26" s="559">
        <v>2.9999999999999997E-4</v>
      </c>
      <c r="H26" s="559">
        <f>SUM(E26:G26)</f>
        <v>4.3200000000000002E-2</v>
      </c>
      <c r="I26" s="559">
        <v>9.6000000000000002E-2</v>
      </c>
      <c r="J26" s="559">
        <f t="shared" si="4"/>
        <v>0.13919999999999999</v>
      </c>
      <c r="K26" s="557">
        <v>5.7250000000000002E-2</v>
      </c>
      <c r="L26" s="557">
        <f t="shared" si="5"/>
        <v>8.1949999999999995E-2</v>
      </c>
      <c r="M26" s="557"/>
    </row>
    <row r="27" spans="1:13" x14ac:dyDescent="0.25">
      <c r="A27" s="427"/>
      <c r="B27" s="427" t="s">
        <v>3133</v>
      </c>
      <c r="C27" s="427" t="s">
        <v>3134</v>
      </c>
      <c r="D27" s="557"/>
      <c r="E27" s="559">
        <v>8.72E-2</v>
      </c>
      <c r="F27" s="559">
        <v>4.9299999999999997E-2</v>
      </c>
      <c r="G27" s="559">
        <v>1.1000000000000001E-3</v>
      </c>
      <c r="H27" s="559">
        <f>SUM(E27:G27)</f>
        <v>0.1376</v>
      </c>
      <c r="I27" s="559">
        <v>9.6000000000000002E-2</v>
      </c>
      <c r="J27" s="559">
        <f t="shared" si="4"/>
        <v>0.2336</v>
      </c>
      <c r="K27" s="557">
        <v>7.3200000000000001E-2</v>
      </c>
      <c r="L27" s="557">
        <f t="shared" si="5"/>
        <v>0.16039999999999999</v>
      </c>
      <c r="M27" s="557"/>
    </row>
    <row r="28" spans="1:13" x14ac:dyDescent="0.25">
      <c r="A28" s="427"/>
      <c r="B28" s="427"/>
      <c r="C28" s="427"/>
      <c r="D28" s="557"/>
      <c r="E28" s="557"/>
      <c r="F28" s="557"/>
      <c r="G28" s="557"/>
      <c r="H28" s="557"/>
      <c r="I28" s="557"/>
      <c r="J28" s="557"/>
      <c r="K28" s="557"/>
      <c r="L28" s="557"/>
      <c r="M28" s="557"/>
    </row>
    <row r="29" spans="1:13" x14ac:dyDescent="0.25">
      <c r="A29" s="427"/>
      <c r="B29" s="427" t="s">
        <v>3135</v>
      </c>
      <c r="C29" s="427"/>
      <c r="D29" s="557"/>
      <c r="E29" s="557"/>
      <c r="F29" s="557"/>
      <c r="G29" s="557"/>
      <c r="H29" s="557"/>
      <c r="I29" s="557"/>
      <c r="J29" s="557"/>
      <c r="K29" s="557"/>
      <c r="L29" s="557" t="s">
        <v>3136</v>
      </c>
      <c r="M29" s="557" t="s">
        <v>3137</v>
      </c>
    </row>
    <row r="30" spans="1:13" x14ac:dyDescent="0.25">
      <c r="A30" s="427"/>
      <c r="B30" s="427" t="s">
        <v>3129</v>
      </c>
      <c r="C30" s="427" t="s">
        <v>3130</v>
      </c>
      <c r="D30" s="557"/>
      <c r="E30" s="557"/>
      <c r="F30" s="557"/>
      <c r="G30" s="557"/>
      <c r="H30" s="557"/>
      <c r="I30" s="557"/>
      <c r="J30" s="557"/>
      <c r="K30" s="557"/>
      <c r="L30" s="557">
        <f>+L17-L9</f>
        <v>0.18110000000000004</v>
      </c>
      <c r="M30" s="560">
        <f>+L17/L9-1</f>
        <v>9.9086283306888401E-2</v>
      </c>
    </row>
    <row r="31" spans="1:13" x14ac:dyDescent="0.25">
      <c r="A31" s="427"/>
      <c r="B31" s="427" t="s">
        <v>3131</v>
      </c>
      <c r="C31" s="427" t="s">
        <v>3132</v>
      </c>
      <c r="D31" s="557"/>
      <c r="E31" s="557"/>
      <c r="F31" s="557"/>
      <c r="G31" s="557"/>
      <c r="H31" s="557"/>
      <c r="I31" s="557"/>
      <c r="J31" s="557"/>
      <c r="K31" s="557"/>
      <c r="L31" s="557">
        <f t="shared" ref="L31:L32" si="6">+L18-L10</f>
        <v>3.400000000000028E-3</v>
      </c>
      <c r="M31" s="560">
        <f>+L18/L10-1</f>
        <v>4.4473512099411749E-2</v>
      </c>
    </row>
    <row r="32" spans="1:13" x14ac:dyDescent="0.25">
      <c r="A32" s="427"/>
      <c r="B32" s="427" t="s">
        <v>3133</v>
      </c>
      <c r="C32" s="427" t="s">
        <v>3134</v>
      </c>
      <c r="D32" s="557"/>
      <c r="E32" s="557"/>
      <c r="F32" s="557"/>
      <c r="G32" s="557"/>
      <c r="H32" s="557"/>
      <c r="I32" s="557"/>
      <c r="J32" s="557"/>
      <c r="K32" s="557"/>
      <c r="L32" s="557">
        <f t="shared" si="6"/>
        <v>4.0999999999999925E-3</v>
      </c>
      <c r="M32" s="560"/>
    </row>
    <row r="33" spans="1:13" x14ac:dyDescent="0.25">
      <c r="A33" s="427"/>
      <c r="B33" s="427"/>
      <c r="C33" s="427"/>
      <c r="D33" s="557"/>
      <c r="E33" s="557"/>
      <c r="F33" s="557"/>
      <c r="G33" s="557"/>
      <c r="H33" s="557"/>
      <c r="I33" s="557"/>
      <c r="J33" s="557"/>
      <c r="K33" s="557"/>
      <c r="L33" s="557"/>
      <c r="M33" s="560"/>
    </row>
    <row r="34" spans="1:13" x14ac:dyDescent="0.25">
      <c r="A34" s="427"/>
      <c r="B34" s="427"/>
      <c r="C34" s="427"/>
      <c r="D34" s="557"/>
      <c r="E34" s="557"/>
      <c r="F34" s="557"/>
      <c r="G34" s="557"/>
      <c r="H34" s="557"/>
      <c r="I34" s="557"/>
      <c r="J34" s="557"/>
      <c r="K34" s="557"/>
      <c r="L34" s="557"/>
      <c r="M34" s="560"/>
    </row>
    <row r="35" spans="1:13" x14ac:dyDescent="0.25">
      <c r="A35" s="427"/>
      <c r="B35" s="427" t="s">
        <v>3138</v>
      </c>
      <c r="C35" s="427"/>
      <c r="D35" s="557"/>
      <c r="E35" s="557"/>
      <c r="F35" s="557"/>
      <c r="G35" s="557"/>
      <c r="H35" s="557"/>
      <c r="I35" s="557"/>
      <c r="J35" s="557"/>
      <c r="K35" s="557"/>
      <c r="L35" s="557"/>
      <c r="M35" s="560"/>
    </row>
    <row r="36" spans="1:13" x14ac:dyDescent="0.25">
      <c r="A36" s="427"/>
      <c r="B36" s="427" t="s">
        <v>3129</v>
      </c>
      <c r="C36" s="427" t="s">
        <v>3130</v>
      </c>
      <c r="D36" s="557"/>
      <c r="E36" s="557"/>
      <c r="F36" s="557"/>
      <c r="G36" s="557"/>
      <c r="H36" s="557"/>
      <c r="I36" s="557"/>
      <c r="J36" s="557"/>
      <c r="K36" s="557"/>
      <c r="L36" s="557">
        <f>+L25-L17</f>
        <v>0.22240000000000038</v>
      </c>
      <c r="M36" s="560">
        <f>+L25/L17-1</f>
        <v>0.1107128634010357</v>
      </c>
    </row>
    <row r="37" spans="1:13" x14ac:dyDescent="0.25">
      <c r="A37" s="427"/>
      <c r="B37" s="427" t="s">
        <v>3131</v>
      </c>
      <c r="C37" s="427" t="s">
        <v>3132</v>
      </c>
      <c r="D37" s="557"/>
      <c r="E37" s="557"/>
      <c r="F37" s="557"/>
      <c r="G37" s="557"/>
      <c r="H37" s="557"/>
      <c r="I37" s="557"/>
      <c r="J37" s="557"/>
      <c r="K37" s="557"/>
      <c r="L37" s="557">
        <f t="shared" ref="L37:L38" si="7">+L26-L18</f>
        <v>2.0999999999999769E-3</v>
      </c>
      <c r="M37" s="560">
        <f>+L26/L18-1</f>
        <v>2.6299311208515697E-2</v>
      </c>
    </row>
    <row r="38" spans="1:13" x14ac:dyDescent="0.25">
      <c r="A38" s="427"/>
      <c r="B38" s="427" t="s">
        <v>3133</v>
      </c>
      <c r="C38" s="427" t="s">
        <v>3134</v>
      </c>
      <c r="D38" s="557"/>
      <c r="E38" s="557"/>
      <c r="F38" s="557"/>
      <c r="G38" s="557"/>
      <c r="H38" s="557"/>
      <c r="I38" s="557"/>
      <c r="J38" s="557"/>
      <c r="K38" s="557"/>
      <c r="L38" s="557">
        <f t="shared" si="7"/>
        <v>4.5499999999999985E-3</v>
      </c>
      <c r="M38" s="560"/>
    </row>
    <row r="39" spans="1:13" x14ac:dyDescent="0.25">
      <c r="A39" s="427"/>
      <c r="B39" s="427"/>
      <c r="C39" s="427"/>
      <c r="D39" s="557"/>
      <c r="E39" s="557"/>
      <c r="F39" s="557"/>
      <c r="G39" s="557"/>
      <c r="H39" s="557"/>
      <c r="I39" s="557"/>
      <c r="J39" s="557"/>
      <c r="K39" s="557"/>
      <c r="L39" s="557"/>
      <c r="M39" s="557"/>
    </row>
    <row r="40" spans="1:13" x14ac:dyDescent="0.25">
      <c r="A40" s="427"/>
      <c r="B40" s="427" t="s">
        <v>3133</v>
      </c>
      <c r="C40" s="427" t="s">
        <v>3134</v>
      </c>
      <c r="D40" s="557"/>
      <c r="E40" s="557" t="s">
        <v>3139</v>
      </c>
      <c r="F40" s="557"/>
      <c r="G40" s="557"/>
      <c r="H40" s="557"/>
      <c r="I40" s="557"/>
      <c r="J40" s="557"/>
      <c r="K40" s="557"/>
      <c r="L40" s="557"/>
      <c r="M40" s="557"/>
    </row>
    <row r="41" spans="1:13" x14ac:dyDescent="0.25">
      <c r="A41" s="427"/>
      <c r="B41" s="427"/>
      <c r="C41" s="427"/>
      <c r="D41" s="557"/>
      <c r="E41" s="557"/>
      <c r="F41" s="557"/>
      <c r="G41" s="557"/>
      <c r="H41" s="557"/>
      <c r="I41" s="557"/>
      <c r="J41" s="557"/>
      <c r="K41" s="557"/>
      <c r="L41" s="557"/>
      <c r="M41" s="557"/>
    </row>
    <row r="42" spans="1:13" x14ac:dyDescent="0.25">
      <c r="A42" s="427"/>
      <c r="B42" s="427"/>
      <c r="C42" s="427"/>
      <c r="D42" s="557"/>
      <c r="E42" s="557"/>
      <c r="F42" s="557"/>
      <c r="G42" s="557"/>
      <c r="H42" s="557"/>
      <c r="I42" s="557"/>
      <c r="J42" s="557"/>
      <c r="K42" s="557"/>
      <c r="L42" s="557"/>
      <c r="M42" s="557"/>
    </row>
  </sheetData>
  <pageMargins left="0.25" right="0.25" top="0.75" bottom="0.75" header="0.3" footer="0.3"/>
  <pageSetup scale="84" orientation="landscape" r:id="rId1"/>
  <headerFooter>
    <oddFooter>&amp;L&amp;D&amp;C&amp;A&amp;RPage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6"/>
  <sheetViews>
    <sheetView workbookViewId="0">
      <selection activeCell="D33" sqref="D33"/>
    </sheetView>
  </sheetViews>
  <sheetFormatPr defaultRowHeight="15.75" x14ac:dyDescent="0.25"/>
  <cols>
    <col min="6" max="6" width="12.6640625" customWidth="1"/>
    <col min="9" max="9" width="17.33203125" customWidth="1"/>
    <col min="10" max="10" width="7" customWidth="1"/>
    <col min="11" max="11" width="6.77734375" customWidth="1"/>
    <col min="12" max="12" width="7.44140625" customWidth="1"/>
    <col min="14" max="14" width="9.33203125" bestFit="1" customWidth="1"/>
    <col min="15" max="15" width="9" bestFit="1" customWidth="1"/>
    <col min="16" max="16" width="13.109375" customWidth="1"/>
  </cols>
  <sheetData>
    <row r="1" spans="1:17" ht="18.75" x14ac:dyDescent="0.3">
      <c r="A1" s="581" t="s">
        <v>405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</row>
    <row r="2" spans="1:17" ht="18.75" x14ac:dyDescent="0.3">
      <c r="A2" s="581" t="s">
        <v>3140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</row>
    <row r="3" spans="1:17" x14ac:dyDescent="0.25">
      <c r="A3" s="562"/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</row>
    <row r="4" spans="1:17" x14ac:dyDescent="0.25">
      <c r="A4" s="562" t="s">
        <v>646</v>
      </c>
      <c r="B4" s="562" t="s">
        <v>265</v>
      </c>
      <c r="C4" s="562" t="s">
        <v>1343</v>
      </c>
      <c r="D4" s="562" t="s">
        <v>1361</v>
      </c>
      <c r="E4" s="562" t="s">
        <v>1284</v>
      </c>
      <c r="F4" s="562" t="s">
        <v>2070</v>
      </c>
      <c r="G4" s="562" t="s">
        <v>1362</v>
      </c>
      <c r="H4" s="562" t="s">
        <v>1975</v>
      </c>
      <c r="I4" s="562" t="s">
        <v>2071</v>
      </c>
      <c r="J4" s="562">
        <v>54</v>
      </c>
      <c r="K4" s="562">
        <v>54</v>
      </c>
      <c r="L4" s="563" t="s">
        <v>646</v>
      </c>
      <c r="M4" s="563" t="s">
        <v>933</v>
      </c>
      <c r="N4" s="564">
        <v>547.70000000000005</v>
      </c>
      <c r="O4" s="564">
        <v>5641.3</v>
      </c>
      <c r="P4" s="562" t="s">
        <v>1363</v>
      </c>
      <c r="Q4" s="562" t="s">
        <v>84</v>
      </c>
    </row>
    <row r="5" spans="1:17" x14ac:dyDescent="0.25">
      <c r="A5" s="562" t="s">
        <v>646</v>
      </c>
      <c r="B5" s="562" t="s">
        <v>265</v>
      </c>
      <c r="C5" s="562" t="s">
        <v>1343</v>
      </c>
      <c r="D5" s="562" t="s">
        <v>1361</v>
      </c>
      <c r="E5" s="562" t="s">
        <v>1284</v>
      </c>
      <c r="F5" s="562" t="s">
        <v>2070</v>
      </c>
      <c r="G5" s="562" t="s">
        <v>1362</v>
      </c>
      <c r="H5" s="562" t="s">
        <v>1975</v>
      </c>
      <c r="I5" s="562" t="s">
        <v>2071</v>
      </c>
      <c r="J5" s="562">
        <v>54</v>
      </c>
      <c r="K5" s="562">
        <v>54</v>
      </c>
      <c r="L5" s="563" t="s">
        <v>650</v>
      </c>
      <c r="M5" s="563" t="s">
        <v>933</v>
      </c>
      <c r="N5" s="564">
        <v>542.67999999999995</v>
      </c>
      <c r="O5" s="564">
        <v>6183.98</v>
      </c>
      <c r="P5" s="562" t="s">
        <v>1363</v>
      </c>
      <c r="Q5" s="562" t="s">
        <v>85</v>
      </c>
    </row>
    <row r="6" spans="1:17" x14ac:dyDescent="0.25">
      <c r="A6" s="562" t="s">
        <v>646</v>
      </c>
      <c r="B6" s="562" t="s">
        <v>265</v>
      </c>
      <c r="C6" s="562" t="s">
        <v>1343</v>
      </c>
      <c r="D6" s="562" t="s">
        <v>1361</v>
      </c>
      <c r="E6" s="562" t="s">
        <v>1284</v>
      </c>
      <c r="F6" s="562" t="s">
        <v>2070</v>
      </c>
      <c r="G6" s="562" t="s">
        <v>1362</v>
      </c>
      <c r="H6" s="562" t="s">
        <v>1975</v>
      </c>
      <c r="I6" s="562" t="s">
        <v>2071</v>
      </c>
      <c r="J6" s="562">
        <v>54</v>
      </c>
      <c r="K6" s="562">
        <v>54</v>
      </c>
      <c r="L6" s="563" t="s">
        <v>652</v>
      </c>
      <c r="M6" s="563" t="s">
        <v>933</v>
      </c>
      <c r="N6" s="564">
        <v>520.70000000000005</v>
      </c>
      <c r="O6" s="564">
        <v>6704.68</v>
      </c>
      <c r="P6" s="562" t="s">
        <v>1363</v>
      </c>
      <c r="Q6" s="562" t="s">
        <v>86</v>
      </c>
    </row>
    <row r="7" spans="1:17" x14ac:dyDescent="0.25">
      <c r="A7" s="562" t="s">
        <v>646</v>
      </c>
      <c r="B7" s="562" t="s">
        <v>265</v>
      </c>
      <c r="C7" s="562" t="s">
        <v>1343</v>
      </c>
      <c r="D7" s="562" t="s">
        <v>1361</v>
      </c>
      <c r="E7" s="562" t="s">
        <v>1284</v>
      </c>
      <c r="F7" s="562" t="s">
        <v>2070</v>
      </c>
      <c r="G7" s="562" t="s">
        <v>1362</v>
      </c>
      <c r="H7" s="562" t="s">
        <v>1975</v>
      </c>
      <c r="I7" s="562" t="s">
        <v>2071</v>
      </c>
      <c r="J7" s="562">
        <v>54</v>
      </c>
      <c r="K7" s="562">
        <v>54</v>
      </c>
      <c r="L7" s="563" t="s">
        <v>789</v>
      </c>
      <c r="M7" s="563" t="s">
        <v>929</v>
      </c>
      <c r="N7" s="564">
        <v>939.09</v>
      </c>
      <c r="O7" s="564">
        <v>939.09</v>
      </c>
      <c r="P7" s="562" t="s">
        <v>1363</v>
      </c>
      <c r="Q7" s="562" t="s">
        <v>87</v>
      </c>
    </row>
    <row r="8" spans="1:17" x14ac:dyDescent="0.25">
      <c r="A8" s="562" t="s">
        <v>646</v>
      </c>
      <c r="B8" s="562" t="s">
        <v>265</v>
      </c>
      <c r="C8" s="562" t="s">
        <v>1343</v>
      </c>
      <c r="D8" s="562" t="s">
        <v>1361</v>
      </c>
      <c r="E8" s="562" t="s">
        <v>1284</v>
      </c>
      <c r="F8" s="562" t="s">
        <v>2070</v>
      </c>
      <c r="G8" s="562" t="s">
        <v>1362</v>
      </c>
      <c r="H8" s="562" t="s">
        <v>1975</v>
      </c>
      <c r="I8" s="562" t="s">
        <v>2071</v>
      </c>
      <c r="J8" s="562">
        <v>54</v>
      </c>
      <c r="K8" s="562">
        <v>54</v>
      </c>
      <c r="L8" s="563" t="s">
        <v>791</v>
      </c>
      <c r="M8" s="563" t="s">
        <v>929</v>
      </c>
      <c r="N8" s="564">
        <v>1168.4000000000001</v>
      </c>
      <c r="O8" s="564">
        <v>2107.4899999999998</v>
      </c>
      <c r="P8" s="562" t="s">
        <v>1363</v>
      </c>
      <c r="Q8" s="562" t="s">
        <v>88</v>
      </c>
    </row>
    <row r="9" spans="1:17" x14ac:dyDescent="0.25">
      <c r="A9" s="562" t="s">
        <v>646</v>
      </c>
      <c r="B9" s="562" t="s">
        <v>265</v>
      </c>
      <c r="C9" s="562" t="s">
        <v>1343</v>
      </c>
      <c r="D9" s="562" t="s">
        <v>1361</v>
      </c>
      <c r="E9" s="562" t="s">
        <v>1284</v>
      </c>
      <c r="F9" s="562" t="s">
        <v>2070</v>
      </c>
      <c r="G9" s="562" t="s">
        <v>1362</v>
      </c>
      <c r="H9" s="562" t="s">
        <v>1975</v>
      </c>
      <c r="I9" s="562" t="s">
        <v>2071</v>
      </c>
      <c r="J9" s="562">
        <v>54</v>
      </c>
      <c r="K9" s="562">
        <v>54</v>
      </c>
      <c r="L9" s="563" t="s">
        <v>935</v>
      </c>
      <c r="M9" s="563" t="s">
        <v>929</v>
      </c>
      <c r="N9" s="564">
        <v>1084.6300000000001</v>
      </c>
      <c r="O9" s="564">
        <v>3192.12</v>
      </c>
      <c r="P9" s="562" t="s">
        <v>1363</v>
      </c>
      <c r="Q9" s="562" t="s">
        <v>89</v>
      </c>
    </row>
    <row r="10" spans="1:17" x14ac:dyDescent="0.25">
      <c r="A10" s="562" t="s">
        <v>646</v>
      </c>
      <c r="B10" s="562" t="s">
        <v>265</v>
      </c>
      <c r="C10" s="562" t="s">
        <v>1343</v>
      </c>
      <c r="D10" s="562" t="s">
        <v>1361</v>
      </c>
      <c r="E10" s="562" t="s">
        <v>1284</v>
      </c>
      <c r="F10" s="562" t="s">
        <v>2070</v>
      </c>
      <c r="G10" s="562" t="s">
        <v>1362</v>
      </c>
      <c r="H10" s="562" t="s">
        <v>1975</v>
      </c>
      <c r="I10" s="562" t="s">
        <v>2071</v>
      </c>
      <c r="J10" s="562">
        <v>54</v>
      </c>
      <c r="K10" s="562">
        <v>54</v>
      </c>
      <c r="L10" s="563" t="s">
        <v>936</v>
      </c>
      <c r="M10" s="563" t="s">
        <v>929</v>
      </c>
      <c r="N10" s="564">
        <v>1604.18</v>
      </c>
      <c r="O10" s="564">
        <v>4796.3</v>
      </c>
      <c r="P10" s="562" t="s">
        <v>1363</v>
      </c>
      <c r="Q10" s="562" t="s">
        <v>90</v>
      </c>
    </row>
    <row r="11" spans="1:17" x14ac:dyDescent="0.25">
      <c r="A11" s="562" t="s">
        <v>646</v>
      </c>
      <c r="B11" s="562" t="s">
        <v>265</v>
      </c>
      <c r="C11" s="562" t="s">
        <v>1343</v>
      </c>
      <c r="D11" s="562" t="s">
        <v>1361</v>
      </c>
      <c r="E11" s="562" t="s">
        <v>1284</v>
      </c>
      <c r="F11" s="562" t="s">
        <v>2070</v>
      </c>
      <c r="G11" s="562" t="s">
        <v>1362</v>
      </c>
      <c r="H11" s="562" t="s">
        <v>1975</v>
      </c>
      <c r="I11" s="562" t="s">
        <v>2071</v>
      </c>
      <c r="J11" s="562">
        <v>54</v>
      </c>
      <c r="K11" s="562">
        <v>54</v>
      </c>
      <c r="L11" s="563" t="s">
        <v>937</v>
      </c>
      <c r="M11" s="563" t="s">
        <v>929</v>
      </c>
      <c r="N11" s="564">
        <v>914.17</v>
      </c>
      <c r="O11" s="564">
        <v>5710.47</v>
      </c>
      <c r="P11" s="562" t="s">
        <v>1363</v>
      </c>
      <c r="Q11" s="562" t="s">
        <v>91</v>
      </c>
    </row>
    <row r="12" spans="1:17" x14ac:dyDescent="0.25">
      <c r="A12" s="562" t="s">
        <v>646</v>
      </c>
      <c r="B12" s="562" t="s">
        <v>265</v>
      </c>
      <c r="C12" s="562" t="s">
        <v>1343</v>
      </c>
      <c r="D12" s="562" t="s">
        <v>1361</v>
      </c>
      <c r="E12" s="562" t="s">
        <v>1284</v>
      </c>
      <c r="F12" s="562" t="s">
        <v>2070</v>
      </c>
      <c r="G12" s="562" t="s">
        <v>1362</v>
      </c>
      <c r="H12" s="562" t="s">
        <v>1975</v>
      </c>
      <c r="I12" s="562" t="s">
        <v>2071</v>
      </c>
      <c r="J12" s="562">
        <v>54</v>
      </c>
      <c r="K12" s="562">
        <v>54</v>
      </c>
      <c r="L12" s="563" t="s">
        <v>938</v>
      </c>
      <c r="M12" s="563" t="s">
        <v>929</v>
      </c>
      <c r="N12" s="564">
        <v>373.24</v>
      </c>
      <c r="O12" s="564">
        <v>6083.71</v>
      </c>
      <c r="P12" s="562" t="s">
        <v>1363</v>
      </c>
      <c r="Q12" s="562" t="s">
        <v>92</v>
      </c>
    </row>
    <row r="13" spans="1:17" x14ac:dyDescent="0.25">
      <c r="A13" s="562" t="s">
        <v>646</v>
      </c>
      <c r="B13" s="562" t="s">
        <v>265</v>
      </c>
      <c r="C13" s="562" t="s">
        <v>1343</v>
      </c>
      <c r="D13" s="562" t="s">
        <v>1361</v>
      </c>
      <c r="E13" s="562" t="s">
        <v>1284</v>
      </c>
      <c r="F13" s="562" t="s">
        <v>2070</v>
      </c>
      <c r="G13" s="562" t="s">
        <v>1362</v>
      </c>
      <c r="H13" s="562" t="s">
        <v>1975</v>
      </c>
      <c r="I13" s="562" t="s">
        <v>2071</v>
      </c>
      <c r="J13" s="562">
        <v>54</v>
      </c>
      <c r="K13" s="562">
        <v>54</v>
      </c>
      <c r="L13" s="563" t="s">
        <v>939</v>
      </c>
      <c r="M13" s="563" t="s">
        <v>929</v>
      </c>
      <c r="N13" s="564">
        <v>598.28</v>
      </c>
      <c r="O13" s="564">
        <v>6681.99</v>
      </c>
      <c r="P13" s="562" t="s">
        <v>1363</v>
      </c>
      <c r="Q13" s="562" t="s">
        <v>93</v>
      </c>
    </row>
    <row r="14" spans="1:17" x14ac:dyDescent="0.25">
      <c r="A14" s="562" t="s">
        <v>646</v>
      </c>
      <c r="B14" s="562" t="s">
        <v>265</v>
      </c>
      <c r="C14" s="562" t="s">
        <v>1343</v>
      </c>
      <c r="D14" s="562" t="s">
        <v>1361</v>
      </c>
      <c r="E14" s="562" t="s">
        <v>1284</v>
      </c>
      <c r="F14" s="562" t="s">
        <v>2070</v>
      </c>
      <c r="G14" s="562" t="s">
        <v>1362</v>
      </c>
      <c r="H14" s="562" t="s">
        <v>1975</v>
      </c>
      <c r="I14" s="562" t="s">
        <v>2071</v>
      </c>
      <c r="J14" s="562">
        <v>54</v>
      </c>
      <c r="K14" s="562">
        <v>54</v>
      </c>
      <c r="L14" s="563" t="s">
        <v>940</v>
      </c>
      <c r="M14" s="563" t="s">
        <v>929</v>
      </c>
      <c r="N14" s="564">
        <v>724.78</v>
      </c>
      <c r="O14" s="564">
        <v>7406.77</v>
      </c>
      <c r="P14" s="562" t="s">
        <v>1363</v>
      </c>
      <c r="Q14" s="562" t="s">
        <v>94</v>
      </c>
    </row>
    <row r="15" spans="1:17" x14ac:dyDescent="0.25">
      <c r="A15" s="562" t="s">
        <v>646</v>
      </c>
      <c r="B15" s="562" t="s">
        <v>265</v>
      </c>
      <c r="C15" s="562" t="s">
        <v>1343</v>
      </c>
      <c r="D15" s="562" t="s">
        <v>1361</v>
      </c>
      <c r="E15" s="562" t="s">
        <v>1284</v>
      </c>
      <c r="F15" s="562" t="s">
        <v>2070</v>
      </c>
      <c r="G15" s="562" t="s">
        <v>1362</v>
      </c>
      <c r="H15" s="562" t="s">
        <v>1975</v>
      </c>
      <c r="I15" s="562" t="s">
        <v>2071</v>
      </c>
      <c r="J15" s="562">
        <v>54</v>
      </c>
      <c r="K15" s="562">
        <v>54</v>
      </c>
      <c r="L15" s="563" t="s">
        <v>642</v>
      </c>
      <c r="M15" s="563" t="s">
        <v>929</v>
      </c>
      <c r="N15" s="565">
        <v>1652.4</v>
      </c>
      <c r="O15" s="564">
        <v>9059.17</v>
      </c>
      <c r="P15" s="562" t="s">
        <v>1363</v>
      </c>
      <c r="Q15" s="562" t="s">
        <v>95</v>
      </c>
    </row>
    <row r="16" spans="1:17" x14ac:dyDescent="0.25">
      <c r="A16" s="562"/>
      <c r="B16" s="562"/>
      <c r="C16" s="562"/>
      <c r="D16" s="562"/>
      <c r="E16" s="562"/>
      <c r="F16" s="562"/>
      <c r="G16" s="562"/>
      <c r="H16" s="562" t="s">
        <v>3141</v>
      </c>
      <c r="I16" s="562"/>
      <c r="J16" s="562"/>
      <c r="K16" s="562"/>
      <c r="L16" s="563"/>
      <c r="M16" s="563"/>
      <c r="N16" s="564">
        <f>SUM(N4:N15)</f>
        <v>10670.250000000002</v>
      </c>
      <c r="O16" s="564"/>
      <c r="P16" s="562"/>
      <c r="Q16" s="562"/>
    </row>
    <row r="17" spans="1:17" x14ac:dyDescent="0.25">
      <c r="A17" s="562"/>
      <c r="B17" s="562"/>
      <c r="C17" s="562"/>
      <c r="D17" s="562"/>
      <c r="E17" s="562"/>
      <c r="F17" s="562"/>
      <c r="G17" s="562"/>
      <c r="H17" s="562" t="s">
        <v>3142</v>
      </c>
      <c r="I17" s="562"/>
      <c r="J17" s="562"/>
      <c r="K17" s="562"/>
      <c r="L17" s="563"/>
      <c r="M17" s="563"/>
      <c r="N17" s="566">
        <v>0.11070000000000001</v>
      </c>
      <c r="O17" s="564"/>
      <c r="P17" s="562"/>
      <c r="Q17" s="562"/>
    </row>
    <row r="18" spans="1:17" x14ac:dyDescent="0.25">
      <c r="A18" s="562"/>
      <c r="B18" s="562"/>
      <c r="C18" s="562"/>
      <c r="D18" s="562"/>
      <c r="E18" s="562"/>
      <c r="F18" s="562"/>
      <c r="G18" s="562"/>
      <c r="H18" s="562" t="s">
        <v>3143</v>
      </c>
      <c r="I18" s="562"/>
      <c r="J18" s="562"/>
      <c r="K18" s="562"/>
      <c r="L18" s="563"/>
      <c r="M18" s="563"/>
      <c r="N18" s="564">
        <f>+N16*N17</f>
        <v>1181.1966750000004</v>
      </c>
      <c r="O18" s="564"/>
      <c r="P18" s="562"/>
      <c r="Q18" s="562"/>
    </row>
    <row r="19" spans="1:17" x14ac:dyDescent="0.25">
      <c r="A19" s="562"/>
      <c r="B19" s="562"/>
      <c r="C19" s="562"/>
      <c r="D19" s="562"/>
      <c r="E19" s="562"/>
      <c r="F19" s="562"/>
      <c r="G19" s="562"/>
      <c r="H19" s="562"/>
      <c r="I19" s="562"/>
      <c r="J19" s="562"/>
      <c r="K19" s="562"/>
      <c r="L19" s="563"/>
      <c r="M19" s="563"/>
      <c r="N19" s="564"/>
      <c r="O19" s="564"/>
      <c r="P19" s="562"/>
      <c r="Q19" s="562"/>
    </row>
    <row r="20" spans="1:17" x14ac:dyDescent="0.25">
      <c r="A20" s="562"/>
      <c r="B20" s="562"/>
      <c r="C20" s="562"/>
      <c r="D20" s="562"/>
      <c r="E20" s="562"/>
      <c r="F20" s="562"/>
      <c r="G20" s="562"/>
      <c r="H20" s="562"/>
      <c r="I20" s="562"/>
      <c r="J20" s="562"/>
      <c r="K20" s="562"/>
      <c r="L20" s="563"/>
      <c r="M20" s="563"/>
      <c r="N20" s="564"/>
      <c r="O20" s="564"/>
      <c r="P20" s="562"/>
      <c r="Q20" s="562"/>
    </row>
    <row r="21" spans="1:17" x14ac:dyDescent="0.25">
      <c r="A21" s="562"/>
      <c r="B21" s="562"/>
      <c r="C21" s="562"/>
      <c r="D21" s="562"/>
      <c r="E21" s="562"/>
      <c r="F21" s="562"/>
      <c r="G21" s="562"/>
      <c r="H21" s="562"/>
      <c r="I21" s="562"/>
      <c r="J21" s="562"/>
      <c r="K21" s="562"/>
      <c r="L21" s="563"/>
      <c r="M21" s="563"/>
      <c r="N21" s="564"/>
      <c r="O21" s="564"/>
      <c r="P21" s="562"/>
      <c r="Q21" s="562"/>
    </row>
    <row r="22" spans="1:17" x14ac:dyDescent="0.25">
      <c r="A22" s="562" t="s">
        <v>646</v>
      </c>
      <c r="B22" s="562" t="s">
        <v>265</v>
      </c>
      <c r="C22" s="562" t="s">
        <v>1343</v>
      </c>
      <c r="D22" s="562" t="s">
        <v>1361</v>
      </c>
      <c r="E22" s="562" t="s">
        <v>1291</v>
      </c>
      <c r="F22" s="562" t="s">
        <v>2090</v>
      </c>
      <c r="G22" s="562" t="s">
        <v>1362</v>
      </c>
      <c r="H22" s="562" t="s">
        <v>1982</v>
      </c>
      <c r="I22" s="562" t="s">
        <v>2091</v>
      </c>
      <c r="J22" s="562">
        <v>54</v>
      </c>
      <c r="K22" s="562">
        <v>54</v>
      </c>
      <c r="L22" s="563" t="s">
        <v>646</v>
      </c>
      <c r="M22" s="563" t="s">
        <v>933</v>
      </c>
      <c r="N22" s="564">
        <v>1232.43</v>
      </c>
      <c r="O22" s="564">
        <v>7470.58</v>
      </c>
      <c r="P22" s="562" t="s">
        <v>1374</v>
      </c>
      <c r="Q22" s="562" t="s">
        <v>84</v>
      </c>
    </row>
    <row r="23" spans="1:17" x14ac:dyDescent="0.25">
      <c r="A23" s="562" t="s">
        <v>646</v>
      </c>
      <c r="B23" s="562" t="s">
        <v>265</v>
      </c>
      <c r="C23" s="562" t="s">
        <v>1343</v>
      </c>
      <c r="D23" s="562" t="s">
        <v>1361</v>
      </c>
      <c r="E23" s="562" t="s">
        <v>1291</v>
      </c>
      <c r="F23" s="562" t="s">
        <v>2090</v>
      </c>
      <c r="G23" s="562" t="s">
        <v>1362</v>
      </c>
      <c r="H23" s="562" t="s">
        <v>1982</v>
      </c>
      <c r="I23" s="562" t="s">
        <v>2091</v>
      </c>
      <c r="J23" s="562">
        <v>54</v>
      </c>
      <c r="K23" s="562">
        <v>54</v>
      </c>
      <c r="L23" s="563" t="s">
        <v>650</v>
      </c>
      <c r="M23" s="563" t="s">
        <v>933</v>
      </c>
      <c r="N23" s="564">
        <v>759.88</v>
      </c>
      <c r="O23" s="564">
        <v>8230.4599999999991</v>
      </c>
      <c r="P23" s="562" t="s">
        <v>1374</v>
      </c>
      <c r="Q23" s="562" t="s">
        <v>85</v>
      </c>
    </row>
    <row r="24" spans="1:17" x14ac:dyDescent="0.25">
      <c r="A24" s="562" t="s">
        <v>646</v>
      </c>
      <c r="B24" s="562" t="s">
        <v>265</v>
      </c>
      <c r="C24" s="562" t="s">
        <v>1343</v>
      </c>
      <c r="D24" s="562" t="s">
        <v>1361</v>
      </c>
      <c r="E24" s="562" t="s">
        <v>1291</v>
      </c>
      <c r="F24" s="562" t="s">
        <v>2090</v>
      </c>
      <c r="G24" s="562" t="s">
        <v>1362</v>
      </c>
      <c r="H24" s="562" t="s">
        <v>1982</v>
      </c>
      <c r="I24" s="562" t="s">
        <v>2091</v>
      </c>
      <c r="J24" s="562">
        <v>54</v>
      </c>
      <c r="K24" s="562">
        <v>54</v>
      </c>
      <c r="L24" s="563" t="s">
        <v>652</v>
      </c>
      <c r="M24" s="563" t="s">
        <v>933</v>
      </c>
      <c r="N24" s="564">
        <v>888.91</v>
      </c>
      <c r="O24" s="564">
        <v>9119.3700000000008</v>
      </c>
      <c r="P24" s="562" t="s">
        <v>1374</v>
      </c>
      <c r="Q24" s="562" t="s">
        <v>86</v>
      </c>
    </row>
    <row r="25" spans="1:17" x14ac:dyDescent="0.25">
      <c r="A25" s="562" t="s">
        <v>646</v>
      </c>
      <c r="B25" s="562" t="s">
        <v>265</v>
      </c>
      <c r="C25" s="562" t="s">
        <v>1343</v>
      </c>
      <c r="D25" s="562" t="s">
        <v>1361</v>
      </c>
      <c r="E25" s="562" t="s">
        <v>1291</v>
      </c>
      <c r="F25" s="562" t="s">
        <v>2090</v>
      </c>
      <c r="G25" s="562" t="s">
        <v>1362</v>
      </c>
      <c r="H25" s="562" t="s">
        <v>1982</v>
      </c>
      <c r="I25" s="562" t="s">
        <v>2091</v>
      </c>
      <c r="J25" s="562">
        <v>54</v>
      </c>
      <c r="K25" s="562">
        <v>54</v>
      </c>
      <c r="L25" s="563" t="s">
        <v>789</v>
      </c>
      <c r="M25" s="563" t="s">
        <v>929</v>
      </c>
      <c r="N25" s="564">
        <v>942.4</v>
      </c>
      <c r="O25" s="564">
        <v>942.4</v>
      </c>
      <c r="P25" s="562" t="s">
        <v>1374</v>
      </c>
      <c r="Q25" s="562" t="s">
        <v>87</v>
      </c>
    </row>
    <row r="26" spans="1:17" x14ac:dyDescent="0.25">
      <c r="A26" s="562" t="s">
        <v>646</v>
      </c>
      <c r="B26" s="562" t="s">
        <v>265</v>
      </c>
      <c r="C26" s="562" t="s">
        <v>1343</v>
      </c>
      <c r="D26" s="562" t="s">
        <v>1361</v>
      </c>
      <c r="E26" s="562" t="s">
        <v>1291</v>
      </c>
      <c r="F26" s="562" t="s">
        <v>2090</v>
      </c>
      <c r="G26" s="562" t="s">
        <v>1362</v>
      </c>
      <c r="H26" s="562" t="s">
        <v>1982</v>
      </c>
      <c r="I26" s="562" t="s">
        <v>2091</v>
      </c>
      <c r="J26" s="562">
        <v>54</v>
      </c>
      <c r="K26" s="562">
        <v>54</v>
      </c>
      <c r="L26" s="563" t="s">
        <v>791</v>
      </c>
      <c r="M26" s="563" t="s">
        <v>929</v>
      </c>
      <c r="N26" s="564">
        <v>1032.53</v>
      </c>
      <c r="O26" s="564">
        <v>1974.93</v>
      </c>
      <c r="P26" s="562" t="s">
        <v>1374</v>
      </c>
      <c r="Q26" s="562" t="s">
        <v>88</v>
      </c>
    </row>
    <row r="27" spans="1:17" x14ac:dyDescent="0.25">
      <c r="A27" s="562" t="s">
        <v>646</v>
      </c>
      <c r="B27" s="562" t="s">
        <v>265</v>
      </c>
      <c r="C27" s="562" t="s">
        <v>1343</v>
      </c>
      <c r="D27" s="562" t="s">
        <v>1361</v>
      </c>
      <c r="E27" s="562" t="s">
        <v>1291</v>
      </c>
      <c r="F27" s="562" t="s">
        <v>2090</v>
      </c>
      <c r="G27" s="562" t="s">
        <v>1362</v>
      </c>
      <c r="H27" s="562" t="s">
        <v>1982</v>
      </c>
      <c r="I27" s="562" t="s">
        <v>2091</v>
      </c>
      <c r="J27" s="562">
        <v>54</v>
      </c>
      <c r="K27" s="562">
        <v>54</v>
      </c>
      <c r="L27" s="563" t="s">
        <v>935</v>
      </c>
      <c r="M27" s="563" t="s">
        <v>929</v>
      </c>
      <c r="N27" s="564">
        <v>1063.19</v>
      </c>
      <c r="O27" s="564">
        <v>3038.12</v>
      </c>
      <c r="P27" s="562" t="s">
        <v>1374</v>
      </c>
      <c r="Q27" s="562" t="s">
        <v>89</v>
      </c>
    </row>
    <row r="28" spans="1:17" x14ac:dyDescent="0.25">
      <c r="A28" s="562" t="s">
        <v>646</v>
      </c>
      <c r="B28" s="562" t="s">
        <v>265</v>
      </c>
      <c r="C28" s="562" t="s">
        <v>1343</v>
      </c>
      <c r="D28" s="562" t="s">
        <v>1361</v>
      </c>
      <c r="E28" s="562" t="s">
        <v>1291</v>
      </c>
      <c r="F28" s="562" t="s">
        <v>2090</v>
      </c>
      <c r="G28" s="562" t="s">
        <v>1362</v>
      </c>
      <c r="H28" s="562" t="s">
        <v>1982</v>
      </c>
      <c r="I28" s="562" t="s">
        <v>2091</v>
      </c>
      <c r="J28" s="562">
        <v>54</v>
      </c>
      <c r="K28" s="562">
        <v>54</v>
      </c>
      <c r="L28" s="563" t="s">
        <v>936</v>
      </c>
      <c r="M28" s="563" t="s">
        <v>929</v>
      </c>
      <c r="N28" s="564">
        <v>1516.06</v>
      </c>
      <c r="O28" s="564">
        <v>4554.18</v>
      </c>
      <c r="P28" s="562" t="s">
        <v>1374</v>
      </c>
      <c r="Q28" s="562" t="s">
        <v>90</v>
      </c>
    </row>
    <row r="29" spans="1:17" x14ac:dyDescent="0.25">
      <c r="A29" s="562" t="s">
        <v>646</v>
      </c>
      <c r="B29" s="562" t="s">
        <v>265</v>
      </c>
      <c r="C29" s="562" t="s">
        <v>1343</v>
      </c>
      <c r="D29" s="562" t="s">
        <v>1361</v>
      </c>
      <c r="E29" s="562" t="s">
        <v>1291</v>
      </c>
      <c r="F29" s="562" t="s">
        <v>2090</v>
      </c>
      <c r="G29" s="562" t="s">
        <v>1362</v>
      </c>
      <c r="H29" s="562" t="s">
        <v>1982</v>
      </c>
      <c r="I29" s="562" t="s">
        <v>2091</v>
      </c>
      <c r="J29" s="562">
        <v>54</v>
      </c>
      <c r="K29" s="562">
        <v>54</v>
      </c>
      <c r="L29" s="563" t="s">
        <v>937</v>
      </c>
      <c r="M29" s="563" t="s">
        <v>929</v>
      </c>
      <c r="N29" s="564">
        <v>1041.19</v>
      </c>
      <c r="O29" s="564">
        <v>5595.37</v>
      </c>
      <c r="P29" s="562" t="s">
        <v>1374</v>
      </c>
      <c r="Q29" s="562" t="s">
        <v>91</v>
      </c>
    </row>
    <row r="30" spans="1:17" x14ac:dyDescent="0.25">
      <c r="A30" s="562" t="s">
        <v>646</v>
      </c>
      <c r="B30" s="562" t="s">
        <v>265</v>
      </c>
      <c r="C30" s="562" t="s">
        <v>1343</v>
      </c>
      <c r="D30" s="562" t="s">
        <v>1361</v>
      </c>
      <c r="E30" s="562" t="s">
        <v>1291</v>
      </c>
      <c r="F30" s="562" t="s">
        <v>2090</v>
      </c>
      <c r="G30" s="562" t="s">
        <v>1362</v>
      </c>
      <c r="H30" s="562" t="s">
        <v>1982</v>
      </c>
      <c r="I30" s="562" t="s">
        <v>2091</v>
      </c>
      <c r="J30" s="562">
        <v>54</v>
      </c>
      <c r="K30" s="562">
        <v>54</v>
      </c>
      <c r="L30" s="563" t="s">
        <v>938</v>
      </c>
      <c r="M30" s="563" t="s">
        <v>929</v>
      </c>
      <c r="N30" s="564">
        <v>318.17</v>
      </c>
      <c r="O30" s="564">
        <v>5913.54</v>
      </c>
      <c r="P30" s="562" t="s">
        <v>1374</v>
      </c>
      <c r="Q30" s="562" t="s">
        <v>92</v>
      </c>
    </row>
    <row r="31" spans="1:17" x14ac:dyDescent="0.25">
      <c r="A31" s="562" t="s">
        <v>646</v>
      </c>
      <c r="B31" s="562" t="s">
        <v>265</v>
      </c>
      <c r="C31" s="562" t="s">
        <v>1343</v>
      </c>
      <c r="D31" s="562" t="s">
        <v>1361</v>
      </c>
      <c r="E31" s="562" t="s">
        <v>1291</v>
      </c>
      <c r="F31" s="562" t="s">
        <v>2090</v>
      </c>
      <c r="G31" s="562" t="s">
        <v>1362</v>
      </c>
      <c r="H31" s="562" t="s">
        <v>1982</v>
      </c>
      <c r="I31" s="562" t="s">
        <v>2091</v>
      </c>
      <c r="J31" s="562">
        <v>54</v>
      </c>
      <c r="K31" s="562">
        <v>54</v>
      </c>
      <c r="L31" s="563" t="s">
        <v>939</v>
      </c>
      <c r="M31" s="563" t="s">
        <v>929</v>
      </c>
      <c r="N31" s="564">
        <v>956.8</v>
      </c>
      <c r="O31" s="564">
        <v>6870.34</v>
      </c>
      <c r="P31" s="562" t="s">
        <v>1374</v>
      </c>
      <c r="Q31" s="562" t="s">
        <v>93</v>
      </c>
    </row>
    <row r="32" spans="1:17" x14ac:dyDescent="0.25">
      <c r="A32" s="562" t="s">
        <v>646</v>
      </c>
      <c r="B32" s="562" t="s">
        <v>265</v>
      </c>
      <c r="C32" s="562" t="s">
        <v>1343</v>
      </c>
      <c r="D32" s="562" t="s">
        <v>1361</v>
      </c>
      <c r="E32" s="562" t="s">
        <v>1291</v>
      </c>
      <c r="F32" s="562" t="s">
        <v>2090</v>
      </c>
      <c r="G32" s="562" t="s">
        <v>1362</v>
      </c>
      <c r="H32" s="562" t="s">
        <v>1982</v>
      </c>
      <c r="I32" s="562" t="s">
        <v>2091</v>
      </c>
      <c r="J32" s="562">
        <v>54</v>
      </c>
      <c r="K32" s="562">
        <v>54</v>
      </c>
      <c r="L32" s="563" t="s">
        <v>940</v>
      </c>
      <c r="M32" s="563" t="s">
        <v>929</v>
      </c>
      <c r="N32" s="564">
        <v>1037.98</v>
      </c>
      <c r="O32" s="564">
        <v>7908.32</v>
      </c>
      <c r="P32" s="562" t="s">
        <v>1374</v>
      </c>
      <c r="Q32" s="562" t="s">
        <v>94</v>
      </c>
    </row>
    <row r="33" spans="1:17" x14ac:dyDescent="0.25">
      <c r="A33" s="562" t="s">
        <v>646</v>
      </c>
      <c r="B33" s="562" t="s">
        <v>265</v>
      </c>
      <c r="C33" s="562" t="s">
        <v>1343</v>
      </c>
      <c r="D33" s="562" t="s">
        <v>1361</v>
      </c>
      <c r="E33" s="562" t="s">
        <v>1291</v>
      </c>
      <c r="F33" s="562" t="s">
        <v>2090</v>
      </c>
      <c r="G33" s="562" t="s">
        <v>1362</v>
      </c>
      <c r="H33" s="562" t="s">
        <v>1982</v>
      </c>
      <c r="I33" s="562" t="s">
        <v>2091</v>
      </c>
      <c r="J33" s="562">
        <v>54</v>
      </c>
      <c r="K33" s="562">
        <v>54</v>
      </c>
      <c r="L33" s="563" t="s">
        <v>642</v>
      </c>
      <c r="M33" s="563" t="s">
        <v>929</v>
      </c>
      <c r="N33" s="564">
        <v>1491.36</v>
      </c>
      <c r="O33" s="564">
        <v>9399.68</v>
      </c>
      <c r="P33" s="562" t="s">
        <v>1374</v>
      </c>
      <c r="Q33" s="562" t="s">
        <v>95</v>
      </c>
    </row>
    <row r="34" spans="1:17" x14ac:dyDescent="0.25">
      <c r="A34" s="562" t="s">
        <v>646</v>
      </c>
      <c r="B34" s="562" t="s">
        <v>265</v>
      </c>
      <c r="C34" s="562" t="s">
        <v>1343</v>
      </c>
      <c r="D34" s="562" t="s">
        <v>1361</v>
      </c>
      <c r="E34" s="562" t="s">
        <v>1296</v>
      </c>
      <c r="F34" s="562" t="s">
        <v>2110</v>
      </c>
      <c r="G34" s="562" t="s">
        <v>1362</v>
      </c>
      <c r="H34" s="562" t="s">
        <v>1989</v>
      </c>
      <c r="I34" s="562" t="s">
        <v>2111</v>
      </c>
      <c r="J34" s="562">
        <v>54</v>
      </c>
      <c r="K34" s="562">
        <v>54</v>
      </c>
      <c r="L34" s="563" t="s">
        <v>646</v>
      </c>
      <c r="M34" s="563" t="s">
        <v>933</v>
      </c>
      <c r="N34" s="564">
        <v>475.31</v>
      </c>
      <c r="O34" s="564">
        <v>764.09</v>
      </c>
      <c r="P34" s="562" t="s">
        <v>1384</v>
      </c>
      <c r="Q34" s="562" t="s">
        <v>84</v>
      </c>
    </row>
    <row r="35" spans="1:17" x14ac:dyDescent="0.25">
      <c r="A35" s="562" t="s">
        <v>646</v>
      </c>
      <c r="B35" s="562" t="s">
        <v>265</v>
      </c>
      <c r="C35" s="562" t="s">
        <v>1343</v>
      </c>
      <c r="D35" s="562" t="s">
        <v>1361</v>
      </c>
      <c r="E35" s="562" t="s">
        <v>1296</v>
      </c>
      <c r="F35" s="562" t="s">
        <v>2110</v>
      </c>
      <c r="G35" s="562" t="s">
        <v>1362</v>
      </c>
      <c r="H35" s="562" t="s">
        <v>1989</v>
      </c>
      <c r="I35" s="562" t="s">
        <v>2111</v>
      </c>
      <c r="J35" s="562">
        <v>54</v>
      </c>
      <c r="K35" s="562">
        <v>54</v>
      </c>
      <c r="L35" s="563" t="s">
        <v>650</v>
      </c>
      <c r="M35" s="563" t="s">
        <v>933</v>
      </c>
      <c r="N35" s="564">
        <v>328.09</v>
      </c>
      <c r="O35" s="564">
        <v>1092.18</v>
      </c>
      <c r="P35" s="562" t="s">
        <v>1384</v>
      </c>
      <c r="Q35" s="562" t="s">
        <v>85</v>
      </c>
    </row>
    <row r="36" spans="1:17" x14ac:dyDescent="0.25">
      <c r="A36" s="562" t="s">
        <v>646</v>
      </c>
      <c r="B36" s="562" t="s">
        <v>265</v>
      </c>
      <c r="C36" s="562" t="s">
        <v>1343</v>
      </c>
      <c r="D36" s="562" t="s">
        <v>1361</v>
      </c>
      <c r="E36" s="562" t="s">
        <v>1296</v>
      </c>
      <c r="F36" s="562" t="s">
        <v>2110</v>
      </c>
      <c r="G36" s="562" t="s">
        <v>1362</v>
      </c>
      <c r="H36" s="562" t="s">
        <v>1989</v>
      </c>
      <c r="I36" s="562" t="s">
        <v>2111</v>
      </c>
      <c r="J36" s="562">
        <v>54</v>
      </c>
      <c r="K36" s="562">
        <v>54</v>
      </c>
      <c r="L36" s="563" t="s">
        <v>652</v>
      </c>
      <c r="M36" s="563" t="s">
        <v>933</v>
      </c>
      <c r="N36" s="564">
        <v>247.78</v>
      </c>
      <c r="O36" s="564">
        <v>1339.96</v>
      </c>
      <c r="P36" s="562" t="s">
        <v>1384</v>
      </c>
      <c r="Q36" s="562" t="s">
        <v>86</v>
      </c>
    </row>
    <row r="37" spans="1:17" x14ac:dyDescent="0.25">
      <c r="A37" s="562" t="s">
        <v>646</v>
      </c>
      <c r="B37" s="562" t="s">
        <v>265</v>
      </c>
      <c r="C37" s="562" t="s">
        <v>1343</v>
      </c>
      <c r="D37" s="562" t="s">
        <v>1361</v>
      </c>
      <c r="E37" s="562" t="s">
        <v>1296</v>
      </c>
      <c r="F37" s="562" t="s">
        <v>2110</v>
      </c>
      <c r="G37" s="562" t="s">
        <v>1362</v>
      </c>
      <c r="H37" s="562" t="s">
        <v>1989</v>
      </c>
      <c r="I37" s="562" t="s">
        <v>2111</v>
      </c>
      <c r="J37" s="562">
        <v>54</v>
      </c>
      <c r="K37" s="562">
        <v>54</v>
      </c>
      <c r="L37" s="563" t="s">
        <v>789</v>
      </c>
      <c r="M37" s="563" t="s">
        <v>929</v>
      </c>
      <c r="N37" s="564">
        <v>304.68</v>
      </c>
      <c r="O37" s="564">
        <v>304.68</v>
      </c>
      <c r="P37" s="562" t="s">
        <v>1384</v>
      </c>
      <c r="Q37" s="562" t="s">
        <v>87</v>
      </c>
    </row>
    <row r="38" spans="1:17" x14ac:dyDescent="0.25">
      <c r="A38" s="562" t="s">
        <v>646</v>
      </c>
      <c r="B38" s="562" t="s">
        <v>265</v>
      </c>
      <c r="C38" s="562" t="s">
        <v>1343</v>
      </c>
      <c r="D38" s="562" t="s">
        <v>1361</v>
      </c>
      <c r="E38" s="562" t="s">
        <v>1296</v>
      </c>
      <c r="F38" s="562" t="s">
        <v>2110</v>
      </c>
      <c r="G38" s="562" t="s">
        <v>1362</v>
      </c>
      <c r="H38" s="562" t="s">
        <v>1989</v>
      </c>
      <c r="I38" s="562" t="s">
        <v>2111</v>
      </c>
      <c r="J38" s="562">
        <v>54</v>
      </c>
      <c r="K38" s="562">
        <v>54</v>
      </c>
      <c r="L38" s="563" t="s">
        <v>791</v>
      </c>
      <c r="M38" s="563" t="s">
        <v>929</v>
      </c>
      <c r="N38" s="564">
        <v>357.45</v>
      </c>
      <c r="O38" s="564">
        <v>662.13</v>
      </c>
      <c r="P38" s="562" t="s">
        <v>1384</v>
      </c>
      <c r="Q38" s="562" t="s">
        <v>88</v>
      </c>
    </row>
    <row r="39" spans="1:17" x14ac:dyDescent="0.25">
      <c r="A39" s="562" t="s">
        <v>646</v>
      </c>
      <c r="B39" s="562" t="s">
        <v>265</v>
      </c>
      <c r="C39" s="562" t="s">
        <v>1343</v>
      </c>
      <c r="D39" s="562" t="s">
        <v>1361</v>
      </c>
      <c r="E39" s="562" t="s">
        <v>1296</v>
      </c>
      <c r="F39" s="562" t="s">
        <v>2110</v>
      </c>
      <c r="G39" s="562" t="s">
        <v>1362</v>
      </c>
      <c r="H39" s="562" t="s">
        <v>1989</v>
      </c>
      <c r="I39" s="562" t="s">
        <v>2111</v>
      </c>
      <c r="J39" s="562">
        <v>54</v>
      </c>
      <c r="K39" s="562">
        <v>54</v>
      </c>
      <c r="L39" s="563" t="s">
        <v>935</v>
      </c>
      <c r="M39" s="563" t="s">
        <v>929</v>
      </c>
      <c r="N39" s="564">
        <v>326.51</v>
      </c>
      <c r="O39" s="564">
        <v>988.64</v>
      </c>
      <c r="P39" s="562" t="s">
        <v>1384</v>
      </c>
      <c r="Q39" s="562" t="s">
        <v>89</v>
      </c>
    </row>
    <row r="40" spans="1:17" x14ac:dyDescent="0.25">
      <c r="A40" s="562" t="s">
        <v>646</v>
      </c>
      <c r="B40" s="562" t="s">
        <v>265</v>
      </c>
      <c r="C40" s="562" t="s">
        <v>1343</v>
      </c>
      <c r="D40" s="562" t="s">
        <v>1361</v>
      </c>
      <c r="E40" s="562" t="s">
        <v>1296</v>
      </c>
      <c r="F40" s="562" t="s">
        <v>2110</v>
      </c>
      <c r="G40" s="562" t="s">
        <v>1362</v>
      </c>
      <c r="H40" s="562" t="s">
        <v>1989</v>
      </c>
      <c r="I40" s="562" t="s">
        <v>2111</v>
      </c>
      <c r="J40" s="562">
        <v>54</v>
      </c>
      <c r="K40" s="562">
        <v>54</v>
      </c>
      <c r="L40" s="563" t="s">
        <v>936</v>
      </c>
      <c r="M40" s="563" t="s">
        <v>929</v>
      </c>
      <c r="N40" s="564">
        <v>518.14</v>
      </c>
      <c r="O40" s="564">
        <v>1506.78</v>
      </c>
      <c r="P40" s="562" t="s">
        <v>1384</v>
      </c>
      <c r="Q40" s="562" t="s">
        <v>90</v>
      </c>
    </row>
    <row r="41" spans="1:17" x14ac:dyDescent="0.25">
      <c r="A41" s="562" t="s">
        <v>646</v>
      </c>
      <c r="B41" s="562" t="s">
        <v>265</v>
      </c>
      <c r="C41" s="562" t="s">
        <v>1343</v>
      </c>
      <c r="D41" s="562" t="s">
        <v>1361</v>
      </c>
      <c r="E41" s="562" t="s">
        <v>1296</v>
      </c>
      <c r="F41" s="562" t="s">
        <v>2110</v>
      </c>
      <c r="G41" s="562" t="s">
        <v>1362</v>
      </c>
      <c r="H41" s="562" t="s">
        <v>1989</v>
      </c>
      <c r="I41" s="562" t="s">
        <v>2111</v>
      </c>
      <c r="J41" s="562">
        <v>54</v>
      </c>
      <c r="K41" s="562">
        <v>54</v>
      </c>
      <c r="L41" s="563" t="s">
        <v>937</v>
      </c>
      <c r="M41" s="563" t="s">
        <v>929</v>
      </c>
      <c r="N41" s="564">
        <v>358.15</v>
      </c>
      <c r="O41" s="564">
        <v>1864.93</v>
      </c>
      <c r="P41" s="562" t="s">
        <v>1384</v>
      </c>
      <c r="Q41" s="562" t="s">
        <v>91</v>
      </c>
    </row>
    <row r="42" spans="1:17" x14ac:dyDescent="0.25">
      <c r="A42" s="562" t="s">
        <v>646</v>
      </c>
      <c r="B42" s="562" t="s">
        <v>265</v>
      </c>
      <c r="C42" s="562" t="s">
        <v>1343</v>
      </c>
      <c r="D42" s="562" t="s">
        <v>1361</v>
      </c>
      <c r="E42" s="562" t="s">
        <v>1296</v>
      </c>
      <c r="F42" s="562" t="s">
        <v>2110</v>
      </c>
      <c r="G42" s="562" t="s">
        <v>1362</v>
      </c>
      <c r="H42" s="562" t="s">
        <v>1989</v>
      </c>
      <c r="I42" s="562" t="s">
        <v>2111</v>
      </c>
      <c r="J42" s="562">
        <v>54</v>
      </c>
      <c r="K42" s="562">
        <v>54</v>
      </c>
      <c r="L42" s="563" t="s">
        <v>938</v>
      </c>
      <c r="M42" s="563" t="s">
        <v>929</v>
      </c>
      <c r="N42" s="564">
        <v>288.33999999999997</v>
      </c>
      <c r="O42" s="564">
        <v>2153.27</v>
      </c>
      <c r="P42" s="562" t="s">
        <v>1384</v>
      </c>
      <c r="Q42" s="562" t="s">
        <v>92</v>
      </c>
    </row>
    <row r="43" spans="1:17" x14ac:dyDescent="0.25">
      <c r="A43" s="562" t="s">
        <v>646</v>
      </c>
      <c r="B43" s="562" t="s">
        <v>265</v>
      </c>
      <c r="C43" s="562" t="s">
        <v>1343</v>
      </c>
      <c r="D43" s="562" t="s">
        <v>1361</v>
      </c>
      <c r="E43" s="562" t="s">
        <v>1296</v>
      </c>
      <c r="F43" s="562" t="s">
        <v>2110</v>
      </c>
      <c r="G43" s="562" t="s">
        <v>1362</v>
      </c>
      <c r="H43" s="562" t="s">
        <v>1989</v>
      </c>
      <c r="I43" s="562" t="s">
        <v>2111</v>
      </c>
      <c r="J43" s="562">
        <v>54</v>
      </c>
      <c r="K43" s="562">
        <v>54</v>
      </c>
      <c r="L43" s="563" t="s">
        <v>939</v>
      </c>
      <c r="M43" s="563" t="s">
        <v>929</v>
      </c>
      <c r="N43" s="564">
        <v>345.65</v>
      </c>
      <c r="O43" s="564">
        <v>2498.92</v>
      </c>
      <c r="P43" s="562" t="s">
        <v>1384</v>
      </c>
      <c r="Q43" s="562" t="s">
        <v>93</v>
      </c>
    </row>
    <row r="44" spans="1:17" x14ac:dyDescent="0.25">
      <c r="A44" s="562" t="s">
        <v>646</v>
      </c>
      <c r="B44" s="562" t="s">
        <v>265</v>
      </c>
      <c r="C44" s="562" t="s">
        <v>1343</v>
      </c>
      <c r="D44" s="562" t="s">
        <v>1361</v>
      </c>
      <c r="E44" s="562" t="s">
        <v>1296</v>
      </c>
      <c r="F44" s="562" t="s">
        <v>2110</v>
      </c>
      <c r="G44" s="562" t="s">
        <v>1362</v>
      </c>
      <c r="H44" s="562" t="s">
        <v>1989</v>
      </c>
      <c r="I44" s="562" t="s">
        <v>2111</v>
      </c>
      <c r="J44" s="562">
        <v>54</v>
      </c>
      <c r="K44" s="562">
        <v>54</v>
      </c>
      <c r="L44" s="563" t="s">
        <v>940</v>
      </c>
      <c r="M44" s="563" t="s">
        <v>929</v>
      </c>
      <c r="N44" s="564">
        <v>362.39</v>
      </c>
      <c r="O44" s="564">
        <v>2861.31</v>
      </c>
      <c r="P44" s="562" t="s">
        <v>1384</v>
      </c>
      <c r="Q44" s="562" t="s">
        <v>94</v>
      </c>
    </row>
    <row r="45" spans="1:17" x14ac:dyDescent="0.25">
      <c r="A45" s="562" t="s">
        <v>646</v>
      </c>
      <c r="B45" s="562" t="s">
        <v>265</v>
      </c>
      <c r="C45" s="562" t="s">
        <v>1343</v>
      </c>
      <c r="D45" s="562" t="s">
        <v>1361</v>
      </c>
      <c r="E45" s="562" t="s">
        <v>1296</v>
      </c>
      <c r="F45" s="562" t="s">
        <v>2110</v>
      </c>
      <c r="G45" s="562" t="s">
        <v>1362</v>
      </c>
      <c r="H45" s="562" t="s">
        <v>1989</v>
      </c>
      <c r="I45" s="562" t="s">
        <v>2111</v>
      </c>
      <c r="J45" s="562">
        <v>54</v>
      </c>
      <c r="K45" s="562">
        <v>54</v>
      </c>
      <c r="L45" s="563" t="s">
        <v>642</v>
      </c>
      <c r="M45" s="563" t="s">
        <v>929</v>
      </c>
      <c r="N45" s="565">
        <v>510.6</v>
      </c>
      <c r="O45" s="564">
        <v>3371.91</v>
      </c>
      <c r="P45" s="562" t="s">
        <v>1384</v>
      </c>
      <c r="Q45" s="562" t="s">
        <v>95</v>
      </c>
    </row>
    <row r="46" spans="1:17" x14ac:dyDescent="0.25">
      <c r="A46" s="562"/>
      <c r="B46" s="562"/>
      <c r="C46" s="562"/>
      <c r="D46" s="562"/>
      <c r="E46" s="562"/>
      <c r="F46" s="562"/>
      <c r="G46" s="562"/>
      <c r="H46" s="562" t="s">
        <v>3141</v>
      </c>
      <c r="I46" s="562"/>
      <c r="J46" s="562"/>
      <c r="K46" s="562"/>
      <c r="L46" s="563"/>
      <c r="M46" s="563"/>
      <c r="N46" s="564">
        <f>SUM(N22:N45)</f>
        <v>16703.989999999998</v>
      </c>
      <c r="O46" s="564"/>
      <c r="P46" s="562"/>
      <c r="Q46" s="562"/>
    </row>
    <row r="47" spans="1:17" x14ac:dyDescent="0.25">
      <c r="A47" s="562"/>
      <c r="B47" s="562"/>
      <c r="C47" s="562"/>
      <c r="D47" s="562"/>
      <c r="E47" s="562"/>
      <c r="F47" s="562"/>
      <c r="G47" s="562"/>
      <c r="H47" s="562" t="s">
        <v>3142</v>
      </c>
      <c r="I47" s="562"/>
      <c r="J47" s="562"/>
      <c r="K47" s="562"/>
      <c r="L47" s="563"/>
      <c r="M47" s="563"/>
      <c r="N47" s="566">
        <v>0.11070000000000001</v>
      </c>
      <c r="O47" s="564"/>
      <c r="P47" s="562"/>
      <c r="Q47" s="562"/>
    </row>
    <row r="48" spans="1:17" x14ac:dyDescent="0.25">
      <c r="A48" s="562"/>
      <c r="B48" s="562"/>
      <c r="C48" s="562"/>
      <c r="D48" s="562"/>
      <c r="E48" s="562"/>
      <c r="F48" s="562"/>
      <c r="G48" s="562"/>
      <c r="H48" s="562" t="s">
        <v>3143</v>
      </c>
      <c r="I48" s="562"/>
      <c r="J48" s="562"/>
      <c r="K48" s="562"/>
      <c r="L48" s="563"/>
      <c r="M48" s="563"/>
      <c r="N48" s="564">
        <f>+N46*N47</f>
        <v>1849.1316929999998</v>
      </c>
      <c r="O48" s="564"/>
      <c r="P48" s="562"/>
      <c r="Q48" s="562"/>
    </row>
    <row r="49" spans="1:17" x14ac:dyDescent="0.25">
      <c r="A49" s="562"/>
      <c r="B49" s="562"/>
      <c r="C49" s="562"/>
      <c r="D49" s="562"/>
      <c r="E49" s="562"/>
      <c r="F49" s="562"/>
      <c r="G49" s="562"/>
      <c r="H49" s="562"/>
      <c r="I49" s="562"/>
      <c r="J49" s="562"/>
      <c r="K49" s="562"/>
      <c r="L49" s="563"/>
      <c r="M49" s="563"/>
      <c r="N49" s="564"/>
      <c r="O49" s="564"/>
      <c r="P49" s="562"/>
      <c r="Q49" s="562"/>
    </row>
    <row r="50" spans="1:17" x14ac:dyDescent="0.25">
      <c r="A50" s="562" t="s">
        <v>646</v>
      </c>
      <c r="B50" s="562" t="s">
        <v>265</v>
      </c>
      <c r="C50" s="562" t="s">
        <v>1343</v>
      </c>
      <c r="D50" s="562" t="s">
        <v>1361</v>
      </c>
      <c r="E50" s="562" t="s">
        <v>1300</v>
      </c>
      <c r="F50" s="562" t="s">
        <v>2130</v>
      </c>
      <c r="G50" s="562" t="s">
        <v>1396</v>
      </c>
      <c r="H50" s="562" t="s">
        <v>1996</v>
      </c>
      <c r="I50" s="562" t="s">
        <v>2131</v>
      </c>
      <c r="J50" s="562">
        <v>31</v>
      </c>
      <c r="K50" s="562">
        <v>31</v>
      </c>
      <c r="L50" s="563" t="s">
        <v>646</v>
      </c>
      <c r="M50" s="563" t="s">
        <v>933</v>
      </c>
      <c r="N50" s="564">
        <v>18.36</v>
      </c>
      <c r="O50" s="564">
        <v>18.36</v>
      </c>
      <c r="P50" s="562" t="s">
        <v>1397</v>
      </c>
      <c r="Q50" s="562" t="s">
        <v>84</v>
      </c>
    </row>
    <row r="51" spans="1:17" x14ac:dyDescent="0.25">
      <c r="A51" s="562" t="s">
        <v>646</v>
      </c>
      <c r="B51" s="562" t="s">
        <v>265</v>
      </c>
      <c r="C51" s="562" t="s">
        <v>1343</v>
      </c>
      <c r="D51" s="562" t="s">
        <v>1361</v>
      </c>
      <c r="E51" s="562" t="s">
        <v>1300</v>
      </c>
      <c r="F51" s="562" t="s">
        <v>2130</v>
      </c>
      <c r="G51" s="562" t="s">
        <v>1396</v>
      </c>
      <c r="H51" s="562" t="s">
        <v>1996</v>
      </c>
      <c r="I51" s="562" t="s">
        <v>2131</v>
      </c>
      <c r="J51" s="562">
        <v>31</v>
      </c>
      <c r="K51" s="562">
        <v>31</v>
      </c>
      <c r="L51" s="563" t="s">
        <v>650</v>
      </c>
      <c r="M51" s="563" t="s">
        <v>933</v>
      </c>
      <c r="N51" s="564">
        <v>12.24</v>
      </c>
      <c r="O51" s="564">
        <v>30.6</v>
      </c>
      <c r="P51" s="562" t="s">
        <v>1397</v>
      </c>
      <c r="Q51" s="562" t="s">
        <v>85</v>
      </c>
    </row>
    <row r="52" spans="1:17" x14ac:dyDescent="0.25">
      <c r="A52" s="562" t="s">
        <v>646</v>
      </c>
      <c r="B52" s="562" t="s">
        <v>265</v>
      </c>
      <c r="C52" s="562" t="s">
        <v>1343</v>
      </c>
      <c r="D52" s="562" t="s">
        <v>1361</v>
      </c>
      <c r="E52" s="562" t="s">
        <v>1300</v>
      </c>
      <c r="F52" s="562" t="s">
        <v>2130</v>
      </c>
      <c r="G52" s="562" t="s">
        <v>1396</v>
      </c>
      <c r="H52" s="562" t="s">
        <v>1996</v>
      </c>
      <c r="I52" s="562" t="s">
        <v>2131</v>
      </c>
      <c r="J52" s="562">
        <v>31</v>
      </c>
      <c r="K52" s="562">
        <v>31</v>
      </c>
      <c r="L52" s="563" t="s">
        <v>652</v>
      </c>
      <c r="M52" s="563" t="s">
        <v>933</v>
      </c>
      <c r="N52" s="564">
        <v>11.62</v>
      </c>
      <c r="O52" s="564">
        <v>42.22</v>
      </c>
      <c r="P52" s="562" t="s">
        <v>1397</v>
      </c>
      <c r="Q52" s="562" t="s">
        <v>86</v>
      </c>
    </row>
    <row r="53" spans="1:17" x14ac:dyDescent="0.25">
      <c r="A53" s="562" t="s">
        <v>646</v>
      </c>
      <c r="B53" s="562" t="s">
        <v>265</v>
      </c>
      <c r="C53" s="562" t="s">
        <v>1343</v>
      </c>
      <c r="D53" s="562" t="s">
        <v>1361</v>
      </c>
      <c r="E53" s="562" t="s">
        <v>1300</v>
      </c>
      <c r="F53" s="562" t="s">
        <v>2130</v>
      </c>
      <c r="G53" s="562" t="s">
        <v>1396</v>
      </c>
      <c r="H53" s="562" t="s">
        <v>1996</v>
      </c>
      <c r="I53" s="562" t="s">
        <v>2131</v>
      </c>
      <c r="J53" s="562">
        <v>31</v>
      </c>
      <c r="K53" s="562">
        <v>31</v>
      </c>
      <c r="L53" s="563" t="s">
        <v>789</v>
      </c>
      <c r="M53" s="563" t="s">
        <v>929</v>
      </c>
      <c r="N53" s="564">
        <v>11.5</v>
      </c>
      <c r="O53" s="564">
        <v>11.5</v>
      </c>
      <c r="P53" s="562" t="s">
        <v>1397</v>
      </c>
      <c r="Q53" s="562" t="s">
        <v>87</v>
      </c>
    </row>
    <row r="54" spans="1:17" x14ac:dyDescent="0.25">
      <c r="A54" s="562" t="s">
        <v>646</v>
      </c>
      <c r="B54" s="562" t="s">
        <v>265</v>
      </c>
      <c r="C54" s="562" t="s">
        <v>1343</v>
      </c>
      <c r="D54" s="562" t="s">
        <v>1361</v>
      </c>
      <c r="E54" s="562" t="s">
        <v>1300</v>
      </c>
      <c r="F54" s="562" t="s">
        <v>2130</v>
      </c>
      <c r="G54" s="562" t="s">
        <v>1396</v>
      </c>
      <c r="H54" s="562" t="s">
        <v>1996</v>
      </c>
      <c r="I54" s="562" t="s">
        <v>2131</v>
      </c>
      <c r="J54" s="562">
        <v>31</v>
      </c>
      <c r="K54" s="562">
        <v>31</v>
      </c>
      <c r="L54" s="563" t="s">
        <v>791</v>
      </c>
      <c r="M54" s="563" t="s">
        <v>929</v>
      </c>
      <c r="N54" s="564">
        <v>12.78</v>
      </c>
      <c r="O54" s="564">
        <v>24.28</v>
      </c>
      <c r="P54" s="562" t="s">
        <v>1397</v>
      </c>
      <c r="Q54" s="562" t="s">
        <v>88</v>
      </c>
    </row>
    <row r="55" spans="1:17" x14ac:dyDescent="0.25">
      <c r="A55" s="562" t="s">
        <v>646</v>
      </c>
      <c r="B55" s="562" t="s">
        <v>265</v>
      </c>
      <c r="C55" s="562" t="s">
        <v>1343</v>
      </c>
      <c r="D55" s="562" t="s">
        <v>1361</v>
      </c>
      <c r="E55" s="562" t="s">
        <v>1300</v>
      </c>
      <c r="F55" s="562" t="s">
        <v>2130</v>
      </c>
      <c r="G55" s="562" t="s">
        <v>1396</v>
      </c>
      <c r="H55" s="562" t="s">
        <v>1996</v>
      </c>
      <c r="I55" s="562" t="s">
        <v>2131</v>
      </c>
      <c r="J55" s="562">
        <v>31</v>
      </c>
      <c r="K55" s="562">
        <v>31</v>
      </c>
      <c r="L55" s="563" t="s">
        <v>935</v>
      </c>
      <c r="M55" s="563" t="s">
        <v>929</v>
      </c>
      <c r="N55" s="564">
        <v>12.78</v>
      </c>
      <c r="O55" s="564">
        <v>37.06</v>
      </c>
      <c r="P55" s="562" t="s">
        <v>1397</v>
      </c>
      <c r="Q55" s="562" t="s">
        <v>89</v>
      </c>
    </row>
    <row r="56" spans="1:17" x14ac:dyDescent="0.25">
      <c r="A56" s="562" t="s">
        <v>646</v>
      </c>
      <c r="B56" s="562" t="s">
        <v>265</v>
      </c>
      <c r="C56" s="562" t="s">
        <v>1343</v>
      </c>
      <c r="D56" s="562" t="s">
        <v>1361</v>
      </c>
      <c r="E56" s="562" t="s">
        <v>1300</v>
      </c>
      <c r="F56" s="562" t="s">
        <v>2130</v>
      </c>
      <c r="G56" s="562" t="s">
        <v>1396</v>
      </c>
      <c r="H56" s="562" t="s">
        <v>1996</v>
      </c>
      <c r="I56" s="562" t="s">
        <v>2131</v>
      </c>
      <c r="J56" s="562">
        <v>31</v>
      </c>
      <c r="K56" s="562">
        <v>31</v>
      </c>
      <c r="L56" s="563" t="s">
        <v>936</v>
      </c>
      <c r="M56" s="563" t="s">
        <v>929</v>
      </c>
      <c r="N56" s="564">
        <v>19.170000000000002</v>
      </c>
      <c r="O56" s="564">
        <v>56.23</v>
      </c>
      <c r="P56" s="562" t="s">
        <v>1397</v>
      </c>
      <c r="Q56" s="562" t="s">
        <v>90</v>
      </c>
    </row>
    <row r="57" spans="1:17" x14ac:dyDescent="0.25">
      <c r="A57" s="562" t="s">
        <v>646</v>
      </c>
      <c r="B57" s="562" t="s">
        <v>265</v>
      </c>
      <c r="C57" s="562" t="s">
        <v>1343</v>
      </c>
      <c r="D57" s="562" t="s">
        <v>1361</v>
      </c>
      <c r="E57" s="562" t="s">
        <v>1300</v>
      </c>
      <c r="F57" s="562" t="s">
        <v>2130</v>
      </c>
      <c r="G57" s="562" t="s">
        <v>1396</v>
      </c>
      <c r="H57" s="562" t="s">
        <v>1996</v>
      </c>
      <c r="I57" s="562" t="s">
        <v>2131</v>
      </c>
      <c r="J57" s="562">
        <v>31</v>
      </c>
      <c r="K57" s="562">
        <v>31</v>
      </c>
      <c r="L57" s="563" t="s">
        <v>937</v>
      </c>
      <c r="M57" s="563" t="s">
        <v>929</v>
      </c>
      <c r="N57" s="564">
        <v>12.78</v>
      </c>
      <c r="O57" s="564">
        <v>69.010000000000005</v>
      </c>
      <c r="P57" s="562" t="s">
        <v>1397</v>
      </c>
      <c r="Q57" s="562" t="s">
        <v>91</v>
      </c>
    </row>
    <row r="58" spans="1:17" x14ac:dyDescent="0.25">
      <c r="A58" s="562" t="s">
        <v>646</v>
      </c>
      <c r="B58" s="562" t="s">
        <v>265</v>
      </c>
      <c r="C58" s="562" t="s">
        <v>1343</v>
      </c>
      <c r="D58" s="562" t="s">
        <v>1361</v>
      </c>
      <c r="E58" s="562" t="s">
        <v>1300</v>
      </c>
      <c r="F58" s="562" t="s">
        <v>2130</v>
      </c>
      <c r="G58" s="562" t="s">
        <v>1396</v>
      </c>
      <c r="H58" s="562" t="s">
        <v>1996</v>
      </c>
      <c r="I58" s="562" t="s">
        <v>2131</v>
      </c>
      <c r="J58" s="562">
        <v>31</v>
      </c>
      <c r="K58" s="562">
        <v>31</v>
      </c>
      <c r="L58" s="563" t="s">
        <v>938</v>
      </c>
      <c r="M58" s="563" t="s">
        <v>929</v>
      </c>
      <c r="N58" s="564">
        <v>12.14</v>
      </c>
      <c r="O58" s="564">
        <v>81.150000000000006</v>
      </c>
      <c r="P58" s="562" t="s">
        <v>1397</v>
      </c>
      <c r="Q58" s="562" t="s">
        <v>92</v>
      </c>
    </row>
    <row r="59" spans="1:17" x14ac:dyDescent="0.25">
      <c r="A59" s="562" t="s">
        <v>646</v>
      </c>
      <c r="B59" s="562" t="s">
        <v>265</v>
      </c>
      <c r="C59" s="562" t="s">
        <v>1343</v>
      </c>
      <c r="D59" s="562" t="s">
        <v>1361</v>
      </c>
      <c r="E59" s="562" t="s">
        <v>1300</v>
      </c>
      <c r="F59" s="562" t="s">
        <v>2130</v>
      </c>
      <c r="G59" s="562" t="s">
        <v>1396</v>
      </c>
      <c r="H59" s="562" t="s">
        <v>1996</v>
      </c>
      <c r="I59" s="562" t="s">
        <v>2131</v>
      </c>
      <c r="J59" s="562">
        <v>31</v>
      </c>
      <c r="K59" s="562">
        <v>31</v>
      </c>
      <c r="L59" s="563" t="s">
        <v>939</v>
      </c>
      <c r="M59" s="563" t="s">
        <v>929</v>
      </c>
      <c r="N59" s="564">
        <v>12.14</v>
      </c>
      <c r="O59" s="564">
        <v>93.29</v>
      </c>
      <c r="P59" s="562" t="s">
        <v>1397</v>
      </c>
      <c r="Q59" s="562" t="s">
        <v>93</v>
      </c>
    </row>
    <row r="60" spans="1:17" x14ac:dyDescent="0.25">
      <c r="A60" s="562" t="s">
        <v>646</v>
      </c>
      <c r="B60" s="562" t="s">
        <v>265</v>
      </c>
      <c r="C60" s="562" t="s">
        <v>1343</v>
      </c>
      <c r="D60" s="562" t="s">
        <v>1361</v>
      </c>
      <c r="E60" s="562" t="s">
        <v>1300</v>
      </c>
      <c r="F60" s="562" t="s">
        <v>2130</v>
      </c>
      <c r="G60" s="562" t="s">
        <v>1396</v>
      </c>
      <c r="H60" s="562" t="s">
        <v>1996</v>
      </c>
      <c r="I60" s="562" t="s">
        <v>2131</v>
      </c>
      <c r="J60" s="562">
        <v>31</v>
      </c>
      <c r="K60" s="562">
        <v>31</v>
      </c>
      <c r="L60" s="563" t="s">
        <v>940</v>
      </c>
      <c r="M60" s="563" t="s">
        <v>929</v>
      </c>
      <c r="N60" s="564">
        <v>9.58</v>
      </c>
      <c r="O60" s="564">
        <v>102.87</v>
      </c>
      <c r="P60" s="562" t="s">
        <v>1397</v>
      </c>
      <c r="Q60" s="562" t="s">
        <v>94</v>
      </c>
    </row>
    <row r="61" spans="1:17" x14ac:dyDescent="0.25">
      <c r="A61" s="562" t="s">
        <v>646</v>
      </c>
      <c r="B61" s="562" t="s">
        <v>265</v>
      </c>
      <c r="C61" s="562" t="s">
        <v>1343</v>
      </c>
      <c r="D61" s="562" t="s">
        <v>1361</v>
      </c>
      <c r="E61" s="562" t="s">
        <v>1300</v>
      </c>
      <c r="F61" s="562" t="s">
        <v>2130</v>
      </c>
      <c r="G61" s="562" t="s">
        <v>1396</v>
      </c>
      <c r="H61" s="562" t="s">
        <v>1996</v>
      </c>
      <c r="I61" s="562" t="s">
        <v>2131</v>
      </c>
      <c r="J61" s="562">
        <v>31</v>
      </c>
      <c r="K61" s="562">
        <v>31</v>
      </c>
      <c r="L61" s="563" t="s">
        <v>642</v>
      </c>
      <c r="M61" s="563" t="s">
        <v>929</v>
      </c>
      <c r="N61" s="564">
        <v>18.53</v>
      </c>
      <c r="O61" s="564">
        <v>121.4</v>
      </c>
      <c r="P61" s="562" t="s">
        <v>1397</v>
      </c>
      <c r="Q61" s="562" t="s">
        <v>95</v>
      </c>
    </row>
    <row r="62" spans="1:17" x14ac:dyDescent="0.25">
      <c r="A62" s="562" t="s">
        <v>646</v>
      </c>
      <c r="B62" s="562" t="s">
        <v>265</v>
      </c>
      <c r="C62" s="562" t="s">
        <v>1343</v>
      </c>
      <c r="D62" s="562" t="s">
        <v>1361</v>
      </c>
      <c r="E62" s="562" t="s">
        <v>1324</v>
      </c>
      <c r="F62" s="562" t="s">
        <v>2228</v>
      </c>
      <c r="G62" s="562" t="s">
        <v>1396</v>
      </c>
      <c r="H62" s="562" t="s">
        <v>396</v>
      </c>
      <c r="I62" s="562" t="s">
        <v>2229</v>
      </c>
      <c r="J62" s="562" t="s">
        <v>173</v>
      </c>
      <c r="K62" s="562" t="s">
        <v>173</v>
      </c>
      <c r="L62" s="563" t="s">
        <v>646</v>
      </c>
      <c r="M62" s="563" t="s">
        <v>933</v>
      </c>
      <c r="N62" s="564">
        <v>736.17</v>
      </c>
      <c r="O62" s="564">
        <v>736.17</v>
      </c>
      <c r="P62" s="562" t="s">
        <v>1449</v>
      </c>
      <c r="Q62" s="562" t="s">
        <v>84</v>
      </c>
    </row>
    <row r="63" spans="1:17" x14ac:dyDescent="0.25">
      <c r="A63" s="562" t="s">
        <v>646</v>
      </c>
      <c r="B63" s="562" t="s">
        <v>265</v>
      </c>
      <c r="C63" s="562" t="s">
        <v>1343</v>
      </c>
      <c r="D63" s="562" t="s">
        <v>1361</v>
      </c>
      <c r="E63" s="562" t="s">
        <v>1324</v>
      </c>
      <c r="F63" s="562" t="s">
        <v>2228</v>
      </c>
      <c r="G63" s="562" t="s">
        <v>1396</v>
      </c>
      <c r="H63" s="562" t="s">
        <v>396</v>
      </c>
      <c r="I63" s="562" t="s">
        <v>2229</v>
      </c>
      <c r="J63" s="562" t="s">
        <v>173</v>
      </c>
      <c r="K63" s="562" t="s">
        <v>173</v>
      </c>
      <c r="L63" s="563" t="s">
        <v>650</v>
      </c>
      <c r="M63" s="563" t="s">
        <v>933</v>
      </c>
      <c r="N63" s="564">
        <v>439.82</v>
      </c>
      <c r="O63" s="564">
        <v>1175.99</v>
      </c>
      <c r="P63" s="562" t="s">
        <v>1449</v>
      </c>
      <c r="Q63" s="562" t="s">
        <v>85</v>
      </c>
    </row>
    <row r="64" spans="1:17" x14ac:dyDescent="0.25">
      <c r="A64" s="562" t="s">
        <v>646</v>
      </c>
      <c r="B64" s="562" t="s">
        <v>265</v>
      </c>
      <c r="C64" s="562" t="s">
        <v>1343</v>
      </c>
      <c r="D64" s="562" t="s">
        <v>1361</v>
      </c>
      <c r="E64" s="562" t="s">
        <v>1324</v>
      </c>
      <c r="F64" s="562" t="s">
        <v>2228</v>
      </c>
      <c r="G64" s="562" t="s">
        <v>1396</v>
      </c>
      <c r="H64" s="562" t="s">
        <v>396</v>
      </c>
      <c r="I64" s="562" t="s">
        <v>2229</v>
      </c>
      <c r="J64" s="562" t="s">
        <v>173</v>
      </c>
      <c r="K64" s="562" t="s">
        <v>173</v>
      </c>
      <c r="L64" s="563" t="s">
        <v>652</v>
      </c>
      <c r="M64" s="563" t="s">
        <v>933</v>
      </c>
      <c r="N64" s="564">
        <v>442.23</v>
      </c>
      <c r="O64" s="564">
        <v>1618.22</v>
      </c>
      <c r="P64" s="562" t="s">
        <v>1449</v>
      </c>
      <c r="Q64" s="562" t="s">
        <v>86</v>
      </c>
    </row>
    <row r="65" spans="1:17" x14ac:dyDescent="0.25">
      <c r="A65" s="562" t="s">
        <v>646</v>
      </c>
      <c r="B65" s="562" t="s">
        <v>265</v>
      </c>
      <c r="C65" s="562" t="s">
        <v>1343</v>
      </c>
      <c r="D65" s="562" t="s">
        <v>1361</v>
      </c>
      <c r="E65" s="562" t="s">
        <v>1324</v>
      </c>
      <c r="F65" s="562" t="s">
        <v>2228</v>
      </c>
      <c r="G65" s="562" t="s">
        <v>1396</v>
      </c>
      <c r="H65" s="562" t="s">
        <v>396</v>
      </c>
      <c r="I65" s="562" t="s">
        <v>2229</v>
      </c>
      <c r="J65" s="562" t="s">
        <v>173</v>
      </c>
      <c r="K65" s="562" t="s">
        <v>173</v>
      </c>
      <c r="L65" s="563" t="s">
        <v>789</v>
      </c>
      <c r="M65" s="563" t="s">
        <v>929</v>
      </c>
      <c r="N65" s="564">
        <v>514.37</v>
      </c>
      <c r="O65" s="564">
        <v>514.37</v>
      </c>
      <c r="P65" s="562" t="s">
        <v>1449</v>
      </c>
      <c r="Q65" s="562" t="s">
        <v>87</v>
      </c>
    </row>
    <row r="66" spans="1:17" x14ac:dyDescent="0.25">
      <c r="A66" s="562" t="s">
        <v>646</v>
      </c>
      <c r="B66" s="562" t="s">
        <v>265</v>
      </c>
      <c r="C66" s="562" t="s">
        <v>1343</v>
      </c>
      <c r="D66" s="562" t="s">
        <v>1361</v>
      </c>
      <c r="E66" s="562" t="s">
        <v>1324</v>
      </c>
      <c r="F66" s="562" t="s">
        <v>2228</v>
      </c>
      <c r="G66" s="562" t="s">
        <v>1396</v>
      </c>
      <c r="H66" s="562" t="s">
        <v>396</v>
      </c>
      <c r="I66" s="562" t="s">
        <v>2229</v>
      </c>
      <c r="J66" s="562" t="s">
        <v>173</v>
      </c>
      <c r="K66" s="562" t="s">
        <v>173</v>
      </c>
      <c r="L66" s="563" t="s">
        <v>791</v>
      </c>
      <c r="M66" s="563" t="s">
        <v>929</v>
      </c>
      <c r="N66" s="564">
        <v>630.92999999999995</v>
      </c>
      <c r="O66" s="564">
        <v>1145.3</v>
      </c>
      <c r="P66" s="562" t="s">
        <v>1449</v>
      </c>
      <c r="Q66" s="562" t="s">
        <v>88</v>
      </c>
    </row>
    <row r="67" spans="1:17" x14ac:dyDescent="0.25">
      <c r="A67" s="562" t="s">
        <v>646</v>
      </c>
      <c r="B67" s="562" t="s">
        <v>265</v>
      </c>
      <c r="C67" s="562" t="s">
        <v>1343</v>
      </c>
      <c r="D67" s="562" t="s">
        <v>1361</v>
      </c>
      <c r="E67" s="562" t="s">
        <v>1324</v>
      </c>
      <c r="F67" s="562" t="s">
        <v>2228</v>
      </c>
      <c r="G67" s="562" t="s">
        <v>1396</v>
      </c>
      <c r="H67" s="562" t="s">
        <v>396</v>
      </c>
      <c r="I67" s="562" t="s">
        <v>2229</v>
      </c>
      <c r="J67" s="562" t="s">
        <v>173</v>
      </c>
      <c r="K67" s="562" t="s">
        <v>173</v>
      </c>
      <c r="L67" s="563" t="s">
        <v>935</v>
      </c>
      <c r="M67" s="563" t="s">
        <v>929</v>
      </c>
      <c r="N67" s="564">
        <v>609.05999999999995</v>
      </c>
      <c r="O67" s="564">
        <v>1754.36</v>
      </c>
      <c r="P67" s="562" t="s">
        <v>1449</v>
      </c>
      <c r="Q67" s="562" t="s">
        <v>89</v>
      </c>
    </row>
    <row r="68" spans="1:17" x14ac:dyDescent="0.25">
      <c r="A68" s="562" t="s">
        <v>646</v>
      </c>
      <c r="B68" s="562" t="s">
        <v>265</v>
      </c>
      <c r="C68" s="562" t="s">
        <v>1343</v>
      </c>
      <c r="D68" s="562" t="s">
        <v>1361</v>
      </c>
      <c r="E68" s="562" t="s">
        <v>1324</v>
      </c>
      <c r="F68" s="562" t="s">
        <v>2228</v>
      </c>
      <c r="G68" s="562" t="s">
        <v>1396</v>
      </c>
      <c r="H68" s="562" t="s">
        <v>396</v>
      </c>
      <c r="I68" s="562" t="s">
        <v>2229</v>
      </c>
      <c r="J68" s="562" t="s">
        <v>173</v>
      </c>
      <c r="K68" s="562" t="s">
        <v>173</v>
      </c>
      <c r="L68" s="563" t="s">
        <v>936</v>
      </c>
      <c r="M68" s="563" t="s">
        <v>929</v>
      </c>
      <c r="N68" s="564">
        <v>688.24</v>
      </c>
      <c r="O68" s="564">
        <v>2442.6</v>
      </c>
      <c r="P68" s="562" t="s">
        <v>1449</v>
      </c>
      <c r="Q68" s="562" t="s">
        <v>90</v>
      </c>
    </row>
    <row r="69" spans="1:17" x14ac:dyDescent="0.25">
      <c r="A69" s="562" t="s">
        <v>646</v>
      </c>
      <c r="B69" s="562" t="s">
        <v>265</v>
      </c>
      <c r="C69" s="562" t="s">
        <v>1343</v>
      </c>
      <c r="D69" s="562" t="s">
        <v>1361</v>
      </c>
      <c r="E69" s="562" t="s">
        <v>1324</v>
      </c>
      <c r="F69" s="562" t="s">
        <v>2228</v>
      </c>
      <c r="G69" s="562" t="s">
        <v>1396</v>
      </c>
      <c r="H69" s="562" t="s">
        <v>396</v>
      </c>
      <c r="I69" s="562" t="s">
        <v>2229</v>
      </c>
      <c r="J69" s="562" t="s">
        <v>173</v>
      </c>
      <c r="K69" s="562" t="s">
        <v>173</v>
      </c>
      <c r="L69" s="563" t="s">
        <v>937</v>
      </c>
      <c r="M69" s="563" t="s">
        <v>929</v>
      </c>
      <c r="N69" s="564">
        <v>287.7</v>
      </c>
      <c r="O69" s="564">
        <v>2730.3</v>
      </c>
      <c r="P69" s="562" t="s">
        <v>1449</v>
      </c>
      <c r="Q69" s="562" t="s">
        <v>91</v>
      </c>
    </row>
    <row r="70" spans="1:17" x14ac:dyDescent="0.25">
      <c r="A70" s="562" t="s">
        <v>646</v>
      </c>
      <c r="B70" s="562" t="s">
        <v>265</v>
      </c>
      <c r="C70" s="562" t="s">
        <v>1343</v>
      </c>
      <c r="D70" s="562" t="s">
        <v>1361</v>
      </c>
      <c r="E70" s="562" t="s">
        <v>1324</v>
      </c>
      <c r="F70" s="562" t="s">
        <v>2228</v>
      </c>
      <c r="G70" s="562" t="s">
        <v>1396</v>
      </c>
      <c r="H70" s="562" t="s">
        <v>396</v>
      </c>
      <c r="I70" s="562" t="s">
        <v>2229</v>
      </c>
      <c r="J70" s="562" t="s">
        <v>173</v>
      </c>
      <c r="K70" s="562" t="s">
        <v>173</v>
      </c>
      <c r="L70" s="563" t="s">
        <v>938</v>
      </c>
      <c r="M70" s="563" t="s">
        <v>929</v>
      </c>
      <c r="N70" s="564">
        <v>344.95</v>
      </c>
      <c r="O70" s="564">
        <v>3075.25</v>
      </c>
      <c r="P70" s="562" t="s">
        <v>1449</v>
      </c>
      <c r="Q70" s="562" t="s">
        <v>92</v>
      </c>
    </row>
    <row r="71" spans="1:17" x14ac:dyDescent="0.25">
      <c r="A71" s="562" t="s">
        <v>646</v>
      </c>
      <c r="B71" s="562" t="s">
        <v>265</v>
      </c>
      <c r="C71" s="562" t="s">
        <v>1343</v>
      </c>
      <c r="D71" s="562" t="s">
        <v>1361</v>
      </c>
      <c r="E71" s="562" t="s">
        <v>1324</v>
      </c>
      <c r="F71" s="562" t="s">
        <v>2228</v>
      </c>
      <c r="G71" s="562" t="s">
        <v>1396</v>
      </c>
      <c r="H71" s="562" t="s">
        <v>396</v>
      </c>
      <c r="I71" s="562" t="s">
        <v>2229</v>
      </c>
      <c r="J71" s="562" t="s">
        <v>173</v>
      </c>
      <c r="K71" s="562" t="s">
        <v>173</v>
      </c>
      <c r="L71" s="563" t="s">
        <v>939</v>
      </c>
      <c r="M71" s="563" t="s">
        <v>929</v>
      </c>
      <c r="N71" s="564">
        <v>660.79</v>
      </c>
      <c r="O71" s="564">
        <v>3736.04</v>
      </c>
      <c r="P71" s="562" t="s">
        <v>1449</v>
      </c>
      <c r="Q71" s="562" t="s">
        <v>93</v>
      </c>
    </row>
    <row r="72" spans="1:17" x14ac:dyDescent="0.25">
      <c r="A72" s="562" t="s">
        <v>646</v>
      </c>
      <c r="B72" s="562" t="s">
        <v>265</v>
      </c>
      <c r="C72" s="562" t="s">
        <v>1343</v>
      </c>
      <c r="D72" s="562" t="s">
        <v>1361</v>
      </c>
      <c r="E72" s="562" t="s">
        <v>1324</v>
      </c>
      <c r="F72" s="562" t="s">
        <v>2228</v>
      </c>
      <c r="G72" s="562" t="s">
        <v>1396</v>
      </c>
      <c r="H72" s="562" t="s">
        <v>396</v>
      </c>
      <c r="I72" s="562" t="s">
        <v>2229</v>
      </c>
      <c r="J72" s="562" t="s">
        <v>173</v>
      </c>
      <c r="K72" s="562" t="s">
        <v>173</v>
      </c>
      <c r="L72" s="563" t="s">
        <v>940</v>
      </c>
      <c r="M72" s="563" t="s">
        <v>929</v>
      </c>
      <c r="N72" s="564">
        <v>617.55999999999995</v>
      </c>
      <c r="O72" s="564">
        <v>4353.6000000000004</v>
      </c>
      <c r="P72" s="562" t="s">
        <v>1449</v>
      </c>
      <c r="Q72" s="562" t="s">
        <v>94</v>
      </c>
    </row>
    <row r="73" spans="1:17" x14ac:dyDescent="0.25">
      <c r="A73" s="562" t="s">
        <v>646</v>
      </c>
      <c r="B73" s="562" t="s">
        <v>265</v>
      </c>
      <c r="C73" s="562" t="s">
        <v>1343</v>
      </c>
      <c r="D73" s="562" t="s">
        <v>1361</v>
      </c>
      <c r="E73" s="562" t="s">
        <v>1324</v>
      </c>
      <c r="F73" s="562" t="s">
        <v>2228</v>
      </c>
      <c r="G73" s="562" t="s">
        <v>1396</v>
      </c>
      <c r="H73" s="562" t="s">
        <v>396</v>
      </c>
      <c r="I73" s="562" t="s">
        <v>2229</v>
      </c>
      <c r="J73" s="562" t="s">
        <v>173</v>
      </c>
      <c r="K73" s="562" t="s">
        <v>173</v>
      </c>
      <c r="L73" s="563" t="s">
        <v>642</v>
      </c>
      <c r="M73" s="563" t="s">
        <v>929</v>
      </c>
      <c r="N73" s="564">
        <v>1041.28</v>
      </c>
      <c r="O73" s="564">
        <v>5394.88</v>
      </c>
      <c r="P73" s="562" t="s">
        <v>1449</v>
      </c>
      <c r="Q73" s="562" t="s">
        <v>95</v>
      </c>
    </row>
    <row r="74" spans="1:17" x14ac:dyDescent="0.25">
      <c r="A74" s="562" t="s">
        <v>646</v>
      </c>
      <c r="B74" s="562" t="s">
        <v>265</v>
      </c>
      <c r="C74" s="562" t="s">
        <v>1343</v>
      </c>
      <c r="D74" s="562" t="s">
        <v>1361</v>
      </c>
      <c r="E74" s="562" t="s">
        <v>711</v>
      </c>
      <c r="F74" s="562" t="s">
        <v>2248</v>
      </c>
      <c r="G74" s="562" t="s">
        <v>1362</v>
      </c>
      <c r="H74" s="562" t="s">
        <v>392</v>
      </c>
      <c r="I74" s="562" t="s">
        <v>2249</v>
      </c>
      <c r="J74" s="562">
        <v>31</v>
      </c>
      <c r="K74" s="562">
        <v>31</v>
      </c>
      <c r="L74" s="563" t="s">
        <v>646</v>
      </c>
      <c r="M74" s="563" t="s">
        <v>933</v>
      </c>
      <c r="N74" s="564">
        <v>4981.07</v>
      </c>
      <c r="O74" s="564">
        <v>40843.199999999997</v>
      </c>
      <c r="P74" s="562" t="s">
        <v>1460</v>
      </c>
      <c r="Q74" s="562" t="s">
        <v>84</v>
      </c>
    </row>
    <row r="75" spans="1:17" x14ac:dyDescent="0.25">
      <c r="A75" s="562" t="s">
        <v>646</v>
      </c>
      <c r="B75" s="562" t="s">
        <v>265</v>
      </c>
      <c r="C75" s="562" t="s">
        <v>1343</v>
      </c>
      <c r="D75" s="562" t="s">
        <v>1361</v>
      </c>
      <c r="E75" s="562" t="s">
        <v>711</v>
      </c>
      <c r="F75" s="562" t="s">
        <v>2248</v>
      </c>
      <c r="G75" s="562" t="s">
        <v>1362</v>
      </c>
      <c r="H75" s="562" t="s">
        <v>392</v>
      </c>
      <c r="I75" s="562" t="s">
        <v>2249</v>
      </c>
      <c r="J75" s="562">
        <v>31</v>
      </c>
      <c r="K75" s="562">
        <v>31</v>
      </c>
      <c r="L75" s="563" t="s">
        <v>650</v>
      </c>
      <c r="M75" s="563" t="s">
        <v>933</v>
      </c>
      <c r="N75" s="564">
        <v>3249.93</v>
      </c>
      <c r="O75" s="564">
        <v>44093.13</v>
      </c>
      <c r="P75" s="562" t="s">
        <v>1460</v>
      </c>
      <c r="Q75" s="562" t="s">
        <v>85</v>
      </c>
    </row>
    <row r="76" spans="1:17" x14ac:dyDescent="0.25">
      <c r="A76" s="562" t="s">
        <v>646</v>
      </c>
      <c r="B76" s="562" t="s">
        <v>265</v>
      </c>
      <c r="C76" s="562" t="s">
        <v>1343</v>
      </c>
      <c r="D76" s="562" t="s">
        <v>1361</v>
      </c>
      <c r="E76" s="562" t="s">
        <v>711</v>
      </c>
      <c r="F76" s="562" t="s">
        <v>2248</v>
      </c>
      <c r="G76" s="562" t="s">
        <v>1362</v>
      </c>
      <c r="H76" s="562" t="s">
        <v>392</v>
      </c>
      <c r="I76" s="562" t="s">
        <v>2249</v>
      </c>
      <c r="J76" s="562">
        <v>31</v>
      </c>
      <c r="K76" s="562">
        <v>31</v>
      </c>
      <c r="L76" s="563" t="s">
        <v>652</v>
      </c>
      <c r="M76" s="563" t="s">
        <v>933</v>
      </c>
      <c r="N76" s="564">
        <v>2993.87</v>
      </c>
      <c r="O76" s="564">
        <v>47087</v>
      </c>
      <c r="P76" s="562" t="s">
        <v>1460</v>
      </c>
      <c r="Q76" s="562" t="s">
        <v>86</v>
      </c>
    </row>
    <row r="77" spans="1:17" x14ac:dyDescent="0.25">
      <c r="A77" s="562" t="s">
        <v>646</v>
      </c>
      <c r="B77" s="562" t="s">
        <v>265</v>
      </c>
      <c r="C77" s="562" t="s">
        <v>1343</v>
      </c>
      <c r="D77" s="562" t="s">
        <v>1361</v>
      </c>
      <c r="E77" s="562" t="s">
        <v>711</v>
      </c>
      <c r="F77" s="562" t="s">
        <v>2248</v>
      </c>
      <c r="G77" s="562" t="s">
        <v>1362</v>
      </c>
      <c r="H77" s="562" t="s">
        <v>392</v>
      </c>
      <c r="I77" s="562" t="s">
        <v>2249</v>
      </c>
      <c r="J77" s="562">
        <v>31</v>
      </c>
      <c r="K77" s="562">
        <v>31</v>
      </c>
      <c r="L77" s="563" t="s">
        <v>789</v>
      </c>
      <c r="M77" s="563" t="s">
        <v>929</v>
      </c>
      <c r="N77" s="564">
        <v>3096.25</v>
      </c>
      <c r="O77" s="564">
        <v>3096.25</v>
      </c>
      <c r="P77" s="562" t="s">
        <v>1460</v>
      </c>
      <c r="Q77" s="562" t="s">
        <v>87</v>
      </c>
    </row>
    <row r="78" spans="1:17" x14ac:dyDescent="0.25">
      <c r="A78" s="562" t="s">
        <v>646</v>
      </c>
      <c r="B78" s="562" t="s">
        <v>265</v>
      </c>
      <c r="C78" s="562" t="s">
        <v>1343</v>
      </c>
      <c r="D78" s="562" t="s">
        <v>1361</v>
      </c>
      <c r="E78" s="562" t="s">
        <v>711</v>
      </c>
      <c r="F78" s="562" t="s">
        <v>2248</v>
      </c>
      <c r="G78" s="562" t="s">
        <v>1362</v>
      </c>
      <c r="H78" s="562" t="s">
        <v>392</v>
      </c>
      <c r="I78" s="562" t="s">
        <v>2249</v>
      </c>
      <c r="J78" s="562">
        <v>31</v>
      </c>
      <c r="K78" s="562">
        <v>31</v>
      </c>
      <c r="L78" s="563" t="s">
        <v>791</v>
      </c>
      <c r="M78" s="563" t="s">
        <v>929</v>
      </c>
      <c r="N78" s="564">
        <v>3005.86</v>
      </c>
      <c r="O78" s="564">
        <v>6102.11</v>
      </c>
      <c r="P78" s="562" t="s">
        <v>1460</v>
      </c>
      <c r="Q78" s="562" t="s">
        <v>88</v>
      </c>
    </row>
    <row r="79" spans="1:17" x14ac:dyDescent="0.25">
      <c r="A79" s="562" t="s">
        <v>646</v>
      </c>
      <c r="B79" s="562" t="s">
        <v>265</v>
      </c>
      <c r="C79" s="562" t="s">
        <v>1343</v>
      </c>
      <c r="D79" s="562" t="s">
        <v>1361</v>
      </c>
      <c r="E79" s="562" t="s">
        <v>711</v>
      </c>
      <c r="F79" s="562" t="s">
        <v>2248</v>
      </c>
      <c r="G79" s="562" t="s">
        <v>1362</v>
      </c>
      <c r="H79" s="562" t="s">
        <v>392</v>
      </c>
      <c r="I79" s="562" t="s">
        <v>2249</v>
      </c>
      <c r="J79" s="562">
        <v>31</v>
      </c>
      <c r="K79" s="562">
        <v>31</v>
      </c>
      <c r="L79" s="563" t="s">
        <v>935</v>
      </c>
      <c r="M79" s="563" t="s">
        <v>929</v>
      </c>
      <c r="N79" s="564">
        <v>2986.1</v>
      </c>
      <c r="O79" s="564">
        <v>9088.2099999999991</v>
      </c>
      <c r="P79" s="562" t="s">
        <v>1460</v>
      </c>
      <c r="Q79" s="562" t="s">
        <v>89</v>
      </c>
    </row>
    <row r="80" spans="1:17" x14ac:dyDescent="0.25">
      <c r="A80" s="562" t="s">
        <v>646</v>
      </c>
      <c r="B80" s="562" t="s">
        <v>265</v>
      </c>
      <c r="C80" s="562" t="s">
        <v>1343</v>
      </c>
      <c r="D80" s="562" t="s">
        <v>1361</v>
      </c>
      <c r="E80" s="562" t="s">
        <v>711</v>
      </c>
      <c r="F80" s="562" t="s">
        <v>2248</v>
      </c>
      <c r="G80" s="562" t="s">
        <v>1362</v>
      </c>
      <c r="H80" s="562" t="s">
        <v>392</v>
      </c>
      <c r="I80" s="562" t="s">
        <v>2249</v>
      </c>
      <c r="J80" s="562">
        <v>31</v>
      </c>
      <c r="K80" s="562">
        <v>31</v>
      </c>
      <c r="L80" s="563" t="s">
        <v>936</v>
      </c>
      <c r="M80" s="563" t="s">
        <v>929</v>
      </c>
      <c r="N80" s="564">
        <v>5718.78</v>
      </c>
      <c r="O80" s="564">
        <v>14806.99</v>
      </c>
      <c r="P80" s="562" t="s">
        <v>1460</v>
      </c>
      <c r="Q80" s="562" t="s">
        <v>90</v>
      </c>
    </row>
    <row r="81" spans="1:17" x14ac:dyDescent="0.25">
      <c r="A81" s="562" t="s">
        <v>646</v>
      </c>
      <c r="B81" s="562" t="s">
        <v>265</v>
      </c>
      <c r="C81" s="562" t="s">
        <v>1343</v>
      </c>
      <c r="D81" s="562" t="s">
        <v>1361</v>
      </c>
      <c r="E81" s="562" t="s">
        <v>711</v>
      </c>
      <c r="F81" s="562" t="s">
        <v>2248</v>
      </c>
      <c r="G81" s="562" t="s">
        <v>1362</v>
      </c>
      <c r="H81" s="562" t="s">
        <v>392</v>
      </c>
      <c r="I81" s="562" t="s">
        <v>2249</v>
      </c>
      <c r="J81" s="562">
        <v>31</v>
      </c>
      <c r="K81" s="562">
        <v>31</v>
      </c>
      <c r="L81" s="563" t="s">
        <v>937</v>
      </c>
      <c r="M81" s="563" t="s">
        <v>929</v>
      </c>
      <c r="N81" s="564">
        <v>3819.19</v>
      </c>
      <c r="O81" s="564">
        <v>18626.18</v>
      </c>
      <c r="P81" s="562" t="s">
        <v>1460</v>
      </c>
      <c r="Q81" s="562" t="s">
        <v>91</v>
      </c>
    </row>
    <row r="82" spans="1:17" x14ac:dyDescent="0.25">
      <c r="A82" s="562" t="s">
        <v>646</v>
      </c>
      <c r="B82" s="562" t="s">
        <v>265</v>
      </c>
      <c r="C82" s="562" t="s">
        <v>1343</v>
      </c>
      <c r="D82" s="562" t="s">
        <v>1361</v>
      </c>
      <c r="E82" s="562" t="s">
        <v>711</v>
      </c>
      <c r="F82" s="562" t="s">
        <v>2248</v>
      </c>
      <c r="G82" s="562" t="s">
        <v>1362</v>
      </c>
      <c r="H82" s="562" t="s">
        <v>392</v>
      </c>
      <c r="I82" s="562" t="s">
        <v>2249</v>
      </c>
      <c r="J82" s="562">
        <v>31</v>
      </c>
      <c r="K82" s="562">
        <v>31</v>
      </c>
      <c r="L82" s="563" t="s">
        <v>938</v>
      </c>
      <c r="M82" s="563" t="s">
        <v>929</v>
      </c>
      <c r="N82" s="564">
        <v>1732.2</v>
      </c>
      <c r="O82" s="564">
        <v>20358.38</v>
      </c>
      <c r="P82" s="562" t="s">
        <v>1460</v>
      </c>
      <c r="Q82" s="562" t="s">
        <v>92</v>
      </c>
    </row>
    <row r="83" spans="1:17" x14ac:dyDescent="0.25">
      <c r="A83" s="562" t="s">
        <v>646</v>
      </c>
      <c r="B83" s="562" t="s">
        <v>265</v>
      </c>
      <c r="C83" s="562" t="s">
        <v>1343</v>
      </c>
      <c r="D83" s="562" t="s">
        <v>1361</v>
      </c>
      <c r="E83" s="562" t="s">
        <v>711</v>
      </c>
      <c r="F83" s="562" t="s">
        <v>2248</v>
      </c>
      <c r="G83" s="562" t="s">
        <v>1362</v>
      </c>
      <c r="H83" s="562" t="s">
        <v>392</v>
      </c>
      <c r="I83" s="562" t="s">
        <v>2249</v>
      </c>
      <c r="J83" s="562">
        <v>31</v>
      </c>
      <c r="K83" s="562">
        <v>31</v>
      </c>
      <c r="L83" s="563" t="s">
        <v>939</v>
      </c>
      <c r="M83" s="563" t="s">
        <v>929</v>
      </c>
      <c r="N83" s="564">
        <v>3885.35</v>
      </c>
      <c r="O83" s="564">
        <v>24243.73</v>
      </c>
      <c r="P83" s="562" t="s">
        <v>1460</v>
      </c>
      <c r="Q83" s="562" t="s">
        <v>93</v>
      </c>
    </row>
    <row r="84" spans="1:17" x14ac:dyDescent="0.25">
      <c r="A84" s="562" t="s">
        <v>646</v>
      </c>
      <c r="B84" s="562" t="s">
        <v>265</v>
      </c>
      <c r="C84" s="562" t="s">
        <v>1343</v>
      </c>
      <c r="D84" s="562" t="s">
        <v>1361</v>
      </c>
      <c r="E84" s="562" t="s">
        <v>711</v>
      </c>
      <c r="F84" s="562" t="s">
        <v>2248</v>
      </c>
      <c r="G84" s="562" t="s">
        <v>1362</v>
      </c>
      <c r="H84" s="562" t="s">
        <v>392</v>
      </c>
      <c r="I84" s="562" t="s">
        <v>2249</v>
      </c>
      <c r="J84" s="562">
        <v>31</v>
      </c>
      <c r="K84" s="562">
        <v>31</v>
      </c>
      <c r="L84" s="563" t="s">
        <v>940</v>
      </c>
      <c r="M84" s="563" t="s">
        <v>929</v>
      </c>
      <c r="N84" s="564">
        <v>3702.23</v>
      </c>
      <c r="O84" s="564">
        <v>27945.96</v>
      </c>
      <c r="P84" s="562" t="s">
        <v>1460</v>
      </c>
      <c r="Q84" s="562" t="s">
        <v>94</v>
      </c>
    </row>
    <row r="85" spans="1:17" x14ac:dyDescent="0.25">
      <c r="A85" s="562" t="s">
        <v>646</v>
      </c>
      <c r="B85" s="562" t="s">
        <v>265</v>
      </c>
      <c r="C85" s="562" t="s">
        <v>1343</v>
      </c>
      <c r="D85" s="562" t="s">
        <v>1361</v>
      </c>
      <c r="E85" s="562" t="s">
        <v>711</v>
      </c>
      <c r="F85" s="562" t="s">
        <v>2248</v>
      </c>
      <c r="G85" s="562" t="s">
        <v>1362</v>
      </c>
      <c r="H85" s="562" t="s">
        <v>392</v>
      </c>
      <c r="I85" s="562" t="s">
        <v>2249</v>
      </c>
      <c r="J85" s="562">
        <v>31</v>
      </c>
      <c r="K85" s="562">
        <v>31</v>
      </c>
      <c r="L85" s="563" t="s">
        <v>642</v>
      </c>
      <c r="M85" s="563" t="s">
        <v>929</v>
      </c>
      <c r="N85" s="564">
        <v>5733.9</v>
      </c>
      <c r="O85" s="564">
        <v>33679.86</v>
      </c>
      <c r="P85" s="562" t="s">
        <v>1460</v>
      </c>
      <c r="Q85" s="562" t="s">
        <v>95</v>
      </c>
    </row>
    <row r="86" spans="1:17" x14ac:dyDescent="0.25">
      <c r="A86" s="562" t="s">
        <v>646</v>
      </c>
      <c r="B86" s="562" t="s">
        <v>265</v>
      </c>
      <c r="C86" s="562" t="s">
        <v>1343</v>
      </c>
      <c r="D86" s="562" t="s">
        <v>1361</v>
      </c>
      <c r="E86" s="562" t="s">
        <v>755</v>
      </c>
      <c r="F86" s="562" t="s">
        <v>2270</v>
      </c>
      <c r="G86" s="562" t="s">
        <v>1396</v>
      </c>
      <c r="H86" s="562" t="s">
        <v>402</v>
      </c>
      <c r="I86" s="562" t="s">
        <v>2271</v>
      </c>
      <c r="J86" s="562">
        <v>31</v>
      </c>
      <c r="K86" s="562">
        <v>31</v>
      </c>
      <c r="L86" s="563" t="s">
        <v>646</v>
      </c>
      <c r="M86" s="563" t="s">
        <v>933</v>
      </c>
      <c r="N86" s="564">
        <v>926.69</v>
      </c>
      <c r="O86" s="564">
        <v>926.69</v>
      </c>
      <c r="P86" s="562" t="s">
        <v>1471</v>
      </c>
      <c r="Q86" s="562" t="s">
        <v>84</v>
      </c>
    </row>
    <row r="87" spans="1:17" x14ac:dyDescent="0.25">
      <c r="A87" s="562" t="s">
        <v>646</v>
      </c>
      <c r="B87" s="562" t="s">
        <v>265</v>
      </c>
      <c r="C87" s="562" t="s">
        <v>1343</v>
      </c>
      <c r="D87" s="562" t="s">
        <v>1361</v>
      </c>
      <c r="E87" s="562" t="s">
        <v>755</v>
      </c>
      <c r="F87" s="562" t="s">
        <v>2270</v>
      </c>
      <c r="G87" s="562" t="s">
        <v>1396</v>
      </c>
      <c r="H87" s="562" t="s">
        <v>402</v>
      </c>
      <c r="I87" s="562" t="s">
        <v>2271</v>
      </c>
      <c r="J87" s="562">
        <v>31</v>
      </c>
      <c r="K87" s="562">
        <v>31</v>
      </c>
      <c r="L87" s="563" t="s">
        <v>650</v>
      </c>
      <c r="M87" s="563" t="s">
        <v>933</v>
      </c>
      <c r="N87" s="564">
        <v>596.04999999999995</v>
      </c>
      <c r="O87" s="564">
        <v>1522.74</v>
      </c>
      <c r="P87" s="562" t="s">
        <v>1471</v>
      </c>
      <c r="Q87" s="562" t="s">
        <v>85</v>
      </c>
    </row>
    <row r="88" spans="1:17" x14ac:dyDescent="0.25">
      <c r="A88" s="562" t="s">
        <v>646</v>
      </c>
      <c r="B88" s="562" t="s">
        <v>265</v>
      </c>
      <c r="C88" s="562" t="s">
        <v>1343</v>
      </c>
      <c r="D88" s="562" t="s">
        <v>1361</v>
      </c>
      <c r="E88" s="562" t="s">
        <v>755</v>
      </c>
      <c r="F88" s="562" t="s">
        <v>2270</v>
      </c>
      <c r="G88" s="562" t="s">
        <v>1396</v>
      </c>
      <c r="H88" s="562" t="s">
        <v>402</v>
      </c>
      <c r="I88" s="562" t="s">
        <v>2271</v>
      </c>
      <c r="J88" s="562">
        <v>31</v>
      </c>
      <c r="K88" s="562">
        <v>31</v>
      </c>
      <c r="L88" s="563" t="s">
        <v>652</v>
      </c>
      <c r="M88" s="563" t="s">
        <v>933</v>
      </c>
      <c r="N88" s="564">
        <v>593.86</v>
      </c>
      <c r="O88" s="564">
        <v>2116.6</v>
      </c>
      <c r="P88" s="562" t="s">
        <v>1471</v>
      </c>
      <c r="Q88" s="562" t="s">
        <v>86</v>
      </c>
    </row>
    <row r="89" spans="1:17" x14ac:dyDescent="0.25">
      <c r="A89" s="562" t="s">
        <v>646</v>
      </c>
      <c r="B89" s="562" t="s">
        <v>265</v>
      </c>
      <c r="C89" s="562" t="s">
        <v>1343</v>
      </c>
      <c r="D89" s="562" t="s">
        <v>1361</v>
      </c>
      <c r="E89" s="562" t="s">
        <v>755</v>
      </c>
      <c r="F89" s="562" t="s">
        <v>2270</v>
      </c>
      <c r="G89" s="562" t="s">
        <v>1396</v>
      </c>
      <c r="H89" s="562" t="s">
        <v>402</v>
      </c>
      <c r="I89" s="562" t="s">
        <v>2271</v>
      </c>
      <c r="J89" s="562">
        <v>31</v>
      </c>
      <c r="K89" s="562">
        <v>31</v>
      </c>
      <c r="L89" s="563" t="s">
        <v>789</v>
      </c>
      <c r="M89" s="563" t="s">
        <v>929</v>
      </c>
      <c r="N89" s="564">
        <v>635.96</v>
      </c>
      <c r="O89" s="564">
        <v>635.96</v>
      </c>
      <c r="P89" s="562" t="s">
        <v>1471</v>
      </c>
      <c r="Q89" s="562" t="s">
        <v>87</v>
      </c>
    </row>
    <row r="90" spans="1:17" x14ac:dyDescent="0.25">
      <c r="A90" s="562" t="s">
        <v>646</v>
      </c>
      <c r="B90" s="562" t="s">
        <v>265</v>
      </c>
      <c r="C90" s="562" t="s">
        <v>1343</v>
      </c>
      <c r="D90" s="562" t="s">
        <v>1361</v>
      </c>
      <c r="E90" s="562" t="s">
        <v>755</v>
      </c>
      <c r="F90" s="562" t="s">
        <v>2270</v>
      </c>
      <c r="G90" s="562" t="s">
        <v>1396</v>
      </c>
      <c r="H90" s="562" t="s">
        <v>402</v>
      </c>
      <c r="I90" s="562" t="s">
        <v>2271</v>
      </c>
      <c r="J90" s="562">
        <v>31</v>
      </c>
      <c r="K90" s="562">
        <v>31</v>
      </c>
      <c r="L90" s="563" t="s">
        <v>791</v>
      </c>
      <c r="M90" s="563" t="s">
        <v>929</v>
      </c>
      <c r="N90" s="564">
        <v>630.36</v>
      </c>
      <c r="O90" s="564">
        <v>1266.32</v>
      </c>
      <c r="P90" s="562" t="s">
        <v>1471</v>
      </c>
      <c r="Q90" s="562" t="s">
        <v>88</v>
      </c>
    </row>
    <row r="91" spans="1:17" x14ac:dyDescent="0.25">
      <c r="A91" s="562" t="s">
        <v>646</v>
      </c>
      <c r="B91" s="562" t="s">
        <v>265</v>
      </c>
      <c r="C91" s="562" t="s">
        <v>1343</v>
      </c>
      <c r="D91" s="562" t="s">
        <v>1361</v>
      </c>
      <c r="E91" s="562" t="s">
        <v>755</v>
      </c>
      <c r="F91" s="562" t="s">
        <v>2270</v>
      </c>
      <c r="G91" s="562" t="s">
        <v>1396</v>
      </c>
      <c r="H91" s="562" t="s">
        <v>402</v>
      </c>
      <c r="I91" s="562" t="s">
        <v>2271</v>
      </c>
      <c r="J91" s="562">
        <v>31</v>
      </c>
      <c r="K91" s="562">
        <v>31</v>
      </c>
      <c r="L91" s="563" t="s">
        <v>935</v>
      </c>
      <c r="M91" s="563" t="s">
        <v>929</v>
      </c>
      <c r="N91" s="564">
        <v>671.76</v>
      </c>
      <c r="O91" s="564">
        <v>1938.08</v>
      </c>
      <c r="P91" s="562" t="s">
        <v>1471</v>
      </c>
      <c r="Q91" s="562" t="s">
        <v>89</v>
      </c>
    </row>
    <row r="92" spans="1:17" x14ac:dyDescent="0.25">
      <c r="A92" s="562" t="s">
        <v>646</v>
      </c>
      <c r="B92" s="562" t="s">
        <v>265</v>
      </c>
      <c r="C92" s="562" t="s">
        <v>1343</v>
      </c>
      <c r="D92" s="562" t="s">
        <v>1361</v>
      </c>
      <c r="E92" s="562" t="s">
        <v>755</v>
      </c>
      <c r="F92" s="562" t="s">
        <v>2270</v>
      </c>
      <c r="G92" s="562" t="s">
        <v>1396</v>
      </c>
      <c r="H92" s="562" t="s">
        <v>402</v>
      </c>
      <c r="I92" s="562" t="s">
        <v>2271</v>
      </c>
      <c r="J92" s="562">
        <v>31</v>
      </c>
      <c r="K92" s="562">
        <v>31</v>
      </c>
      <c r="L92" s="563" t="s">
        <v>936</v>
      </c>
      <c r="M92" s="563" t="s">
        <v>929</v>
      </c>
      <c r="N92" s="564">
        <v>1193.42</v>
      </c>
      <c r="O92" s="564">
        <v>3131.5</v>
      </c>
      <c r="P92" s="562" t="s">
        <v>1471</v>
      </c>
      <c r="Q92" s="562" t="s">
        <v>90</v>
      </c>
    </row>
    <row r="93" spans="1:17" x14ac:dyDescent="0.25">
      <c r="A93" s="562" t="s">
        <v>646</v>
      </c>
      <c r="B93" s="562" t="s">
        <v>265</v>
      </c>
      <c r="C93" s="562" t="s">
        <v>1343</v>
      </c>
      <c r="D93" s="562" t="s">
        <v>1361</v>
      </c>
      <c r="E93" s="562" t="s">
        <v>755</v>
      </c>
      <c r="F93" s="562" t="s">
        <v>2270</v>
      </c>
      <c r="G93" s="562" t="s">
        <v>1396</v>
      </c>
      <c r="H93" s="562" t="s">
        <v>402</v>
      </c>
      <c r="I93" s="562" t="s">
        <v>2271</v>
      </c>
      <c r="J93" s="562">
        <v>31</v>
      </c>
      <c r="K93" s="562">
        <v>31</v>
      </c>
      <c r="L93" s="563" t="s">
        <v>937</v>
      </c>
      <c r="M93" s="563" t="s">
        <v>929</v>
      </c>
      <c r="N93" s="564">
        <v>742.35</v>
      </c>
      <c r="O93" s="564">
        <v>3873.85</v>
      </c>
      <c r="P93" s="562" t="s">
        <v>1471</v>
      </c>
      <c r="Q93" s="562" t="s">
        <v>91</v>
      </c>
    </row>
    <row r="94" spans="1:17" x14ac:dyDescent="0.25">
      <c r="A94" s="562" t="s">
        <v>646</v>
      </c>
      <c r="B94" s="562" t="s">
        <v>265</v>
      </c>
      <c r="C94" s="562" t="s">
        <v>1343</v>
      </c>
      <c r="D94" s="562" t="s">
        <v>1361</v>
      </c>
      <c r="E94" s="562" t="s">
        <v>755</v>
      </c>
      <c r="F94" s="562" t="s">
        <v>2270</v>
      </c>
      <c r="G94" s="562" t="s">
        <v>1396</v>
      </c>
      <c r="H94" s="562" t="s">
        <v>402</v>
      </c>
      <c r="I94" s="562" t="s">
        <v>2271</v>
      </c>
      <c r="J94" s="562">
        <v>31</v>
      </c>
      <c r="K94" s="562">
        <v>31</v>
      </c>
      <c r="L94" s="563" t="s">
        <v>938</v>
      </c>
      <c r="M94" s="563" t="s">
        <v>929</v>
      </c>
      <c r="N94" s="564">
        <v>281.95999999999998</v>
      </c>
      <c r="O94" s="564">
        <v>4155.8100000000004</v>
      </c>
      <c r="P94" s="562" t="s">
        <v>1471</v>
      </c>
      <c r="Q94" s="562" t="s">
        <v>92</v>
      </c>
    </row>
    <row r="95" spans="1:17" x14ac:dyDescent="0.25">
      <c r="A95" s="562" t="s">
        <v>646</v>
      </c>
      <c r="B95" s="562" t="s">
        <v>265</v>
      </c>
      <c r="C95" s="562" t="s">
        <v>1343</v>
      </c>
      <c r="D95" s="562" t="s">
        <v>1361</v>
      </c>
      <c r="E95" s="562" t="s">
        <v>755</v>
      </c>
      <c r="F95" s="562" t="s">
        <v>2270</v>
      </c>
      <c r="G95" s="562" t="s">
        <v>1396</v>
      </c>
      <c r="H95" s="562" t="s">
        <v>402</v>
      </c>
      <c r="I95" s="562" t="s">
        <v>2271</v>
      </c>
      <c r="J95" s="562">
        <v>31</v>
      </c>
      <c r="K95" s="562">
        <v>31</v>
      </c>
      <c r="L95" s="563" t="s">
        <v>939</v>
      </c>
      <c r="M95" s="563" t="s">
        <v>929</v>
      </c>
      <c r="N95" s="564">
        <v>728.31</v>
      </c>
      <c r="O95" s="564">
        <v>4884.12</v>
      </c>
      <c r="P95" s="562" t="s">
        <v>1471</v>
      </c>
      <c r="Q95" s="562" t="s">
        <v>93</v>
      </c>
    </row>
    <row r="96" spans="1:17" x14ac:dyDescent="0.25">
      <c r="A96" s="562" t="s">
        <v>646</v>
      </c>
      <c r="B96" s="562" t="s">
        <v>265</v>
      </c>
      <c r="C96" s="562" t="s">
        <v>1343</v>
      </c>
      <c r="D96" s="562" t="s">
        <v>1361</v>
      </c>
      <c r="E96" s="562" t="s">
        <v>755</v>
      </c>
      <c r="F96" s="562" t="s">
        <v>2270</v>
      </c>
      <c r="G96" s="562" t="s">
        <v>1396</v>
      </c>
      <c r="H96" s="562" t="s">
        <v>402</v>
      </c>
      <c r="I96" s="562" t="s">
        <v>2271</v>
      </c>
      <c r="J96" s="562">
        <v>31</v>
      </c>
      <c r="K96" s="562">
        <v>31</v>
      </c>
      <c r="L96" s="563" t="s">
        <v>940</v>
      </c>
      <c r="M96" s="563" t="s">
        <v>929</v>
      </c>
      <c r="N96" s="564">
        <v>723.43</v>
      </c>
      <c r="O96" s="564">
        <v>5607.55</v>
      </c>
      <c r="P96" s="562" t="s">
        <v>1471</v>
      </c>
      <c r="Q96" s="562" t="s">
        <v>94</v>
      </c>
    </row>
    <row r="97" spans="1:17" x14ac:dyDescent="0.25">
      <c r="A97" s="562" t="s">
        <v>646</v>
      </c>
      <c r="B97" s="562" t="s">
        <v>265</v>
      </c>
      <c r="C97" s="562" t="s">
        <v>1343</v>
      </c>
      <c r="D97" s="562" t="s">
        <v>1361</v>
      </c>
      <c r="E97" s="562" t="s">
        <v>755</v>
      </c>
      <c r="F97" s="562" t="s">
        <v>2270</v>
      </c>
      <c r="G97" s="562" t="s">
        <v>1396</v>
      </c>
      <c r="H97" s="562" t="s">
        <v>402</v>
      </c>
      <c r="I97" s="562" t="s">
        <v>2271</v>
      </c>
      <c r="J97" s="562">
        <v>31</v>
      </c>
      <c r="K97" s="562">
        <v>31</v>
      </c>
      <c r="L97" s="563" t="s">
        <v>642</v>
      </c>
      <c r="M97" s="563" t="s">
        <v>929</v>
      </c>
      <c r="N97" s="564">
        <v>889.76</v>
      </c>
      <c r="O97" s="564">
        <v>6497.31</v>
      </c>
      <c r="P97" s="562" t="s">
        <v>1471</v>
      </c>
      <c r="Q97" s="562" t="s">
        <v>95</v>
      </c>
    </row>
    <row r="98" spans="1:17" x14ac:dyDescent="0.25">
      <c r="A98" s="562" t="s">
        <v>646</v>
      </c>
      <c r="B98" s="562" t="s">
        <v>265</v>
      </c>
      <c r="C98" s="562" t="s">
        <v>1343</v>
      </c>
      <c r="D98" s="562" t="s">
        <v>1361</v>
      </c>
      <c r="E98" s="562" t="s">
        <v>569</v>
      </c>
      <c r="F98" s="562" t="s">
        <v>2288</v>
      </c>
      <c r="G98" s="562" t="s">
        <v>1396</v>
      </c>
      <c r="H98" s="562" t="s">
        <v>397</v>
      </c>
      <c r="I98" s="562" t="s">
        <v>2289</v>
      </c>
      <c r="J98" s="562">
        <v>31</v>
      </c>
      <c r="K98" s="562">
        <v>31</v>
      </c>
      <c r="L98" s="563" t="s">
        <v>646</v>
      </c>
      <c r="M98" s="563" t="s">
        <v>933</v>
      </c>
      <c r="N98" s="564">
        <v>2201.5300000000002</v>
      </c>
      <c r="O98" s="564">
        <v>2201.5300000000002</v>
      </c>
      <c r="P98" s="562" t="s">
        <v>1480</v>
      </c>
      <c r="Q98" s="562" t="s">
        <v>84</v>
      </c>
    </row>
    <row r="99" spans="1:17" x14ac:dyDescent="0.25">
      <c r="A99" s="562" t="s">
        <v>646</v>
      </c>
      <c r="B99" s="562" t="s">
        <v>265</v>
      </c>
      <c r="C99" s="562" t="s">
        <v>1343</v>
      </c>
      <c r="D99" s="562" t="s">
        <v>1361</v>
      </c>
      <c r="E99" s="562" t="s">
        <v>569</v>
      </c>
      <c r="F99" s="562" t="s">
        <v>2288</v>
      </c>
      <c r="G99" s="562" t="s">
        <v>1396</v>
      </c>
      <c r="H99" s="562" t="s">
        <v>397</v>
      </c>
      <c r="I99" s="562" t="s">
        <v>2289</v>
      </c>
      <c r="J99" s="562">
        <v>31</v>
      </c>
      <c r="K99" s="562">
        <v>31</v>
      </c>
      <c r="L99" s="563" t="s">
        <v>650</v>
      </c>
      <c r="M99" s="563" t="s">
        <v>933</v>
      </c>
      <c r="N99" s="564">
        <v>1259.22</v>
      </c>
      <c r="O99" s="564">
        <v>3460.75</v>
      </c>
      <c r="P99" s="562" t="s">
        <v>1480</v>
      </c>
      <c r="Q99" s="562" t="s">
        <v>85</v>
      </c>
    </row>
    <row r="100" spans="1:17" x14ac:dyDescent="0.25">
      <c r="A100" s="562" t="s">
        <v>646</v>
      </c>
      <c r="B100" s="562" t="s">
        <v>265</v>
      </c>
      <c r="C100" s="562" t="s">
        <v>1343</v>
      </c>
      <c r="D100" s="562" t="s">
        <v>1361</v>
      </c>
      <c r="E100" s="562" t="s">
        <v>569</v>
      </c>
      <c r="F100" s="562" t="s">
        <v>2288</v>
      </c>
      <c r="G100" s="562" t="s">
        <v>1396</v>
      </c>
      <c r="H100" s="562" t="s">
        <v>397</v>
      </c>
      <c r="I100" s="562" t="s">
        <v>2289</v>
      </c>
      <c r="J100" s="562">
        <v>31</v>
      </c>
      <c r="K100" s="562">
        <v>31</v>
      </c>
      <c r="L100" s="563" t="s">
        <v>652</v>
      </c>
      <c r="M100" s="563" t="s">
        <v>933</v>
      </c>
      <c r="N100" s="564">
        <v>1323.62</v>
      </c>
      <c r="O100" s="564">
        <v>4784.37</v>
      </c>
      <c r="P100" s="562" t="s">
        <v>1480</v>
      </c>
      <c r="Q100" s="562" t="s">
        <v>86</v>
      </c>
    </row>
    <row r="101" spans="1:17" x14ac:dyDescent="0.25">
      <c r="A101" s="562" t="s">
        <v>646</v>
      </c>
      <c r="B101" s="562" t="s">
        <v>265</v>
      </c>
      <c r="C101" s="562" t="s">
        <v>1343</v>
      </c>
      <c r="D101" s="562" t="s">
        <v>1361</v>
      </c>
      <c r="E101" s="562" t="s">
        <v>569</v>
      </c>
      <c r="F101" s="562" t="s">
        <v>2288</v>
      </c>
      <c r="G101" s="562" t="s">
        <v>1396</v>
      </c>
      <c r="H101" s="562" t="s">
        <v>397</v>
      </c>
      <c r="I101" s="562" t="s">
        <v>2289</v>
      </c>
      <c r="J101" s="562">
        <v>31</v>
      </c>
      <c r="K101" s="562">
        <v>31</v>
      </c>
      <c r="L101" s="563" t="s">
        <v>789</v>
      </c>
      <c r="M101" s="563" t="s">
        <v>929</v>
      </c>
      <c r="N101" s="564">
        <v>1442.71</v>
      </c>
      <c r="O101" s="564">
        <v>1442.71</v>
      </c>
      <c r="P101" s="562" t="s">
        <v>1480</v>
      </c>
      <c r="Q101" s="562" t="s">
        <v>87</v>
      </c>
    </row>
    <row r="102" spans="1:17" x14ac:dyDescent="0.25">
      <c r="A102" s="562" t="s">
        <v>646</v>
      </c>
      <c r="B102" s="562" t="s">
        <v>265</v>
      </c>
      <c r="C102" s="562" t="s">
        <v>1343</v>
      </c>
      <c r="D102" s="562" t="s">
        <v>1361</v>
      </c>
      <c r="E102" s="562" t="s">
        <v>569</v>
      </c>
      <c r="F102" s="562" t="s">
        <v>2288</v>
      </c>
      <c r="G102" s="562" t="s">
        <v>1396</v>
      </c>
      <c r="H102" s="562" t="s">
        <v>397</v>
      </c>
      <c r="I102" s="562" t="s">
        <v>2289</v>
      </c>
      <c r="J102" s="562">
        <v>31</v>
      </c>
      <c r="K102" s="562">
        <v>31</v>
      </c>
      <c r="L102" s="563" t="s">
        <v>791</v>
      </c>
      <c r="M102" s="563" t="s">
        <v>929</v>
      </c>
      <c r="N102" s="564">
        <v>1367.3</v>
      </c>
      <c r="O102" s="564">
        <v>2810.01</v>
      </c>
      <c r="P102" s="562" t="s">
        <v>1480</v>
      </c>
      <c r="Q102" s="562" t="s">
        <v>88</v>
      </c>
    </row>
    <row r="103" spans="1:17" x14ac:dyDescent="0.25">
      <c r="A103" s="562" t="s">
        <v>646</v>
      </c>
      <c r="B103" s="562" t="s">
        <v>265</v>
      </c>
      <c r="C103" s="562" t="s">
        <v>1343</v>
      </c>
      <c r="D103" s="562" t="s">
        <v>1361</v>
      </c>
      <c r="E103" s="562" t="s">
        <v>569</v>
      </c>
      <c r="F103" s="562" t="s">
        <v>2288</v>
      </c>
      <c r="G103" s="562" t="s">
        <v>1396</v>
      </c>
      <c r="H103" s="562" t="s">
        <v>397</v>
      </c>
      <c r="I103" s="562" t="s">
        <v>2289</v>
      </c>
      <c r="J103" s="562">
        <v>31</v>
      </c>
      <c r="K103" s="562">
        <v>31</v>
      </c>
      <c r="L103" s="563" t="s">
        <v>935</v>
      </c>
      <c r="M103" s="563" t="s">
        <v>929</v>
      </c>
      <c r="N103" s="564">
        <v>1162.18</v>
      </c>
      <c r="O103" s="564">
        <v>3972.19</v>
      </c>
      <c r="P103" s="562" t="s">
        <v>1480</v>
      </c>
      <c r="Q103" s="562" t="s">
        <v>89</v>
      </c>
    </row>
    <row r="104" spans="1:17" x14ac:dyDescent="0.25">
      <c r="A104" s="562" t="s">
        <v>646</v>
      </c>
      <c r="B104" s="562" t="s">
        <v>265</v>
      </c>
      <c r="C104" s="562" t="s">
        <v>1343</v>
      </c>
      <c r="D104" s="562" t="s">
        <v>1361</v>
      </c>
      <c r="E104" s="562" t="s">
        <v>569</v>
      </c>
      <c r="F104" s="562" t="s">
        <v>2288</v>
      </c>
      <c r="G104" s="562" t="s">
        <v>1396</v>
      </c>
      <c r="H104" s="562" t="s">
        <v>397</v>
      </c>
      <c r="I104" s="562" t="s">
        <v>2289</v>
      </c>
      <c r="J104" s="562">
        <v>31</v>
      </c>
      <c r="K104" s="562">
        <v>31</v>
      </c>
      <c r="L104" s="563" t="s">
        <v>936</v>
      </c>
      <c r="M104" s="563" t="s">
        <v>929</v>
      </c>
      <c r="N104" s="564">
        <v>2037.73</v>
      </c>
      <c r="O104" s="564">
        <v>6009.92</v>
      </c>
      <c r="P104" s="562" t="s">
        <v>1480</v>
      </c>
      <c r="Q104" s="562" t="s">
        <v>90</v>
      </c>
    </row>
    <row r="105" spans="1:17" x14ac:dyDescent="0.25">
      <c r="A105" s="562" t="s">
        <v>646</v>
      </c>
      <c r="B105" s="562" t="s">
        <v>265</v>
      </c>
      <c r="C105" s="562" t="s">
        <v>1343</v>
      </c>
      <c r="D105" s="562" t="s">
        <v>1361</v>
      </c>
      <c r="E105" s="562" t="s">
        <v>569</v>
      </c>
      <c r="F105" s="562" t="s">
        <v>2288</v>
      </c>
      <c r="G105" s="562" t="s">
        <v>1396</v>
      </c>
      <c r="H105" s="562" t="s">
        <v>397</v>
      </c>
      <c r="I105" s="562" t="s">
        <v>2289</v>
      </c>
      <c r="J105" s="562">
        <v>31</v>
      </c>
      <c r="K105" s="562">
        <v>31</v>
      </c>
      <c r="L105" s="563" t="s">
        <v>937</v>
      </c>
      <c r="M105" s="563" t="s">
        <v>929</v>
      </c>
      <c r="N105" s="564">
        <v>1751.9</v>
      </c>
      <c r="O105" s="564">
        <v>7761.82</v>
      </c>
      <c r="P105" s="562" t="s">
        <v>1480</v>
      </c>
      <c r="Q105" s="562" t="s">
        <v>91</v>
      </c>
    </row>
    <row r="106" spans="1:17" x14ac:dyDescent="0.25">
      <c r="A106" s="562" t="s">
        <v>646</v>
      </c>
      <c r="B106" s="562" t="s">
        <v>265</v>
      </c>
      <c r="C106" s="562" t="s">
        <v>1343</v>
      </c>
      <c r="D106" s="562" t="s">
        <v>1361</v>
      </c>
      <c r="E106" s="562" t="s">
        <v>569</v>
      </c>
      <c r="F106" s="562" t="s">
        <v>2288</v>
      </c>
      <c r="G106" s="562" t="s">
        <v>1396</v>
      </c>
      <c r="H106" s="562" t="s">
        <v>397</v>
      </c>
      <c r="I106" s="562" t="s">
        <v>2289</v>
      </c>
      <c r="J106" s="562">
        <v>31</v>
      </c>
      <c r="K106" s="562">
        <v>31</v>
      </c>
      <c r="L106" s="563" t="s">
        <v>938</v>
      </c>
      <c r="M106" s="563" t="s">
        <v>929</v>
      </c>
      <c r="N106" s="564">
        <v>758.35</v>
      </c>
      <c r="O106" s="564">
        <v>8520.17</v>
      </c>
      <c r="P106" s="562" t="s">
        <v>1480</v>
      </c>
      <c r="Q106" s="562" t="s">
        <v>92</v>
      </c>
    </row>
    <row r="107" spans="1:17" x14ac:dyDescent="0.25">
      <c r="A107" s="562" t="s">
        <v>646</v>
      </c>
      <c r="B107" s="562" t="s">
        <v>265</v>
      </c>
      <c r="C107" s="562" t="s">
        <v>1343</v>
      </c>
      <c r="D107" s="562" t="s">
        <v>1361</v>
      </c>
      <c r="E107" s="562" t="s">
        <v>569</v>
      </c>
      <c r="F107" s="562" t="s">
        <v>2288</v>
      </c>
      <c r="G107" s="562" t="s">
        <v>1396</v>
      </c>
      <c r="H107" s="562" t="s">
        <v>397</v>
      </c>
      <c r="I107" s="562" t="s">
        <v>2289</v>
      </c>
      <c r="J107" s="562">
        <v>31</v>
      </c>
      <c r="K107" s="562">
        <v>31</v>
      </c>
      <c r="L107" s="563" t="s">
        <v>939</v>
      </c>
      <c r="M107" s="563" t="s">
        <v>929</v>
      </c>
      <c r="N107" s="564">
        <v>1285.01</v>
      </c>
      <c r="O107" s="564">
        <v>9805.18</v>
      </c>
      <c r="P107" s="562" t="s">
        <v>1480</v>
      </c>
      <c r="Q107" s="562" t="s">
        <v>93</v>
      </c>
    </row>
    <row r="108" spans="1:17" x14ac:dyDescent="0.25">
      <c r="A108" s="562" t="s">
        <v>646</v>
      </c>
      <c r="B108" s="562" t="s">
        <v>265</v>
      </c>
      <c r="C108" s="562" t="s">
        <v>1343</v>
      </c>
      <c r="D108" s="562" t="s">
        <v>1361</v>
      </c>
      <c r="E108" s="562" t="s">
        <v>569</v>
      </c>
      <c r="F108" s="562" t="s">
        <v>2288</v>
      </c>
      <c r="G108" s="562" t="s">
        <v>1396</v>
      </c>
      <c r="H108" s="562" t="s">
        <v>397</v>
      </c>
      <c r="I108" s="562" t="s">
        <v>2289</v>
      </c>
      <c r="J108" s="562">
        <v>31</v>
      </c>
      <c r="K108" s="562">
        <v>31</v>
      </c>
      <c r="L108" s="563" t="s">
        <v>940</v>
      </c>
      <c r="M108" s="563" t="s">
        <v>929</v>
      </c>
      <c r="N108" s="564">
        <v>1288.6600000000001</v>
      </c>
      <c r="O108" s="564">
        <v>11093.84</v>
      </c>
      <c r="P108" s="562" t="s">
        <v>1480</v>
      </c>
      <c r="Q108" s="562" t="s">
        <v>94</v>
      </c>
    </row>
    <row r="109" spans="1:17" x14ac:dyDescent="0.25">
      <c r="A109" s="562" t="s">
        <v>646</v>
      </c>
      <c r="B109" s="562" t="s">
        <v>265</v>
      </c>
      <c r="C109" s="562" t="s">
        <v>1343</v>
      </c>
      <c r="D109" s="562" t="s">
        <v>1361</v>
      </c>
      <c r="E109" s="562" t="s">
        <v>569</v>
      </c>
      <c r="F109" s="562" t="s">
        <v>2288</v>
      </c>
      <c r="G109" s="562" t="s">
        <v>1396</v>
      </c>
      <c r="H109" s="562" t="s">
        <v>397</v>
      </c>
      <c r="I109" s="562" t="s">
        <v>2289</v>
      </c>
      <c r="J109" s="562">
        <v>31</v>
      </c>
      <c r="K109" s="562">
        <v>31</v>
      </c>
      <c r="L109" s="563" t="s">
        <v>642</v>
      </c>
      <c r="M109" s="563" t="s">
        <v>929</v>
      </c>
      <c r="N109" s="564">
        <v>1703.06</v>
      </c>
      <c r="O109" s="564">
        <v>12796.9</v>
      </c>
      <c r="P109" s="562" t="s">
        <v>1480</v>
      </c>
      <c r="Q109" s="562" t="s">
        <v>95</v>
      </c>
    </row>
    <row r="110" spans="1:17" x14ac:dyDescent="0.25">
      <c r="A110" s="562" t="s">
        <v>646</v>
      </c>
      <c r="B110" s="562" t="s">
        <v>265</v>
      </c>
      <c r="C110" s="562" t="s">
        <v>1343</v>
      </c>
      <c r="D110" s="562" t="s">
        <v>1361</v>
      </c>
      <c r="E110" s="562" t="s">
        <v>946</v>
      </c>
      <c r="F110" s="562" t="s">
        <v>2306</v>
      </c>
      <c r="G110" s="562" t="s">
        <v>1362</v>
      </c>
      <c r="H110" s="562" t="s">
        <v>403</v>
      </c>
      <c r="I110" s="562" t="s">
        <v>2307</v>
      </c>
      <c r="J110" s="562">
        <v>39</v>
      </c>
      <c r="K110" s="562">
        <v>39</v>
      </c>
      <c r="L110" s="563" t="s">
        <v>646</v>
      </c>
      <c r="M110" s="563" t="s">
        <v>933</v>
      </c>
      <c r="N110" s="564">
        <v>4262.62</v>
      </c>
      <c r="O110" s="564">
        <v>21174.58</v>
      </c>
      <c r="P110" s="562" t="s">
        <v>1489</v>
      </c>
      <c r="Q110" s="562" t="s">
        <v>84</v>
      </c>
    </row>
    <row r="111" spans="1:17" x14ac:dyDescent="0.25">
      <c r="A111" s="562" t="s">
        <v>646</v>
      </c>
      <c r="B111" s="562" t="s">
        <v>265</v>
      </c>
      <c r="C111" s="562" t="s">
        <v>1343</v>
      </c>
      <c r="D111" s="562" t="s">
        <v>1361</v>
      </c>
      <c r="E111" s="562" t="s">
        <v>946</v>
      </c>
      <c r="F111" s="562" t="s">
        <v>2306</v>
      </c>
      <c r="G111" s="562" t="s">
        <v>1362</v>
      </c>
      <c r="H111" s="562" t="s">
        <v>403</v>
      </c>
      <c r="I111" s="562" t="s">
        <v>2307</v>
      </c>
      <c r="J111" s="562">
        <v>39</v>
      </c>
      <c r="K111" s="562">
        <v>39</v>
      </c>
      <c r="L111" s="563" t="s">
        <v>650</v>
      </c>
      <c r="M111" s="563" t="s">
        <v>933</v>
      </c>
      <c r="N111" s="564">
        <v>2788.93</v>
      </c>
      <c r="O111" s="564">
        <v>23963.51</v>
      </c>
      <c r="P111" s="562" t="s">
        <v>1489</v>
      </c>
      <c r="Q111" s="562" t="s">
        <v>85</v>
      </c>
    </row>
    <row r="112" spans="1:17" x14ac:dyDescent="0.25">
      <c r="A112" s="562" t="s">
        <v>646</v>
      </c>
      <c r="B112" s="562" t="s">
        <v>265</v>
      </c>
      <c r="C112" s="562" t="s">
        <v>1343</v>
      </c>
      <c r="D112" s="562" t="s">
        <v>1361</v>
      </c>
      <c r="E112" s="562" t="s">
        <v>946</v>
      </c>
      <c r="F112" s="562" t="s">
        <v>2306</v>
      </c>
      <c r="G112" s="562" t="s">
        <v>1362</v>
      </c>
      <c r="H112" s="562" t="s">
        <v>403</v>
      </c>
      <c r="I112" s="562" t="s">
        <v>2307</v>
      </c>
      <c r="J112" s="562">
        <v>39</v>
      </c>
      <c r="K112" s="562">
        <v>39</v>
      </c>
      <c r="L112" s="563" t="s">
        <v>652</v>
      </c>
      <c r="M112" s="563" t="s">
        <v>933</v>
      </c>
      <c r="N112" s="564">
        <v>3157.86</v>
      </c>
      <c r="O112" s="564">
        <v>27121.37</v>
      </c>
      <c r="P112" s="562" t="s">
        <v>1489</v>
      </c>
      <c r="Q112" s="562" t="s">
        <v>86</v>
      </c>
    </row>
    <row r="113" spans="1:17" x14ac:dyDescent="0.25">
      <c r="A113" s="562" t="s">
        <v>646</v>
      </c>
      <c r="B113" s="562" t="s">
        <v>265</v>
      </c>
      <c r="C113" s="562" t="s">
        <v>1343</v>
      </c>
      <c r="D113" s="562" t="s">
        <v>1361</v>
      </c>
      <c r="E113" s="562" t="s">
        <v>946</v>
      </c>
      <c r="F113" s="562" t="s">
        <v>2306</v>
      </c>
      <c r="G113" s="562" t="s">
        <v>1362</v>
      </c>
      <c r="H113" s="562" t="s">
        <v>403</v>
      </c>
      <c r="I113" s="562" t="s">
        <v>2307</v>
      </c>
      <c r="J113" s="562">
        <v>39</v>
      </c>
      <c r="K113" s="562">
        <v>39</v>
      </c>
      <c r="L113" s="563" t="s">
        <v>789</v>
      </c>
      <c r="M113" s="563" t="s">
        <v>929</v>
      </c>
      <c r="N113" s="564">
        <v>3251.17</v>
      </c>
      <c r="O113" s="564">
        <v>3251.17</v>
      </c>
      <c r="P113" s="562" t="s">
        <v>1489</v>
      </c>
      <c r="Q113" s="562" t="s">
        <v>87</v>
      </c>
    </row>
    <row r="114" spans="1:17" x14ac:dyDescent="0.25">
      <c r="A114" s="562" t="s">
        <v>646</v>
      </c>
      <c r="B114" s="562" t="s">
        <v>265</v>
      </c>
      <c r="C114" s="562" t="s">
        <v>1343</v>
      </c>
      <c r="D114" s="562" t="s">
        <v>1361</v>
      </c>
      <c r="E114" s="562" t="s">
        <v>946</v>
      </c>
      <c r="F114" s="562" t="s">
        <v>2306</v>
      </c>
      <c r="G114" s="562" t="s">
        <v>1362</v>
      </c>
      <c r="H114" s="562" t="s">
        <v>403</v>
      </c>
      <c r="I114" s="562" t="s">
        <v>2307</v>
      </c>
      <c r="J114" s="562">
        <v>39</v>
      </c>
      <c r="K114" s="562">
        <v>39</v>
      </c>
      <c r="L114" s="563" t="s">
        <v>791</v>
      </c>
      <c r="M114" s="563" t="s">
        <v>929</v>
      </c>
      <c r="N114" s="564">
        <v>3872.12</v>
      </c>
      <c r="O114" s="564">
        <v>7123.29</v>
      </c>
      <c r="P114" s="562" t="s">
        <v>1489</v>
      </c>
      <c r="Q114" s="562" t="s">
        <v>88</v>
      </c>
    </row>
    <row r="115" spans="1:17" x14ac:dyDescent="0.25">
      <c r="A115" s="562" t="s">
        <v>646</v>
      </c>
      <c r="B115" s="562" t="s">
        <v>265</v>
      </c>
      <c r="C115" s="562" t="s">
        <v>1343</v>
      </c>
      <c r="D115" s="562" t="s">
        <v>1361</v>
      </c>
      <c r="E115" s="562" t="s">
        <v>946</v>
      </c>
      <c r="F115" s="562" t="s">
        <v>2306</v>
      </c>
      <c r="G115" s="562" t="s">
        <v>1362</v>
      </c>
      <c r="H115" s="562" t="s">
        <v>403</v>
      </c>
      <c r="I115" s="562" t="s">
        <v>2307</v>
      </c>
      <c r="J115" s="562">
        <v>39</v>
      </c>
      <c r="K115" s="562">
        <v>39</v>
      </c>
      <c r="L115" s="563" t="s">
        <v>935</v>
      </c>
      <c r="M115" s="563" t="s">
        <v>929</v>
      </c>
      <c r="N115" s="564">
        <v>3878.2</v>
      </c>
      <c r="O115" s="564">
        <v>11001.49</v>
      </c>
      <c r="P115" s="562" t="s">
        <v>1489</v>
      </c>
      <c r="Q115" s="562" t="s">
        <v>89</v>
      </c>
    </row>
    <row r="116" spans="1:17" x14ac:dyDescent="0.25">
      <c r="A116" s="562" t="s">
        <v>646</v>
      </c>
      <c r="B116" s="562" t="s">
        <v>265</v>
      </c>
      <c r="C116" s="562" t="s">
        <v>1343</v>
      </c>
      <c r="D116" s="562" t="s">
        <v>1361</v>
      </c>
      <c r="E116" s="562" t="s">
        <v>946</v>
      </c>
      <c r="F116" s="562" t="s">
        <v>2306</v>
      </c>
      <c r="G116" s="562" t="s">
        <v>1362</v>
      </c>
      <c r="H116" s="562" t="s">
        <v>403</v>
      </c>
      <c r="I116" s="562" t="s">
        <v>2307</v>
      </c>
      <c r="J116" s="562">
        <v>39</v>
      </c>
      <c r="K116" s="562">
        <v>39</v>
      </c>
      <c r="L116" s="563" t="s">
        <v>936</v>
      </c>
      <c r="M116" s="563" t="s">
        <v>929</v>
      </c>
      <c r="N116" s="564">
        <v>5174.9799999999996</v>
      </c>
      <c r="O116" s="564">
        <v>16176.47</v>
      </c>
      <c r="P116" s="562" t="s">
        <v>1489</v>
      </c>
      <c r="Q116" s="562" t="s">
        <v>90</v>
      </c>
    </row>
    <row r="117" spans="1:17" x14ac:dyDescent="0.25">
      <c r="A117" s="562" t="s">
        <v>646</v>
      </c>
      <c r="B117" s="562" t="s">
        <v>265</v>
      </c>
      <c r="C117" s="562" t="s">
        <v>1343</v>
      </c>
      <c r="D117" s="562" t="s">
        <v>1361</v>
      </c>
      <c r="E117" s="562" t="s">
        <v>946</v>
      </c>
      <c r="F117" s="562" t="s">
        <v>2306</v>
      </c>
      <c r="G117" s="562" t="s">
        <v>1362</v>
      </c>
      <c r="H117" s="562" t="s">
        <v>403</v>
      </c>
      <c r="I117" s="562" t="s">
        <v>2307</v>
      </c>
      <c r="J117" s="562">
        <v>39</v>
      </c>
      <c r="K117" s="562">
        <v>39</v>
      </c>
      <c r="L117" s="563" t="s">
        <v>937</v>
      </c>
      <c r="M117" s="563" t="s">
        <v>929</v>
      </c>
      <c r="N117" s="564">
        <v>3174.45</v>
      </c>
      <c r="O117" s="564">
        <v>19350.919999999998</v>
      </c>
      <c r="P117" s="562" t="s">
        <v>1489</v>
      </c>
      <c r="Q117" s="562" t="s">
        <v>91</v>
      </c>
    </row>
    <row r="118" spans="1:17" x14ac:dyDescent="0.25">
      <c r="A118" s="562" t="s">
        <v>646</v>
      </c>
      <c r="B118" s="562" t="s">
        <v>265</v>
      </c>
      <c r="C118" s="562" t="s">
        <v>1343</v>
      </c>
      <c r="D118" s="562" t="s">
        <v>1361</v>
      </c>
      <c r="E118" s="562" t="s">
        <v>946</v>
      </c>
      <c r="F118" s="562" t="s">
        <v>2306</v>
      </c>
      <c r="G118" s="562" t="s">
        <v>1362</v>
      </c>
      <c r="H118" s="562" t="s">
        <v>403</v>
      </c>
      <c r="I118" s="562" t="s">
        <v>2307</v>
      </c>
      <c r="J118" s="562">
        <v>39</v>
      </c>
      <c r="K118" s="562">
        <v>39</v>
      </c>
      <c r="L118" s="563" t="s">
        <v>938</v>
      </c>
      <c r="M118" s="563" t="s">
        <v>929</v>
      </c>
      <c r="N118" s="564">
        <v>1006.42</v>
      </c>
      <c r="O118" s="564">
        <v>20357.34</v>
      </c>
      <c r="P118" s="562" t="s">
        <v>1489</v>
      </c>
      <c r="Q118" s="562" t="s">
        <v>92</v>
      </c>
    </row>
    <row r="119" spans="1:17" x14ac:dyDescent="0.25">
      <c r="A119" s="562" t="s">
        <v>646</v>
      </c>
      <c r="B119" s="562" t="s">
        <v>265</v>
      </c>
      <c r="C119" s="562" t="s">
        <v>1343</v>
      </c>
      <c r="D119" s="562" t="s">
        <v>1361</v>
      </c>
      <c r="E119" s="562" t="s">
        <v>946</v>
      </c>
      <c r="F119" s="562" t="s">
        <v>2306</v>
      </c>
      <c r="G119" s="562" t="s">
        <v>1362</v>
      </c>
      <c r="H119" s="562" t="s">
        <v>403</v>
      </c>
      <c r="I119" s="562" t="s">
        <v>2307</v>
      </c>
      <c r="J119" s="562">
        <v>39</v>
      </c>
      <c r="K119" s="562">
        <v>39</v>
      </c>
      <c r="L119" s="563" t="s">
        <v>939</v>
      </c>
      <c r="M119" s="563" t="s">
        <v>929</v>
      </c>
      <c r="N119" s="564">
        <v>3213.02</v>
      </c>
      <c r="O119" s="564">
        <v>23570.36</v>
      </c>
      <c r="P119" s="562" t="s">
        <v>1489</v>
      </c>
      <c r="Q119" s="562" t="s">
        <v>93</v>
      </c>
    </row>
    <row r="120" spans="1:17" x14ac:dyDescent="0.25">
      <c r="A120" s="562" t="s">
        <v>646</v>
      </c>
      <c r="B120" s="562" t="s">
        <v>265</v>
      </c>
      <c r="C120" s="562" t="s">
        <v>1343</v>
      </c>
      <c r="D120" s="562" t="s">
        <v>1361</v>
      </c>
      <c r="E120" s="562" t="s">
        <v>946</v>
      </c>
      <c r="F120" s="562" t="s">
        <v>2306</v>
      </c>
      <c r="G120" s="562" t="s">
        <v>1362</v>
      </c>
      <c r="H120" s="562" t="s">
        <v>403</v>
      </c>
      <c r="I120" s="562" t="s">
        <v>2307</v>
      </c>
      <c r="J120" s="562">
        <v>39</v>
      </c>
      <c r="K120" s="562">
        <v>39</v>
      </c>
      <c r="L120" s="563" t="s">
        <v>940</v>
      </c>
      <c r="M120" s="563" t="s">
        <v>929</v>
      </c>
      <c r="N120" s="564">
        <v>3498.54</v>
      </c>
      <c r="O120" s="564">
        <v>27068.9</v>
      </c>
      <c r="P120" s="562" t="s">
        <v>1489</v>
      </c>
      <c r="Q120" s="562" t="s">
        <v>94</v>
      </c>
    </row>
    <row r="121" spans="1:17" x14ac:dyDescent="0.25">
      <c r="A121" s="562" t="s">
        <v>646</v>
      </c>
      <c r="B121" s="562" t="s">
        <v>265</v>
      </c>
      <c r="C121" s="562" t="s">
        <v>1343</v>
      </c>
      <c r="D121" s="562" t="s">
        <v>1361</v>
      </c>
      <c r="E121" s="562" t="s">
        <v>946</v>
      </c>
      <c r="F121" s="562" t="s">
        <v>2306</v>
      </c>
      <c r="G121" s="562" t="s">
        <v>1362</v>
      </c>
      <c r="H121" s="562" t="s">
        <v>403</v>
      </c>
      <c r="I121" s="562" t="s">
        <v>2307</v>
      </c>
      <c r="J121" s="562">
        <v>39</v>
      </c>
      <c r="K121" s="562">
        <v>39</v>
      </c>
      <c r="L121" s="563" t="s">
        <v>642</v>
      </c>
      <c r="M121" s="563" t="s">
        <v>929</v>
      </c>
      <c r="N121" s="565">
        <v>4824.09</v>
      </c>
      <c r="O121" s="564">
        <v>31892.99</v>
      </c>
      <c r="P121" s="562" t="s">
        <v>1489</v>
      </c>
      <c r="Q121" s="562" t="s">
        <v>95</v>
      </c>
    </row>
    <row r="122" spans="1:17" x14ac:dyDescent="0.25">
      <c r="A122" s="562"/>
      <c r="B122" s="562"/>
      <c r="C122" s="562"/>
      <c r="D122" s="562"/>
      <c r="E122" s="562"/>
      <c r="F122" s="562"/>
      <c r="G122" s="562"/>
      <c r="H122" s="562" t="s">
        <v>3141</v>
      </c>
      <c r="I122" s="562"/>
      <c r="J122" s="562"/>
      <c r="K122" s="562"/>
      <c r="L122" s="563"/>
      <c r="M122" s="563"/>
      <c r="N122" s="564">
        <f>SUM(N50:N121)</f>
        <v>120379.02999999996</v>
      </c>
      <c r="O122" s="562"/>
      <c r="P122" s="562"/>
      <c r="Q122" s="562"/>
    </row>
    <row r="123" spans="1:17" x14ac:dyDescent="0.25">
      <c r="A123" s="562"/>
      <c r="B123" s="562"/>
      <c r="C123" s="562"/>
      <c r="D123" s="562"/>
      <c r="E123" s="562"/>
      <c r="F123" s="562"/>
      <c r="G123" s="562"/>
      <c r="H123" s="562" t="s">
        <v>3142</v>
      </c>
      <c r="I123" s="562"/>
      <c r="J123" s="562"/>
      <c r="K123" s="562"/>
      <c r="L123" s="563"/>
      <c r="M123" s="563"/>
      <c r="N123" s="566">
        <v>0.11070000000000001</v>
      </c>
      <c r="O123" s="562"/>
      <c r="P123" s="562"/>
      <c r="Q123" s="562"/>
    </row>
    <row r="124" spans="1:17" x14ac:dyDescent="0.25">
      <c r="A124" s="562"/>
      <c r="B124" s="562"/>
      <c r="C124" s="562"/>
      <c r="D124" s="562"/>
      <c r="E124" s="562"/>
      <c r="F124" s="562"/>
      <c r="G124" s="562"/>
      <c r="H124" s="562" t="s">
        <v>3143</v>
      </c>
      <c r="I124" s="562"/>
      <c r="J124" s="562"/>
      <c r="K124" s="562"/>
      <c r="L124" s="563"/>
      <c r="M124" s="563"/>
      <c r="N124" s="564">
        <f>+N122*N123</f>
        <v>13325.958620999996</v>
      </c>
      <c r="O124" s="562"/>
      <c r="P124" s="562"/>
      <c r="Q124" s="562"/>
    </row>
    <row r="125" spans="1:17" x14ac:dyDescent="0.25">
      <c r="A125" s="562"/>
      <c r="B125" s="562"/>
      <c r="C125" s="562"/>
      <c r="D125" s="562"/>
      <c r="E125" s="562"/>
      <c r="F125" s="562"/>
      <c r="G125" s="562"/>
      <c r="H125" s="562"/>
      <c r="I125" s="562"/>
      <c r="J125" s="562"/>
      <c r="K125" s="562"/>
      <c r="L125" s="563"/>
      <c r="M125" s="563"/>
      <c r="N125" s="564"/>
      <c r="O125" s="562"/>
      <c r="P125" s="562"/>
      <c r="Q125" s="562"/>
    </row>
    <row r="126" spans="1:17" x14ac:dyDescent="0.25">
      <c r="A126" s="562"/>
      <c r="B126" s="562"/>
      <c r="C126" s="562"/>
      <c r="D126" s="562"/>
      <c r="E126" s="562"/>
      <c r="F126" s="562"/>
      <c r="G126" s="562"/>
      <c r="H126" s="562"/>
      <c r="I126" s="562"/>
      <c r="J126" s="562"/>
      <c r="K126" s="562"/>
      <c r="L126" s="563"/>
      <c r="M126" s="563"/>
      <c r="N126" s="564"/>
      <c r="O126" s="562"/>
      <c r="P126" s="562"/>
      <c r="Q126" s="562"/>
    </row>
    <row r="127" spans="1:17" x14ac:dyDescent="0.25">
      <c r="A127" s="562" t="s">
        <v>646</v>
      </c>
      <c r="B127" s="562" t="s">
        <v>265</v>
      </c>
      <c r="C127" s="562" t="s">
        <v>1343</v>
      </c>
      <c r="D127" s="562" t="s">
        <v>1361</v>
      </c>
      <c r="E127" s="562" t="s">
        <v>1302</v>
      </c>
      <c r="F127" s="562" t="s">
        <v>2148</v>
      </c>
      <c r="G127" s="562" t="s">
        <v>1362</v>
      </c>
      <c r="H127" s="562" t="s">
        <v>1999</v>
      </c>
      <c r="I127" s="562" t="s">
        <v>2149</v>
      </c>
      <c r="J127" s="562">
        <v>88</v>
      </c>
      <c r="K127" s="562">
        <v>90.1</v>
      </c>
      <c r="L127" s="563" t="s">
        <v>646</v>
      </c>
      <c r="M127" s="563" t="s">
        <v>933</v>
      </c>
      <c r="N127" s="564">
        <v>119.19</v>
      </c>
      <c r="O127" s="564">
        <v>1187.97</v>
      </c>
      <c r="P127" s="562" t="s">
        <v>1406</v>
      </c>
      <c r="Q127" s="562" t="s">
        <v>84</v>
      </c>
    </row>
    <row r="128" spans="1:17" x14ac:dyDescent="0.25">
      <c r="A128" s="562" t="s">
        <v>646</v>
      </c>
      <c r="B128" s="562" t="s">
        <v>265</v>
      </c>
      <c r="C128" s="562" t="s">
        <v>1343</v>
      </c>
      <c r="D128" s="562" t="s">
        <v>1361</v>
      </c>
      <c r="E128" s="562" t="s">
        <v>1302</v>
      </c>
      <c r="F128" s="562" t="s">
        <v>2148</v>
      </c>
      <c r="G128" s="562" t="s">
        <v>1362</v>
      </c>
      <c r="H128" s="562" t="s">
        <v>1999</v>
      </c>
      <c r="I128" s="562" t="s">
        <v>2149</v>
      </c>
      <c r="J128" s="562">
        <v>88</v>
      </c>
      <c r="K128" s="562">
        <v>90.1</v>
      </c>
      <c r="L128" s="563" t="s">
        <v>650</v>
      </c>
      <c r="M128" s="563" t="s">
        <v>933</v>
      </c>
      <c r="N128" s="564">
        <v>75.290000000000006</v>
      </c>
      <c r="O128" s="564">
        <v>1263.26</v>
      </c>
      <c r="P128" s="562" t="s">
        <v>1406</v>
      </c>
      <c r="Q128" s="562" t="s">
        <v>85</v>
      </c>
    </row>
    <row r="129" spans="1:17" x14ac:dyDescent="0.25">
      <c r="A129" s="562" t="s">
        <v>646</v>
      </c>
      <c r="B129" s="562" t="s">
        <v>265</v>
      </c>
      <c r="C129" s="562" t="s">
        <v>1343</v>
      </c>
      <c r="D129" s="562" t="s">
        <v>1361</v>
      </c>
      <c r="E129" s="562" t="s">
        <v>1302</v>
      </c>
      <c r="F129" s="562" t="s">
        <v>2148</v>
      </c>
      <c r="G129" s="562" t="s">
        <v>1362</v>
      </c>
      <c r="H129" s="562" t="s">
        <v>1999</v>
      </c>
      <c r="I129" s="562" t="s">
        <v>2149</v>
      </c>
      <c r="J129" s="562">
        <v>88</v>
      </c>
      <c r="K129" s="562">
        <v>90.1</v>
      </c>
      <c r="L129" s="563" t="s">
        <v>652</v>
      </c>
      <c r="M129" s="563" t="s">
        <v>933</v>
      </c>
      <c r="N129" s="564">
        <v>77.62</v>
      </c>
      <c r="O129" s="564">
        <v>1340.88</v>
      </c>
      <c r="P129" s="562" t="s">
        <v>1406</v>
      </c>
      <c r="Q129" s="562" t="s">
        <v>86</v>
      </c>
    </row>
    <row r="130" spans="1:17" x14ac:dyDescent="0.25">
      <c r="A130" s="562" t="s">
        <v>646</v>
      </c>
      <c r="B130" s="562" t="s">
        <v>265</v>
      </c>
      <c r="C130" s="562" t="s">
        <v>1343</v>
      </c>
      <c r="D130" s="562" t="s">
        <v>1361</v>
      </c>
      <c r="E130" s="562" t="s">
        <v>1302</v>
      </c>
      <c r="F130" s="562" t="s">
        <v>2148</v>
      </c>
      <c r="G130" s="562" t="s">
        <v>1362</v>
      </c>
      <c r="H130" s="562" t="s">
        <v>1999</v>
      </c>
      <c r="I130" s="562" t="s">
        <v>2149</v>
      </c>
      <c r="J130" s="562">
        <v>88</v>
      </c>
      <c r="K130" s="562">
        <v>90.1</v>
      </c>
      <c r="L130" s="563" t="s">
        <v>789</v>
      </c>
      <c r="M130" s="563" t="s">
        <v>929</v>
      </c>
      <c r="N130" s="564">
        <v>74.67</v>
      </c>
      <c r="O130" s="564">
        <v>74.67</v>
      </c>
      <c r="P130" s="562" t="s">
        <v>1406</v>
      </c>
      <c r="Q130" s="562" t="s">
        <v>87</v>
      </c>
    </row>
    <row r="131" spans="1:17" x14ac:dyDescent="0.25">
      <c r="A131" s="562" t="s">
        <v>646</v>
      </c>
      <c r="B131" s="562" t="s">
        <v>265</v>
      </c>
      <c r="C131" s="562" t="s">
        <v>1343</v>
      </c>
      <c r="D131" s="562" t="s">
        <v>1361</v>
      </c>
      <c r="E131" s="562" t="s">
        <v>1302</v>
      </c>
      <c r="F131" s="562" t="s">
        <v>2148</v>
      </c>
      <c r="G131" s="562" t="s">
        <v>1362</v>
      </c>
      <c r="H131" s="562" t="s">
        <v>1999</v>
      </c>
      <c r="I131" s="562" t="s">
        <v>2149</v>
      </c>
      <c r="J131" s="562">
        <v>88</v>
      </c>
      <c r="K131" s="562">
        <v>90.1</v>
      </c>
      <c r="L131" s="563" t="s">
        <v>791</v>
      </c>
      <c r="M131" s="563" t="s">
        <v>929</v>
      </c>
      <c r="N131" s="564">
        <v>87.38</v>
      </c>
      <c r="O131" s="564">
        <v>162.05000000000001</v>
      </c>
      <c r="P131" s="562" t="s">
        <v>1406</v>
      </c>
      <c r="Q131" s="562" t="s">
        <v>88</v>
      </c>
    </row>
    <row r="132" spans="1:17" x14ac:dyDescent="0.25">
      <c r="A132" s="562" t="s">
        <v>646</v>
      </c>
      <c r="B132" s="562" t="s">
        <v>265</v>
      </c>
      <c r="C132" s="562" t="s">
        <v>1343</v>
      </c>
      <c r="D132" s="562" t="s">
        <v>1361</v>
      </c>
      <c r="E132" s="562" t="s">
        <v>1302</v>
      </c>
      <c r="F132" s="562" t="s">
        <v>2148</v>
      </c>
      <c r="G132" s="562" t="s">
        <v>1362</v>
      </c>
      <c r="H132" s="562" t="s">
        <v>1999</v>
      </c>
      <c r="I132" s="562" t="s">
        <v>2149</v>
      </c>
      <c r="J132" s="562">
        <v>88</v>
      </c>
      <c r="K132" s="562">
        <v>90.1</v>
      </c>
      <c r="L132" s="563" t="s">
        <v>935</v>
      </c>
      <c r="M132" s="563" t="s">
        <v>929</v>
      </c>
      <c r="N132" s="564">
        <v>89.34</v>
      </c>
      <c r="O132" s="564">
        <v>251.39</v>
      </c>
      <c r="P132" s="562" t="s">
        <v>1406</v>
      </c>
      <c r="Q132" s="562" t="s">
        <v>89</v>
      </c>
    </row>
    <row r="133" spans="1:17" x14ac:dyDescent="0.25">
      <c r="A133" s="562" t="s">
        <v>646</v>
      </c>
      <c r="B133" s="562" t="s">
        <v>265</v>
      </c>
      <c r="C133" s="562" t="s">
        <v>1343</v>
      </c>
      <c r="D133" s="562" t="s">
        <v>1361</v>
      </c>
      <c r="E133" s="562" t="s">
        <v>1302</v>
      </c>
      <c r="F133" s="562" t="s">
        <v>2148</v>
      </c>
      <c r="G133" s="562" t="s">
        <v>1362</v>
      </c>
      <c r="H133" s="562" t="s">
        <v>1999</v>
      </c>
      <c r="I133" s="562" t="s">
        <v>2149</v>
      </c>
      <c r="J133" s="562">
        <v>88</v>
      </c>
      <c r="K133" s="562">
        <v>90.1</v>
      </c>
      <c r="L133" s="563" t="s">
        <v>936</v>
      </c>
      <c r="M133" s="563" t="s">
        <v>929</v>
      </c>
      <c r="N133" s="564">
        <v>130.72</v>
      </c>
      <c r="O133" s="564">
        <v>382.11</v>
      </c>
      <c r="P133" s="562" t="s">
        <v>1406</v>
      </c>
      <c r="Q133" s="562" t="s">
        <v>90</v>
      </c>
    </row>
    <row r="134" spans="1:17" x14ac:dyDescent="0.25">
      <c r="A134" s="562" t="s">
        <v>646</v>
      </c>
      <c r="B134" s="562" t="s">
        <v>265</v>
      </c>
      <c r="C134" s="562" t="s">
        <v>1343</v>
      </c>
      <c r="D134" s="562" t="s">
        <v>1361</v>
      </c>
      <c r="E134" s="562" t="s">
        <v>1302</v>
      </c>
      <c r="F134" s="562" t="s">
        <v>2148</v>
      </c>
      <c r="G134" s="562" t="s">
        <v>1362</v>
      </c>
      <c r="H134" s="562" t="s">
        <v>1999</v>
      </c>
      <c r="I134" s="562" t="s">
        <v>2149</v>
      </c>
      <c r="J134" s="562">
        <v>88</v>
      </c>
      <c r="K134" s="562">
        <v>90.1</v>
      </c>
      <c r="L134" s="563" t="s">
        <v>937</v>
      </c>
      <c r="M134" s="563" t="s">
        <v>929</v>
      </c>
      <c r="N134" s="564">
        <v>78.58</v>
      </c>
      <c r="O134" s="564">
        <v>460.69</v>
      </c>
      <c r="P134" s="562" t="s">
        <v>1406</v>
      </c>
      <c r="Q134" s="562" t="s">
        <v>91</v>
      </c>
    </row>
    <row r="135" spans="1:17" x14ac:dyDescent="0.25">
      <c r="A135" s="562" t="s">
        <v>646</v>
      </c>
      <c r="B135" s="562" t="s">
        <v>265</v>
      </c>
      <c r="C135" s="562" t="s">
        <v>1343</v>
      </c>
      <c r="D135" s="562" t="s">
        <v>1361</v>
      </c>
      <c r="E135" s="562" t="s">
        <v>1302</v>
      </c>
      <c r="F135" s="562" t="s">
        <v>2148</v>
      </c>
      <c r="G135" s="562" t="s">
        <v>1362</v>
      </c>
      <c r="H135" s="562" t="s">
        <v>1999</v>
      </c>
      <c r="I135" s="562" t="s">
        <v>2149</v>
      </c>
      <c r="J135" s="562">
        <v>88</v>
      </c>
      <c r="K135" s="562">
        <v>90.1</v>
      </c>
      <c r="L135" s="563" t="s">
        <v>938</v>
      </c>
      <c r="M135" s="563" t="s">
        <v>929</v>
      </c>
      <c r="N135" s="564">
        <v>-552.64</v>
      </c>
      <c r="O135" s="564">
        <v>-91.95</v>
      </c>
      <c r="P135" s="562" t="s">
        <v>1406</v>
      </c>
      <c r="Q135" s="562" t="s">
        <v>92</v>
      </c>
    </row>
    <row r="136" spans="1:17" x14ac:dyDescent="0.25">
      <c r="A136" s="562" t="s">
        <v>646</v>
      </c>
      <c r="B136" s="562" t="s">
        <v>265</v>
      </c>
      <c r="C136" s="562" t="s">
        <v>1343</v>
      </c>
      <c r="D136" s="562" t="s">
        <v>1361</v>
      </c>
      <c r="E136" s="562" t="s">
        <v>1302</v>
      </c>
      <c r="F136" s="562" t="s">
        <v>2148</v>
      </c>
      <c r="G136" s="562" t="s">
        <v>1362</v>
      </c>
      <c r="H136" s="562" t="s">
        <v>1999</v>
      </c>
      <c r="I136" s="562" t="s">
        <v>2149</v>
      </c>
      <c r="J136" s="562">
        <v>88</v>
      </c>
      <c r="K136" s="562">
        <v>90.1</v>
      </c>
      <c r="L136" s="563" t="s">
        <v>939</v>
      </c>
      <c r="M136" s="563" t="s">
        <v>929</v>
      </c>
      <c r="N136" s="564">
        <v>78.7</v>
      </c>
      <c r="O136" s="564">
        <v>-13.25</v>
      </c>
      <c r="P136" s="562" t="s">
        <v>1406</v>
      </c>
      <c r="Q136" s="562" t="s">
        <v>93</v>
      </c>
    </row>
    <row r="137" spans="1:17" x14ac:dyDescent="0.25">
      <c r="A137" s="562" t="s">
        <v>646</v>
      </c>
      <c r="B137" s="562" t="s">
        <v>265</v>
      </c>
      <c r="C137" s="562" t="s">
        <v>1343</v>
      </c>
      <c r="D137" s="562" t="s">
        <v>1361</v>
      </c>
      <c r="E137" s="562" t="s">
        <v>1302</v>
      </c>
      <c r="F137" s="562" t="s">
        <v>2148</v>
      </c>
      <c r="G137" s="562" t="s">
        <v>1362</v>
      </c>
      <c r="H137" s="562" t="s">
        <v>1999</v>
      </c>
      <c r="I137" s="562" t="s">
        <v>2149</v>
      </c>
      <c r="J137" s="562">
        <v>88</v>
      </c>
      <c r="K137" s="562">
        <v>90.1</v>
      </c>
      <c r="L137" s="563" t="s">
        <v>940</v>
      </c>
      <c r="M137" s="563" t="s">
        <v>929</v>
      </c>
      <c r="N137" s="564">
        <v>97.99</v>
      </c>
      <c r="O137" s="564">
        <v>84.74</v>
      </c>
      <c r="P137" s="562" t="s">
        <v>1406</v>
      </c>
      <c r="Q137" s="562" t="s">
        <v>94</v>
      </c>
    </row>
    <row r="138" spans="1:17" x14ac:dyDescent="0.25">
      <c r="A138" s="562" t="s">
        <v>646</v>
      </c>
      <c r="B138" s="562" t="s">
        <v>265</v>
      </c>
      <c r="C138" s="562" t="s">
        <v>1343</v>
      </c>
      <c r="D138" s="562" t="s">
        <v>1361</v>
      </c>
      <c r="E138" s="562" t="s">
        <v>1302</v>
      </c>
      <c r="F138" s="562" t="s">
        <v>2148</v>
      </c>
      <c r="G138" s="562" t="s">
        <v>1362</v>
      </c>
      <c r="H138" s="562" t="s">
        <v>1999</v>
      </c>
      <c r="I138" s="562" t="s">
        <v>2149</v>
      </c>
      <c r="J138" s="562">
        <v>88</v>
      </c>
      <c r="K138" s="562">
        <v>90.1</v>
      </c>
      <c r="L138" s="563" t="s">
        <v>642</v>
      </c>
      <c r="M138" s="563" t="s">
        <v>929</v>
      </c>
      <c r="N138" s="565">
        <v>148.49</v>
      </c>
      <c r="O138" s="564">
        <v>233.23</v>
      </c>
      <c r="P138" s="562" t="s">
        <v>1406</v>
      </c>
      <c r="Q138" s="562" t="s">
        <v>95</v>
      </c>
    </row>
    <row r="139" spans="1:17" x14ac:dyDescent="0.25">
      <c r="A139" s="562"/>
      <c r="B139" s="562"/>
      <c r="C139" s="562"/>
      <c r="D139" s="562"/>
      <c r="E139" s="562"/>
      <c r="F139" s="562"/>
      <c r="G139" s="562"/>
      <c r="H139" s="562" t="s">
        <v>3141</v>
      </c>
      <c r="I139" s="562"/>
      <c r="J139" s="562"/>
      <c r="K139" s="562"/>
      <c r="L139" s="563"/>
      <c r="M139" s="563"/>
      <c r="N139" s="564">
        <f>SUM(N127:N138)</f>
        <v>505.3300000000001</v>
      </c>
      <c r="O139" s="564"/>
      <c r="P139" s="562"/>
      <c r="Q139" s="562"/>
    </row>
    <row r="140" spans="1:17" x14ac:dyDescent="0.25">
      <c r="A140" s="562"/>
      <c r="B140" s="562"/>
      <c r="C140" s="562"/>
      <c r="D140" s="562"/>
      <c r="E140" s="562"/>
      <c r="F140" s="562"/>
      <c r="G140" s="562"/>
      <c r="H140" s="562" t="s">
        <v>3142</v>
      </c>
      <c r="I140" s="562"/>
      <c r="J140" s="562"/>
      <c r="K140" s="562"/>
      <c r="L140" s="563"/>
      <c r="M140" s="563"/>
      <c r="N140" s="566">
        <v>2.63E-2</v>
      </c>
      <c r="O140" s="564"/>
      <c r="P140" s="562"/>
      <c r="Q140" s="562"/>
    </row>
    <row r="141" spans="1:17" x14ac:dyDescent="0.25">
      <c r="A141" s="562"/>
      <c r="B141" s="562"/>
      <c r="C141" s="562"/>
      <c r="D141" s="562"/>
      <c r="E141" s="562"/>
      <c r="F141" s="562"/>
      <c r="G141" s="562"/>
      <c r="H141" s="562" t="s">
        <v>3143</v>
      </c>
      <c r="I141" s="562"/>
      <c r="J141" s="562"/>
      <c r="K141" s="562"/>
      <c r="L141" s="563"/>
      <c r="M141" s="563"/>
      <c r="N141" s="564">
        <f>+N139*N140</f>
        <v>13.290179000000002</v>
      </c>
      <c r="O141" s="564"/>
      <c r="P141" s="562"/>
      <c r="Q141" s="562"/>
    </row>
    <row r="142" spans="1:17" x14ac:dyDescent="0.25">
      <c r="A142" s="562"/>
      <c r="B142" s="562"/>
      <c r="C142" s="562"/>
      <c r="D142" s="562"/>
      <c r="E142" s="562"/>
      <c r="F142" s="562"/>
      <c r="G142" s="562"/>
      <c r="H142" s="562"/>
      <c r="I142" s="562"/>
      <c r="J142" s="562"/>
      <c r="K142" s="562"/>
      <c r="L142" s="563"/>
      <c r="M142" s="563"/>
      <c r="N142" s="564"/>
      <c r="O142" s="564"/>
      <c r="P142" s="562"/>
      <c r="Q142" s="562"/>
    </row>
    <row r="143" spans="1:17" x14ac:dyDescent="0.25">
      <c r="A143" s="562"/>
      <c r="B143" s="562"/>
      <c r="C143" s="562"/>
      <c r="D143" s="562"/>
      <c r="E143" s="562"/>
      <c r="F143" s="562"/>
      <c r="G143" s="562"/>
      <c r="H143" s="562"/>
      <c r="I143" s="562"/>
      <c r="J143" s="562"/>
      <c r="K143" s="562"/>
      <c r="L143" s="562"/>
      <c r="M143" s="562"/>
      <c r="N143" s="562"/>
      <c r="O143" s="562"/>
      <c r="P143" s="562"/>
      <c r="Q143" s="562"/>
    </row>
    <row r="144" spans="1:17" x14ac:dyDescent="0.25">
      <c r="A144" s="562" t="s">
        <v>646</v>
      </c>
      <c r="B144" s="562" t="s">
        <v>265</v>
      </c>
      <c r="C144" s="562" t="s">
        <v>1343</v>
      </c>
      <c r="D144" s="562" t="s">
        <v>1361</v>
      </c>
      <c r="E144" s="562" t="s">
        <v>1311</v>
      </c>
      <c r="F144" s="562" t="s">
        <v>2170</v>
      </c>
      <c r="G144" s="562" t="s">
        <v>1396</v>
      </c>
      <c r="H144" s="562" t="s">
        <v>2010</v>
      </c>
      <c r="I144" s="562" t="s">
        <v>2171</v>
      </c>
      <c r="J144" s="562">
        <v>88</v>
      </c>
      <c r="K144" s="562">
        <v>90.2</v>
      </c>
      <c r="L144" s="563" t="s">
        <v>646</v>
      </c>
      <c r="M144" s="563" t="s">
        <v>933</v>
      </c>
      <c r="N144" s="564">
        <v>19.739999999999998</v>
      </c>
      <c r="O144" s="564">
        <v>19.739999999999998</v>
      </c>
      <c r="P144" s="562" t="s">
        <v>1418</v>
      </c>
      <c r="Q144" s="562" t="s">
        <v>84</v>
      </c>
    </row>
    <row r="145" spans="1:17" x14ac:dyDescent="0.25">
      <c r="A145" s="562" t="s">
        <v>646</v>
      </c>
      <c r="B145" s="562" t="s">
        <v>265</v>
      </c>
      <c r="C145" s="562" t="s">
        <v>1343</v>
      </c>
      <c r="D145" s="562" t="s">
        <v>1361</v>
      </c>
      <c r="E145" s="562" t="s">
        <v>1311</v>
      </c>
      <c r="F145" s="562" t="s">
        <v>2170</v>
      </c>
      <c r="G145" s="562" t="s">
        <v>1396</v>
      </c>
      <c r="H145" s="562" t="s">
        <v>2010</v>
      </c>
      <c r="I145" s="562" t="s">
        <v>2171</v>
      </c>
      <c r="J145" s="562">
        <v>88</v>
      </c>
      <c r="K145" s="562">
        <v>90.2</v>
      </c>
      <c r="L145" s="563" t="s">
        <v>650</v>
      </c>
      <c r="M145" s="563" t="s">
        <v>933</v>
      </c>
      <c r="N145" s="564">
        <v>13.23</v>
      </c>
      <c r="O145" s="564">
        <v>32.97</v>
      </c>
      <c r="P145" s="562" t="s">
        <v>1418</v>
      </c>
      <c r="Q145" s="562" t="s">
        <v>85</v>
      </c>
    </row>
    <row r="146" spans="1:17" x14ac:dyDescent="0.25">
      <c r="A146" s="562" t="s">
        <v>646</v>
      </c>
      <c r="B146" s="562" t="s">
        <v>265</v>
      </c>
      <c r="C146" s="562" t="s">
        <v>1343</v>
      </c>
      <c r="D146" s="562" t="s">
        <v>1361</v>
      </c>
      <c r="E146" s="562" t="s">
        <v>1311</v>
      </c>
      <c r="F146" s="562" t="s">
        <v>2170</v>
      </c>
      <c r="G146" s="562" t="s">
        <v>1396</v>
      </c>
      <c r="H146" s="562" t="s">
        <v>2010</v>
      </c>
      <c r="I146" s="562" t="s">
        <v>2171</v>
      </c>
      <c r="J146" s="562">
        <v>88</v>
      </c>
      <c r="K146" s="562">
        <v>90.2</v>
      </c>
      <c r="L146" s="563" t="s">
        <v>652</v>
      </c>
      <c r="M146" s="563" t="s">
        <v>933</v>
      </c>
      <c r="N146" s="564">
        <v>12</v>
      </c>
      <c r="O146" s="564">
        <v>44.97</v>
      </c>
      <c r="P146" s="562" t="s">
        <v>1418</v>
      </c>
      <c r="Q146" s="562" t="s">
        <v>86</v>
      </c>
    </row>
    <row r="147" spans="1:17" x14ac:dyDescent="0.25">
      <c r="A147" s="562" t="s">
        <v>646</v>
      </c>
      <c r="B147" s="562" t="s">
        <v>265</v>
      </c>
      <c r="C147" s="562" t="s">
        <v>1343</v>
      </c>
      <c r="D147" s="562" t="s">
        <v>1361</v>
      </c>
      <c r="E147" s="562" t="s">
        <v>1311</v>
      </c>
      <c r="F147" s="562" t="s">
        <v>2170</v>
      </c>
      <c r="G147" s="562" t="s">
        <v>1396</v>
      </c>
      <c r="H147" s="562" t="s">
        <v>2010</v>
      </c>
      <c r="I147" s="562" t="s">
        <v>2171</v>
      </c>
      <c r="J147" s="562">
        <v>88</v>
      </c>
      <c r="K147" s="562">
        <v>90.2</v>
      </c>
      <c r="L147" s="563" t="s">
        <v>789</v>
      </c>
      <c r="M147" s="563" t="s">
        <v>929</v>
      </c>
      <c r="N147" s="564">
        <v>11.22</v>
      </c>
      <c r="O147" s="564">
        <v>11.22</v>
      </c>
      <c r="P147" s="562" t="s">
        <v>1418</v>
      </c>
      <c r="Q147" s="562" t="s">
        <v>87</v>
      </c>
    </row>
    <row r="148" spans="1:17" x14ac:dyDescent="0.25">
      <c r="A148" s="562" t="s">
        <v>646</v>
      </c>
      <c r="B148" s="562" t="s">
        <v>265</v>
      </c>
      <c r="C148" s="562" t="s">
        <v>1343</v>
      </c>
      <c r="D148" s="562" t="s">
        <v>1361</v>
      </c>
      <c r="E148" s="562" t="s">
        <v>1311</v>
      </c>
      <c r="F148" s="562" t="s">
        <v>2170</v>
      </c>
      <c r="G148" s="562" t="s">
        <v>1396</v>
      </c>
      <c r="H148" s="562" t="s">
        <v>2010</v>
      </c>
      <c r="I148" s="562" t="s">
        <v>2171</v>
      </c>
      <c r="J148" s="562">
        <v>88</v>
      </c>
      <c r="K148" s="562">
        <v>90.2</v>
      </c>
      <c r="L148" s="563" t="s">
        <v>791</v>
      </c>
      <c r="M148" s="563" t="s">
        <v>929</v>
      </c>
      <c r="N148" s="564">
        <v>13.48</v>
      </c>
      <c r="O148" s="564">
        <v>24.7</v>
      </c>
      <c r="P148" s="562" t="s">
        <v>1418</v>
      </c>
      <c r="Q148" s="562" t="s">
        <v>88</v>
      </c>
    </row>
    <row r="149" spans="1:17" x14ac:dyDescent="0.25">
      <c r="A149" s="562" t="s">
        <v>646</v>
      </c>
      <c r="B149" s="562" t="s">
        <v>265</v>
      </c>
      <c r="C149" s="562" t="s">
        <v>1343</v>
      </c>
      <c r="D149" s="562" t="s">
        <v>1361</v>
      </c>
      <c r="E149" s="562" t="s">
        <v>1311</v>
      </c>
      <c r="F149" s="562" t="s">
        <v>2170</v>
      </c>
      <c r="G149" s="562" t="s">
        <v>1396</v>
      </c>
      <c r="H149" s="562" t="s">
        <v>2010</v>
      </c>
      <c r="I149" s="562" t="s">
        <v>2171</v>
      </c>
      <c r="J149" s="562">
        <v>88</v>
      </c>
      <c r="K149" s="562">
        <v>90.2</v>
      </c>
      <c r="L149" s="563" t="s">
        <v>935</v>
      </c>
      <c r="M149" s="563" t="s">
        <v>929</v>
      </c>
      <c r="N149" s="564">
        <v>11.92</v>
      </c>
      <c r="O149" s="564">
        <v>36.619999999999997</v>
      </c>
      <c r="P149" s="562" t="s">
        <v>1418</v>
      </c>
      <c r="Q149" s="562" t="s">
        <v>89</v>
      </c>
    </row>
    <row r="150" spans="1:17" x14ac:dyDescent="0.25">
      <c r="A150" s="562" t="s">
        <v>646</v>
      </c>
      <c r="B150" s="562" t="s">
        <v>265</v>
      </c>
      <c r="C150" s="562" t="s">
        <v>1343</v>
      </c>
      <c r="D150" s="562" t="s">
        <v>1361</v>
      </c>
      <c r="E150" s="562" t="s">
        <v>1311</v>
      </c>
      <c r="F150" s="562" t="s">
        <v>2170</v>
      </c>
      <c r="G150" s="562" t="s">
        <v>1396</v>
      </c>
      <c r="H150" s="562" t="s">
        <v>2010</v>
      </c>
      <c r="I150" s="562" t="s">
        <v>2171</v>
      </c>
      <c r="J150" s="562">
        <v>88</v>
      </c>
      <c r="K150" s="562">
        <v>90.2</v>
      </c>
      <c r="L150" s="563" t="s">
        <v>936</v>
      </c>
      <c r="M150" s="563" t="s">
        <v>929</v>
      </c>
      <c r="N150" s="564">
        <v>19.97</v>
      </c>
      <c r="O150" s="564">
        <v>56.59</v>
      </c>
      <c r="P150" s="562" t="s">
        <v>1418</v>
      </c>
      <c r="Q150" s="562" t="s">
        <v>90</v>
      </c>
    </row>
    <row r="151" spans="1:17" x14ac:dyDescent="0.25">
      <c r="A151" s="562" t="s">
        <v>646</v>
      </c>
      <c r="B151" s="562" t="s">
        <v>265</v>
      </c>
      <c r="C151" s="562" t="s">
        <v>1343</v>
      </c>
      <c r="D151" s="562" t="s">
        <v>1361</v>
      </c>
      <c r="E151" s="562" t="s">
        <v>1311</v>
      </c>
      <c r="F151" s="562" t="s">
        <v>2170</v>
      </c>
      <c r="G151" s="562" t="s">
        <v>1396</v>
      </c>
      <c r="H151" s="562" t="s">
        <v>2010</v>
      </c>
      <c r="I151" s="562" t="s">
        <v>2171</v>
      </c>
      <c r="J151" s="562">
        <v>88</v>
      </c>
      <c r="K151" s="562">
        <v>90.2</v>
      </c>
      <c r="L151" s="563" t="s">
        <v>937</v>
      </c>
      <c r="M151" s="563" t="s">
        <v>929</v>
      </c>
      <c r="N151" s="564">
        <v>12.78</v>
      </c>
      <c r="O151" s="564">
        <v>69.37</v>
      </c>
      <c r="P151" s="562" t="s">
        <v>1418</v>
      </c>
      <c r="Q151" s="562" t="s">
        <v>91</v>
      </c>
    </row>
    <row r="152" spans="1:17" x14ac:dyDescent="0.25">
      <c r="A152" s="562" t="s">
        <v>646</v>
      </c>
      <c r="B152" s="562" t="s">
        <v>265</v>
      </c>
      <c r="C152" s="562" t="s">
        <v>1343</v>
      </c>
      <c r="D152" s="562" t="s">
        <v>1361</v>
      </c>
      <c r="E152" s="562" t="s">
        <v>1311</v>
      </c>
      <c r="F152" s="562" t="s">
        <v>2170</v>
      </c>
      <c r="G152" s="562" t="s">
        <v>1396</v>
      </c>
      <c r="H152" s="562" t="s">
        <v>2010</v>
      </c>
      <c r="I152" s="562" t="s">
        <v>2171</v>
      </c>
      <c r="J152" s="562">
        <v>88</v>
      </c>
      <c r="K152" s="562">
        <v>90.2</v>
      </c>
      <c r="L152" s="563" t="s">
        <v>938</v>
      </c>
      <c r="M152" s="563" t="s">
        <v>929</v>
      </c>
      <c r="N152" s="564">
        <v>12.24</v>
      </c>
      <c r="O152" s="564">
        <v>81.61</v>
      </c>
      <c r="P152" s="562" t="s">
        <v>1418</v>
      </c>
      <c r="Q152" s="562" t="s">
        <v>92</v>
      </c>
    </row>
    <row r="153" spans="1:17" x14ac:dyDescent="0.25">
      <c r="A153" s="562" t="s">
        <v>646</v>
      </c>
      <c r="B153" s="562" t="s">
        <v>265</v>
      </c>
      <c r="C153" s="562" t="s">
        <v>1343</v>
      </c>
      <c r="D153" s="562" t="s">
        <v>1361</v>
      </c>
      <c r="E153" s="562" t="s">
        <v>1311</v>
      </c>
      <c r="F153" s="562" t="s">
        <v>2170</v>
      </c>
      <c r="G153" s="562" t="s">
        <v>1396</v>
      </c>
      <c r="H153" s="562" t="s">
        <v>2010</v>
      </c>
      <c r="I153" s="562" t="s">
        <v>2171</v>
      </c>
      <c r="J153" s="562">
        <v>88</v>
      </c>
      <c r="K153" s="562">
        <v>90.2</v>
      </c>
      <c r="L153" s="563" t="s">
        <v>939</v>
      </c>
      <c r="M153" s="563" t="s">
        <v>929</v>
      </c>
      <c r="N153" s="564">
        <v>12.32</v>
      </c>
      <c r="O153" s="564">
        <v>93.93</v>
      </c>
      <c r="P153" s="562" t="s">
        <v>1418</v>
      </c>
      <c r="Q153" s="562" t="s">
        <v>93</v>
      </c>
    </row>
    <row r="154" spans="1:17" x14ac:dyDescent="0.25">
      <c r="A154" s="562" t="s">
        <v>646</v>
      </c>
      <c r="B154" s="562" t="s">
        <v>265</v>
      </c>
      <c r="C154" s="562" t="s">
        <v>1343</v>
      </c>
      <c r="D154" s="562" t="s">
        <v>1361</v>
      </c>
      <c r="E154" s="562" t="s">
        <v>1311</v>
      </c>
      <c r="F154" s="562" t="s">
        <v>2170</v>
      </c>
      <c r="G154" s="562" t="s">
        <v>1396</v>
      </c>
      <c r="H154" s="562" t="s">
        <v>2010</v>
      </c>
      <c r="I154" s="562" t="s">
        <v>2171</v>
      </c>
      <c r="J154" s="562">
        <v>88</v>
      </c>
      <c r="K154" s="562">
        <v>90.2</v>
      </c>
      <c r="L154" s="563" t="s">
        <v>940</v>
      </c>
      <c r="M154" s="563" t="s">
        <v>929</v>
      </c>
      <c r="N154" s="564">
        <v>14.07</v>
      </c>
      <c r="O154" s="564">
        <v>108</v>
      </c>
      <c r="P154" s="562" t="s">
        <v>1418</v>
      </c>
      <c r="Q154" s="562" t="s">
        <v>94</v>
      </c>
    </row>
    <row r="155" spans="1:17" x14ac:dyDescent="0.25">
      <c r="A155" s="562" t="s">
        <v>646</v>
      </c>
      <c r="B155" s="562" t="s">
        <v>265</v>
      </c>
      <c r="C155" s="562" t="s">
        <v>1343</v>
      </c>
      <c r="D155" s="562" t="s">
        <v>1361</v>
      </c>
      <c r="E155" s="562" t="s">
        <v>1311</v>
      </c>
      <c r="F155" s="562" t="s">
        <v>2170</v>
      </c>
      <c r="G155" s="562" t="s">
        <v>1396</v>
      </c>
      <c r="H155" s="562" t="s">
        <v>2010</v>
      </c>
      <c r="I155" s="562" t="s">
        <v>2171</v>
      </c>
      <c r="J155" s="562">
        <v>88</v>
      </c>
      <c r="K155" s="562">
        <v>90.2</v>
      </c>
      <c r="L155" s="563" t="s">
        <v>642</v>
      </c>
      <c r="M155" s="563" t="s">
        <v>929</v>
      </c>
      <c r="N155" s="564">
        <v>19.82</v>
      </c>
      <c r="O155" s="564">
        <v>127.82</v>
      </c>
      <c r="P155" s="562" t="s">
        <v>1418</v>
      </c>
      <c r="Q155" s="562" t="s">
        <v>95</v>
      </c>
    </row>
    <row r="156" spans="1:17" x14ac:dyDescent="0.25">
      <c r="A156" s="562" t="s">
        <v>646</v>
      </c>
      <c r="B156" s="562" t="s">
        <v>265</v>
      </c>
      <c r="C156" s="562" t="s">
        <v>1343</v>
      </c>
      <c r="D156" s="562" t="s">
        <v>1361</v>
      </c>
      <c r="E156" s="562" t="s">
        <v>1314</v>
      </c>
      <c r="F156" s="562" t="s">
        <v>2188</v>
      </c>
      <c r="G156" s="562" t="s">
        <v>1396</v>
      </c>
      <c r="H156" s="562" t="s">
        <v>2015</v>
      </c>
      <c r="I156" s="562" t="s">
        <v>2189</v>
      </c>
      <c r="J156" s="562">
        <v>88</v>
      </c>
      <c r="K156" s="562">
        <v>90.2</v>
      </c>
      <c r="L156" s="563" t="s">
        <v>646</v>
      </c>
      <c r="M156" s="563" t="s">
        <v>933</v>
      </c>
      <c r="N156" s="564">
        <v>33.35</v>
      </c>
      <c r="O156" s="564">
        <v>33.35</v>
      </c>
      <c r="P156" s="562" t="s">
        <v>1428</v>
      </c>
      <c r="Q156" s="562" t="s">
        <v>84</v>
      </c>
    </row>
    <row r="157" spans="1:17" x14ac:dyDescent="0.25">
      <c r="A157" s="562" t="s">
        <v>646</v>
      </c>
      <c r="B157" s="562" t="s">
        <v>265</v>
      </c>
      <c r="C157" s="562" t="s">
        <v>1343</v>
      </c>
      <c r="D157" s="562" t="s">
        <v>1361</v>
      </c>
      <c r="E157" s="562" t="s">
        <v>1314</v>
      </c>
      <c r="F157" s="562" t="s">
        <v>2188</v>
      </c>
      <c r="G157" s="562" t="s">
        <v>1396</v>
      </c>
      <c r="H157" s="562" t="s">
        <v>2015</v>
      </c>
      <c r="I157" s="562" t="s">
        <v>2189</v>
      </c>
      <c r="J157" s="562">
        <v>88</v>
      </c>
      <c r="K157" s="562">
        <v>90.2</v>
      </c>
      <c r="L157" s="563" t="s">
        <v>650</v>
      </c>
      <c r="M157" s="563" t="s">
        <v>933</v>
      </c>
      <c r="N157" s="564">
        <v>24.48</v>
      </c>
      <c r="O157" s="564">
        <v>57.83</v>
      </c>
      <c r="P157" s="562" t="s">
        <v>1428</v>
      </c>
      <c r="Q157" s="562" t="s">
        <v>85</v>
      </c>
    </row>
    <row r="158" spans="1:17" x14ac:dyDescent="0.25">
      <c r="A158" s="562" t="s">
        <v>646</v>
      </c>
      <c r="B158" s="562" t="s">
        <v>265</v>
      </c>
      <c r="C158" s="562" t="s">
        <v>1343</v>
      </c>
      <c r="D158" s="562" t="s">
        <v>1361</v>
      </c>
      <c r="E158" s="562" t="s">
        <v>1314</v>
      </c>
      <c r="F158" s="562" t="s">
        <v>2188</v>
      </c>
      <c r="G158" s="562" t="s">
        <v>1396</v>
      </c>
      <c r="H158" s="562" t="s">
        <v>2015</v>
      </c>
      <c r="I158" s="562" t="s">
        <v>2189</v>
      </c>
      <c r="J158" s="562">
        <v>88</v>
      </c>
      <c r="K158" s="562">
        <v>90.2</v>
      </c>
      <c r="L158" s="563" t="s">
        <v>652</v>
      </c>
      <c r="M158" s="563" t="s">
        <v>933</v>
      </c>
      <c r="N158" s="564">
        <v>23.24</v>
      </c>
      <c r="O158" s="564">
        <v>81.069999999999993</v>
      </c>
      <c r="P158" s="562" t="s">
        <v>1428</v>
      </c>
      <c r="Q158" s="562" t="s">
        <v>86</v>
      </c>
    </row>
    <row r="159" spans="1:17" x14ac:dyDescent="0.25">
      <c r="A159" s="562" t="s">
        <v>646</v>
      </c>
      <c r="B159" s="562" t="s">
        <v>265</v>
      </c>
      <c r="C159" s="562" t="s">
        <v>1343</v>
      </c>
      <c r="D159" s="562" t="s">
        <v>1361</v>
      </c>
      <c r="E159" s="562" t="s">
        <v>1314</v>
      </c>
      <c r="F159" s="562" t="s">
        <v>2188</v>
      </c>
      <c r="G159" s="562" t="s">
        <v>1396</v>
      </c>
      <c r="H159" s="562" t="s">
        <v>2015</v>
      </c>
      <c r="I159" s="562" t="s">
        <v>2189</v>
      </c>
      <c r="J159" s="562">
        <v>88</v>
      </c>
      <c r="K159" s="562">
        <v>90.2</v>
      </c>
      <c r="L159" s="563" t="s">
        <v>789</v>
      </c>
      <c r="M159" s="563" t="s">
        <v>929</v>
      </c>
      <c r="N159" s="564">
        <v>18.53</v>
      </c>
      <c r="O159" s="564">
        <v>18.53</v>
      </c>
      <c r="P159" s="562" t="s">
        <v>1428</v>
      </c>
      <c r="Q159" s="562" t="s">
        <v>87</v>
      </c>
    </row>
    <row r="160" spans="1:17" x14ac:dyDescent="0.25">
      <c r="A160" s="562" t="s">
        <v>646</v>
      </c>
      <c r="B160" s="562" t="s">
        <v>265</v>
      </c>
      <c r="C160" s="562" t="s">
        <v>1343</v>
      </c>
      <c r="D160" s="562" t="s">
        <v>1361</v>
      </c>
      <c r="E160" s="562" t="s">
        <v>1314</v>
      </c>
      <c r="F160" s="562" t="s">
        <v>2188</v>
      </c>
      <c r="G160" s="562" t="s">
        <v>1396</v>
      </c>
      <c r="H160" s="562" t="s">
        <v>2015</v>
      </c>
      <c r="I160" s="562" t="s">
        <v>2189</v>
      </c>
      <c r="J160" s="562">
        <v>88</v>
      </c>
      <c r="K160" s="562">
        <v>90.2</v>
      </c>
      <c r="L160" s="563" t="s">
        <v>791</v>
      </c>
      <c r="M160" s="563" t="s">
        <v>929</v>
      </c>
      <c r="N160" s="564">
        <v>25.56</v>
      </c>
      <c r="O160" s="564">
        <v>44.09</v>
      </c>
      <c r="P160" s="562" t="s">
        <v>1428</v>
      </c>
      <c r="Q160" s="562" t="s">
        <v>88</v>
      </c>
    </row>
    <row r="161" spans="1:17" x14ac:dyDescent="0.25">
      <c r="A161" s="562" t="s">
        <v>646</v>
      </c>
      <c r="B161" s="562" t="s">
        <v>265</v>
      </c>
      <c r="C161" s="562" t="s">
        <v>1343</v>
      </c>
      <c r="D161" s="562" t="s">
        <v>1361</v>
      </c>
      <c r="E161" s="562" t="s">
        <v>1314</v>
      </c>
      <c r="F161" s="562" t="s">
        <v>2188</v>
      </c>
      <c r="G161" s="562" t="s">
        <v>1396</v>
      </c>
      <c r="H161" s="562" t="s">
        <v>2015</v>
      </c>
      <c r="I161" s="562" t="s">
        <v>2189</v>
      </c>
      <c r="J161" s="562">
        <v>88</v>
      </c>
      <c r="K161" s="562">
        <v>90.2</v>
      </c>
      <c r="L161" s="563" t="s">
        <v>935</v>
      </c>
      <c r="M161" s="563" t="s">
        <v>929</v>
      </c>
      <c r="N161" s="564">
        <v>23.4</v>
      </c>
      <c r="O161" s="564">
        <v>67.489999999999995</v>
      </c>
      <c r="P161" s="562" t="s">
        <v>1428</v>
      </c>
      <c r="Q161" s="562" t="s">
        <v>89</v>
      </c>
    </row>
    <row r="162" spans="1:17" x14ac:dyDescent="0.25">
      <c r="A162" s="562" t="s">
        <v>646</v>
      </c>
      <c r="B162" s="562" t="s">
        <v>265</v>
      </c>
      <c r="C162" s="562" t="s">
        <v>1343</v>
      </c>
      <c r="D162" s="562" t="s">
        <v>1361</v>
      </c>
      <c r="E162" s="562" t="s">
        <v>1314</v>
      </c>
      <c r="F162" s="562" t="s">
        <v>2188</v>
      </c>
      <c r="G162" s="562" t="s">
        <v>1396</v>
      </c>
      <c r="H162" s="562" t="s">
        <v>2015</v>
      </c>
      <c r="I162" s="562" t="s">
        <v>2189</v>
      </c>
      <c r="J162" s="562">
        <v>88</v>
      </c>
      <c r="K162" s="562">
        <v>90.2</v>
      </c>
      <c r="L162" s="563" t="s">
        <v>936</v>
      </c>
      <c r="M162" s="563" t="s">
        <v>929</v>
      </c>
      <c r="N162" s="564">
        <v>38.26</v>
      </c>
      <c r="O162" s="564">
        <v>105.75</v>
      </c>
      <c r="P162" s="562" t="s">
        <v>1428</v>
      </c>
      <c r="Q162" s="562" t="s">
        <v>90</v>
      </c>
    </row>
    <row r="163" spans="1:17" x14ac:dyDescent="0.25">
      <c r="A163" s="562" t="s">
        <v>646</v>
      </c>
      <c r="B163" s="562" t="s">
        <v>265</v>
      </c>
      <c r="C163" s="562" t="s">
        <v>1343</v>
      </c>
      <c r="D163" s="562" t="s">
        <v>1361</v>
      </c>
      <c r="E163" s="562" t="s">
        <v>1314</v>
      </c>
      <c r="F163" s="562" t="s">
        <v>2188</v>
      </c>
      <c r="G163" s="562" t="s">
        <v>1396</v>
      </c>
      <c r="H163" s="562" t="s">
        <v>2015</v>
      </c>
      <c r="I163" s="562" t="s">
        <v>2189</v>
      </c>
      <c r="J163" s="562">
        <v>88</v>
      </c>
      <c r="K163" s="562">
        <v>90.2</v>
      </c>
      <c r="L163" s="563" t="s">
        <v>937</v>
      </c>
      <c r="M163" s="563" t="s">
        <v>929</v>
      </c>
      <c r="N163" s="564">
        <v>28.75</v>
      </c>
      <c r="O163" s="564">
        <v>134.5</v>
      </c>
      <c r="P163" s="562" t="s">
        <v>1428</v>
      </c>
      <c r="Q163" s="562" t="s">
        <v>91</v>
      </c>
    </row>
    <row r="164" spans="1:17" x14ac:dyDescent="0.25">
      <c r="A164" s="562" t="s">
        <v>646</v>
      </c>
      <c r="B164" s="562" t="s">
        <v>265</v>
      </c>
      <c r="C164" s="562" t="s">
        <v>1343</v>
      </c>
      <c r="D164" s="562" t="s">
        <v>1361</v>
      </c>
      <c r="E164" s="562" t="s">
        <v>1314</v>
      </c>
      <c r="F164" s="562" t="s">
        <v>2188</v>
      </c>
      <c r="G164" s="562" t="s">
        <v>1396</v>
      </c>
      <c r="H164" s="562" t="s">
        <v>2015</v>
      </c>
      <c r="I164" s="562" t="s">
        <v>2189</v>
      </c>
      <c r="J164" s="562">
        <v>88</v>
      </c>
      <c r="K164" s="562">
        <v>90.2</v>
      </c>
      <c r="L164" s="563" t="s">
        <v>938</v>
      </c>
      <c r="M164" s="563" t="s">
        <v>929</v>
      </c>
      <c r="N164" s="564">
        <v>43</v>
      </c>
      <c r="O164" s="564">
        <v>177.5</v>
      </c>
      <c r="P164" s="562" t="s">
        <v>1428</v>
      </c>
      <c r="Q164" s="562" t="s">
        <v>92</v>
      </c>
    </row>
    <row r="165" spans="1:17" x14ac:dyDescent="0.25">
      <c r="A165" s="562" t="s">
        <v>646</v>
      </c>
      <c r="B165" s="562" t="s">
        <v>265</v>
      </c>
      <c r="C165" s="562" t="s">
        <v>1343</v>
      </c>
      <c r="D165" s="562" t="s">
        <v>1361</v>
      </c>
      <c r="E165" s="562" t="s">
        <v>1314</v>
      </c>
      <c r="F165" s="562" t="s">
        <v>2188</v>
      </c>
      <c r="G165" s="562" t="s">
        <v>1396</v>
      </c>
      <c r="H165" s="562" t="s">
        <v>2015</v>
      </c>
      <c r="I165" s="562" t="s">
        <v>2189</v>
      </c>
      <c r="J165" s="562">
        <v>88</v>
      </c>
      <c r="K165" s="562">
        <v>90.2</v>
      </c>
      <c r="L165" s="563" t="s">
        <v>939</v>
      </c>
      <c r="M165" s="563" t="s">
        <v>929</v>
      </c>
      <c r="N165" s="564">
        <v>51.56</v>
      </c>
      <c r="O165" s="564">
        <v>229.06</v>
      </c>
      <c r="P165" s="562" t="s">
        <v>1428</v>
      </c>
      <c r="Q165" s="562" t="s">
        <v>93</v>
      </c>
    </row>
    <row r="166" spans="1:17" x14ac:dyDescent="0.25">
      <c r="A166" s="562" t="s">
        <v>646</v>
      </c>
      <c r="B166" s="562" t="s">
        <v>265</v>
      </c>
      <c r="C166" s="562" t="s">
        <v>1343</v>
      </c>
      <c r="D166" s="562" t="s">
        <v>1361</v>
      </c>
      <c r="E166" s="562" t="s">
        <v>1314</v>
      </c>
      <c r="F166" s="562" t="s">
        <v>2188</v>
      </c>
      <c r="G166" s="562" t="s">
        <v>1396</v>
      </c>
      <c r="H166" s="562" t="s">
        <v>2015</v>
      </c>
      <c r="I166" s="562" t="s">
        <v>2189</v>
      </c>
      <c r="J166" s="562">
        <v>88</v>
      </c>
      <c r="K166" s="562">
        <v>90.2</v>
      </c>
      <c r="L166" s="563" t="s">
        <v>940</v>
      </c>
      <c r="M166" s="563" t="s">
        <v>929</v>
      </c>
      <c r="N166" s="564">
        <v>61.58</v>
      </c>
      <c r="O166" s="564">
        <v>290.64</v>
      </c>
      <c r="P166" s="562" t="s">
        <v>1428</v>
      </c>
      <c r="Q166" s="562" t="s">
        <v>94</v>
      </c>
    </row>
    <row r="167" spans="1:17" x14ac:dyDescent="0.25">
      <c r="A167" s="562" t="s">
        <v>646</v>
      </c>
      <c r="B167" s="562" t="s">
        <v>265</v>
      </c>
      <c r="C167" s="562" t="s">
        <v>1343</v>
      </c>
      <c r="D167" s="562" t="s">
        <v>1361</v>
      </c>
      <c r="E167" s="562" t="s">
        <v>1314</v>
      </c>
      <c r="F167" s="562" t="s">
        <v>2188</v>
      </c>
      <c r="G167" s="562" t="s">
        <v>1396</v>
      </c>
      <c r="H167" s="562" t="s">
        <v>2015</v>
      </c>
      <c r="I167" s="562" t="s">
        <v>2189</v>
      </c>
      <c r="J167" s="562">
        <v>88</v>
      </c>
      <c r="K167" s="562">
        <v>90.2</v>
      </c>
      <c r="L167" s="563" t="s">
        <v>642</v>
      </c>
      <c r="M167" s="563" t="s">
        <v>929</v>
      </c>
      <c r="N167" s="565">
        <v>90.01</v>
      </c>
      <c r="O167" s="564">
        <v>380.65</v>
      </c>
      <c r="P167" s="562" t="s">
        <v>1428</v>
      </c>
      <c r="Q167" s="562" t="s">
        <v>95</v>
      </c>
    </row>
    <row r="168" spans="1:17" x14ac:dyDescent="0.25">
      <c r="A168" s="562"/>
      <c r="B168" s="562"/>
      <c r="C168" s="562"/>
      <c r="D168" s="562"/>
      <c r="E168" s="562"/>
      <c r="F168" s="562"/>
      <c r="G168" s="562"/>
      <c r="H168" s="562" t="s">
        <v>3141</v>
      </c>
      <c r="I168" s="562"/>
      <c r="J168" s="562"/>
      <c r="K168" s="562"/>
      <c r="L168" s="563"/>
      <c r="M168" s="563"/>
      <c r="N168" s="564">
        <f>SUM(N144:N167)</f>
        <v>634.51</v>
      </c>
      <c r="O168" s="564"/>
      <c r="P168" s="562"/>
      <c r="Q168" s="562"/>
    </row>
    <row r="169" spans="1:17" x14ac:dyDescent="0.25">
      <c r="A169" s="562"/>
      <c r="B169" s="562"/>
      <c r="C169" s="562"/>
      <c r="D169" s="562"/>
      <c r="E169" s="562"/>
      <c r="F169" s="562"/>
      <c r="G169" s="562"/>
      <c r="H169" s="562" t="s">
        <v>3142</v>
      </c>
      <c r="I169" s="562"/>
      <c r="J169" s="562"/>
      <c r="K169" s="562"/>
      <c r="L169" s="563"/>
      <c r="M169" s="563"/>
      <c r="N169" s="566">
        <v>2.63E-2</v>
      </c>
      <c r="O169" s="564"/>
      <c r="P169" s="562"/>
      <c r="Q169" s="562"/>
    </row>
    <row r="170" spans="1:17" x14ac:dyDescent="0.25">
      <c r="A170" s="562"/>
      <c r="B170" s="562"/>
      <c r="C170" s="562"/>
      <c r="D170" s="562"/>
      <c r="E170" s="562"/>
      <c r="F170" s="562"/>
      <c r="G170" s="562"/>
      <c r="H170" s="562" t="s">
        <v>3143</v>
      </c>
      <c r="I170" s="562"/>
      <c r="J170" s="562"/>
      <c r="K170" s="562"/>
      <c r="L170" s="563"/>
      <c r="M170" s="563"/>
      <c r="N170" s="564">
        <f>+N168*N169</f>
        <v>16.687612999999999</v>
      </c>
      <c r="O170" s="564"/>
      <c r="P170" s="562"/>
      <c r="Q170" s="562"/>
    </row>
    <row r="171" spans="1:17" x14ac:dyDescent="0.25">
      <c r="A171" s="562"/>
      <c r="B171" s="562"/>
      <c r="C171" s="562"/>
      <c r="D171" s="562"/>
      <c r="E171" s="562"/>
      <c r="F171" s="562"/>
      <c r="G171" s="562"/>
      <c r="H171" s="562"/>
      <c r="I171" s="562"/>
      <c r="J171" s="562"/>
      <c r="K171" s="562"/>
      <c r="L171" s="562"/>
      <c r="M171" s="562"/>
      <c r="N171" s="562"/>
      <c r="O171" s="562"/>
      <c r="P171" s="562"/>
      <c r="Q171" s="562"/>
    </row>
    <row r="172" spans="1:17" x14ac:dyDescent="0.25">
      <c r="A172" s="562" t="s">
        <v>646</v>
      </c>
      <c r="B172" s="562" t="s">
        <v>265</v>
      </c>
      <c r="C172" s="562" t="s">
        <v>1343</v>
      </c>
      <c r="D172" s="562" t="s">
        <v>1361</v>
      </c>
      <c r="E172" s="562" t="s">
        <v>1320</v>
      </c>
      <c r="F172" s="562" t="s">
        <v>2206</v>
      </c>
      <c r="G172" s="562" t="s">
        <v>1362</v>
      </c>
      <c r="H172" s="562" t="s">
        <v>2022</v>
      </c>
      <c r="I172" s="562" t="s">
        <v>2207</v>
      </c>
      <c r="J172" s="562">
        <v>81</v>
      </c>
      <c r="K172" s="562">
        <v>81</v>
      </c>
      <c r="L172" s="563" t="s">
        <v>646</v>
      </c>
      <c r="M172" s="563" t="s">
        <v>933</v>
      </c>
      <c r="N172" s="564">
        <v>18.36</v>
      </c>
      <c r="O172" s="564">
        <v>131.55000000000001</v>
      </c>
      <c r="P172" s="562" t="s">
        <v>1437</v>
      </c>
      <c r="Q172" s="562" t="s">
        <v>84</v>
      </c>
    </row>
    <row r="173" spans="1:17" x14ac:dyDescent="0.25">
      <c r="A173" s="562" t="s">
        <v>646</v>
      </c>
      <c r="B173" s="562" t="s">
        <v>265</v>
      </c>
      <c r="C173" s="562" t="s">
        <v>1343</v>
      </c>
      <c r="D173" s="562" t="s">
        <v>1361</v>
      </c>
      <c r="E173" s="562" t="s">
        <v>1320</v>
      </c>
      <c r="F173" s="562" t="s">
        <v>2206</v>
      </c>
      <c r="G173" s="562" t="s">
        <v>1362</v>
      </c>
      <c r="H173" s="562" t="s">
        <v>2022</v>
      </c>
      <c r="I173" s="562" t="s">
        <v>2207</v>
      </c>
      <c r="J173" s="562">
        <v>81</v>
      </c>
      <c r="K173" s="562">
        <v>81</v>
      </c>
      <c r="L173" s="563" t="s">
        <v>650</v>
      </c>
      <c r="M173" s="563" t="s">
        <v>933</v>
      </c>
      <c r="N173" s="564">
        <v>12.24</v>
      </c>
      <c r="O173" s="564">
        <v>143.79</v>
      </c>
      <c r="P173" s="562" t="s">
        <v>1437</v>
      </c>
      <c r="Q173" s="562" t="s">
        <v>85</v>
      </c>
    </row>
    <row r="174" spans="1:17" x14ac:dyDescent="0.25">
      <c r="A174" s="562" t="s">
        <v>646</v>
      </c>
      <c r="B174" s="562" t="s">
        <v>265</v>
      </c>
      <c r="C174" s="562" t="s">
        <v>1343</v>
      </c>
      <c r="D174" s="562" t="s">
        <v>1361</v>
      </c>
      <c r="E174" s="562" t="s">
        <v>1320</v>
      </c>
      <c r="F174" s="562" t="s">
        <v>2206</v>
      </c>
      <c r="G174" s="562" t="s">
        <v>1362</v>
      </c>
      <c r="H174" s="562" t="s">
        <v>2022</v>
      </c>
      <c r="I174" s="562" t="s">
        <v>2207</v>
      </c>
      <c r="J174" s="562">
        <v>81</v>
      </c>
      <c r="K174" s="562">
        <v>81</v>
      </c>
      <c r="L174" s="563" t="s">
        <v>652</v>
      </c>
      <c r="M174" s="563" t="s">
        <v>933</v>
      </c>
      <c r="N174" s="564">
        <v>11.62</v>
      </c>
      <c r="O174" s="564">
        <v>155.41</v>
      </c>
      <c r="P174" s="562" t="s">
        <v>1437</v>
      </c>
      <c r="Q174" s="562" t="s">
        <v>86</v>
      </c>
    </row>
    <row r="175" spans="1:17" x14ac:dyDescent="0.25">
      <c r="A175" s="562" t="s">
        <v>646</v>
      </c>
      <c r="B175" s="562" t="s">
        <v>265</v>
      </c>
      <c r="C175" s="562" t="s">
        <v>1343</v>
      </c>
      <c r="D175" s="562" t="s">
        <v>1361</v>
      </c>
      <c r="E175" s="562" t="s">
        <v>1320</v>
      </c>
      <c r="F175" s="562" t="s">
        <v>2206</v>
      </c>
      <c r="G175" s="562" t="s">
        <v>1362</v>
      </c>
      <c r="H175" s="562" t="s">
        <v>2022</v>
      </c>
      <c r="I175" s="562" t="s">
        <v>2207</v>
      </c>
      <c r="J175" s="562">
        <v>81</v>
      </c>
      <c r="K175" s="562">
        <v>81</v>
      </c>
      <c r="L175" s="563" t="s">
        <v>789</v>
      </c>
      <c r="M175" s="563" t="s">
        <v>929</v>
      </c>
      <c r="N175" s="564">
        <v>11.5</v>
      </c>
      <c r="O175" s="564">
        <v>11.5</v>
      </c>
      <c r="P175" s="562" t="s">
        <v>1437</v>
      </c>
      <c r="Q175" s="562" t="s">
        <v>87</v>
      </c>
    </row>
    <row r="176" spans="1:17" x14ac:dyDescent="0.25">
      <c r="A176" s="562" t="s">
        <v>646</v>
      </c>
      <c r="B176" s="562" t="s">
        <v>265</v>
      </c>
      <c r="C176" s="562" t="s">
        <v>1343</v>
      </c>
      <c r="D176" s="562" t="s">
        <v>1361</v>
      </c>
      <c r="E176" s="562" t="s">
        <v>1320</v>
      </c>
      <c r="F176" s="562" t="s">
        <v>2206</v>
      </c>
      <c r="G176" s="562" t="s">
        <v>1362</v>
      </c>
      <c r="H176" s="562" t="s">
        <v>2022</v>
      </c>
      <c r="I176" s="562" t="s">
        <v>2207</v>
      </c>
      <c r="J176" s="562">
        <v>81</v>
      </c>
      <c r="K176" s="562">
        <v>81</v>
      </c>
      <c r="L176" s="563" t="s">
        <v>791</v>
      </c>
      <c r="M176" s="563" t="s">
        <v>929</v>
      </c>
      <c r="N176" s="564">
        <v>12.78</v>
      </c>
      <c r="O176" s="564">
        <v>24.28</v>
      </c>
      <c r="P176" s="562" t="s">
        <v>1437</v>
      </c>
      <c r="Q176" s="562" t="s">
        <v>88</v>
      </c>
    </row>
    <row r="177" spans="1:17" x14ac:dyDescent="0.25">
      <c r="A177" s="562" t="s">
        <v>646</v>
      </c>
      <c r="B177" s="562" t="s">
        <v>265</v>
      </c>
      <c r="C177" s="562" t="s">
        <v>1343</v>
      </c>
      <c r="D177" s="562" t="s">
        <v>1361</v>
      </c>
      <c r="E177" s="562" t="s">
        <v>1320</v>
      </c>
      <c r="F177" s="562" t="s">
        <v>2206</v>
      </c>
      <c r="G177" s="562" t="s">
        <v>1362</v>
      </c>
      <c r="H177" s="562" t="s">
        <v>2022</v>
      </c>
      <c r="I177" s="562" t="s">
        <v>2207</v>
      </c>
      <c r="J177" s="562">
        <v>81</v>
      </c>
      <c r="K177" s="562">
        <v>81</v>
      </c>
      <c r="L177" s="563" t="s">
        <v>935</v>
      </c>
      <c r="M177" s="563" t="s">
        <v>929</v>
      </c>
      <c r="N177" s="564">
        <v>12.78</v>
      </c>
      <c r="O177" s="564">
        <v>37.06</v>
      </c>
      <c r="P177" s="562" t="s">
        <v>1437</v>
      </c>
      <c r="Q177" s="562" t="s">
        <v>89</v>
      </c>
    </row>
    <row r="178" spans="1:17" x14ac:dyDescent="0.25">
      <c r="A178" s="562" t="s">
        <v>646</v>
      </c>
      <c r="B178" s="562" t="s">
        <v>265</v>
      </c>
      <c r="C178" s="562" t="s">
        <v>1343</v>
      </c>
      <c r="D178" s="562" t="s">
        <v>1361</v>
      </c>
      <c r="E178" s="562" t="s">
        <v>1320</v>
      </c>
      <c r="F178" s="562" t="s">
        <v>2206</v>
      </c>
      <c r="G178" s="562" t="s">
        <v>1362</v>
      </c>
      <c r="H178" s="562" t="s">
        <v>2022</v>
      </c>
      <c r="I178" s="562" t="s">
        <v>2207</v>
      </c>
      <c r="J178" s="562">
        <v>81</v>
      </c>
      <c r="K178" s="562">
        <v>81</v>
      </c>
      <c r="L178" s="563" t="s">
        <v>936</v>
      </c>
      <c r="M178" s="563" t="s">
        <v>929</v>
      </c>
      <c r="N178" s="564">
        <v>19.170000000000002</v>
      </c>
      <c r="O178" s="564">
        <v>56.23</v>
      </c>
      <c r="P178" s="562" t="s">
        <v>1437</v>
      </c>
      <c r="Q178" s="562" t="s">
        <v>90</v>
      </c>
    </row>
    <row r="179" spans="1:17" x14ac:dyDescent="0.25">
      <c r="A179" s="562" t="s">
        <v>646</v>
      </c>
      <c r="B179" s="562" t="s">
        <v>265</v>
      </c>
      <c r="C179" s="562" t="s">
        <v>1343</v>
      </c>
      <c r="D179" s="562" t="s">
        <v>1361</v>
      </c>
      <c r="E179" s="562" t="s">
        <v>1320</v>
      </c>
      <c r="F179" s="562" t="s">
        <v>2206</v>
      </c>
      <c r="G179" s="562" t="s">
        <v>1362</v>
      </c>
      <c r="H179" s="562" t="s">
        <v>2022</v>
      </c>
      <c r="I179" s="562" t="s">
        <v>2207</v>
      </c>
      <c r="J179" s="562">
        <v>81</v>
      </c>
      <c r="K179" s="562">
        <v>81</v>
      </c>
      <c r="L179" s="563" t="s">
        <v>937</v>
      </c>
      <c r="M179" s="563" t="s">
        <v>929</v>
      </c>
      <c r="N179" s="564">
        <v>12.78</v>
      </c>
      <c r="O179" s="564">
        <v>69.010000000000005</v>
      </c>
      <c r="P179" s="562" t="s">
        <v>1437</v>
      </c>
      <c r="Q179" s="562" t="s">
        <v>91</v>
      </c>
    </row>
    <row r="180" spans="1:17" x14ac:dyDescent="0.25">
      <c r="A180" s="562" t="s">
        <v>646</v>
      </c>
      <c r="B180" s="562" t="s">
        <v>265</v>
      </c>
      <c r="C180" s="562" t="s">
        <v>1343</v>
      </c>
      <c r="D180" s="562" t="s">
        <v>1361</v>
      </c>
      <c r="E180" s="562" t="s">
        <v>1320</v>
      </c>
      <c r="F180" s="562" t="s">
        <v>2206</v>
      </c>
      <c r="G180" s="562" t="s">
        <v>1362</v>
      </c>
      <c r="H180" s="562" t="s">
        <v>2022</v>
      </c>
      <c r="I180" s="562" t="s">
        <v>2207</v>
      </c>
      <c r="J180" s="562">
        <v>81</v>
      </c>
      <c r="K180" s="562">
        <v>81</v>
      </c>
      <c r="L180" s="563" t="s">
        <v>938</v>
      </c>
      <c r="M180" s="563" t="s">
        <v>929</v>
      </c>
      <c r="N180" s="564">
        <v>12.14</v>
      </c>
      <c r="O180" s="564">
        <v>81.150000000000006</v>
      </c>
      <c r="P180" s="562" t="s">
        <v>1437</v>
      </c>
      <c r="Q180" s="562" t="s">
        <v>92</v>
      </c>
    </row>
    <row r="181" spans="1:17" x14ac:dyDescent="0.25">
      <c r="A181" s="562" t="s">
        <v>646</v>
      </c>
      <c r="B181" s="562" t="s">
        <v>265</v>
      </c>
      <c r="C181" s="562" t="s">
        <v>1343</v>
      </c>
      <c r="D181" s="562" t="s">
        <v>1361</v>
      </c>
      <c r="E181" s="562" t="s">
        <v>1320</v>
      </c>
      <c r="F181" s="562" t="s">
        <v>2206</v>
      </c>
      <c r="G181" s="562" t="s">
        <v>1362</v>
      </c>
      <c r="H181" s="562" t="s">
        <v>2022</v>
      </c>
      <c r="I181" s="562" t="s">
        <v>2207</v>
      </c>
      <c r="J181" s="562">
        <v>81</v>
      </c>
      <c r="K181" s="562">
        <v>81</v>
      </c>
      <c r="L181" s="563" t="s">
        <v>939</v>
      </c>
      <c r="M181" s="563" t="s">
        <v>929</v>
      </c>
      <c r="N181" s="564">
        <v>0</v>
      </c>
      <c r="O181" s="564">
        <v>81.150000000000006</v>
      </c>
      <c r="P181" s="562" t="s">
        <v>1437</v>
      </c>
      <c r="Q181" s="562" t="s">
        <v>93</v>
      </c>
    </row>
    <row r="182" spans="1:17" x14ac:dyDescent="0.25">
      <c r="A182" s="562" t="s">
        <v>646</v>
      </c>
      <c r="B182" s="562" t="s">
        <v>265</v>
      </c>
      <c r="C182" s="562" t="s">
        <v>1343</v>
      </c>
      <c r="D182" s="562" t="s">
        <v>1361</v>
      </c>
      <c r="E182" s="562" t="s">
        <v>1320</v>
      </c>
      <c r="F182" s="562" t="s">
        <v>2206</v>
      </c>
      <c r="G182" s="562" t="s">
        <v>1362</v>
      </c>
      <c r="H182" s="562" t="s">
        <v>2022</v>
      </c>
      <c r="I182" s="562" t="s">
        <v>2207</v>
      </c>
      <c r="J182" s="562">
        <v>81</v>
      </c>
      <c r="K182" s="562">
        <v>81</v>
      </c>
      <c r="L182" s="563" t="s">
        <v>940</v>
      </c>
      <c r="M182" s="563" t="s">
        <v>929</v>
      </c>
      <c r="N182" s="564">
        <v>0</v>
      </c>
      <c r="O182" s="564">
        <v>81.150000000000006</v>
      </c>
      <c r="P182" s="562" t="s">
        <v>1437</v>
      </c>
      <c r="Q182" s="562" t="s">
        <v>94</v>
      </c>
    </row>
    <row r="183" spans="1:17" x14ac:dyDescent="0.25">
      <c r="A183" s="562" t="s">
        <v>646</v>
      </c>
      <c r="B183" s="562" t="s">
        <v>265</v>
      </c>
      <c r="C183" s="562" t="s">
        <v>1343</v>
      </c>
      <c r="D183" s="562" t="s">
        <v>1361</v>
      </c>
      <c r="E183" s="562" t="s">
        <v>1320</v>
      </c>
      <c r="F183" s="562" t="s">
        <v>2206</v>
      </c>
      <c r="G183" s="562" t="s">
        <v>1362</v>
      </c>
      <c r="H183" s="562" t="s">
        <v>2022</v>
      </c>
      <c r="I183" s="562" t="s">
        <v>2207</v>
      </c>
      <c r="J183" s="562">
        <v>81</v>
      </c>
      <c r="K183" s="562">
        <v>81</v>
      </c>
      <c r="L183" s="563" t="s">
        <v>642</v>
      </c>
      <c r="M183" s="563" t="s">
        <v>929</v>
      </c>
      <c r="N183" s="565">
        <v>0</v>
      </c>
      <c r="O183" s="564">
        <v>81.150000000000006</v>
      </c>
      <c r="P183" s="562" t="s">
        <v>1437</v>
      </c>
      <c r="Q183" s="562" t="s">
        <v>95</v>
      </c>
    </row>
    <row r="184" spans="1:17" x14ac:dyDescent="0.25">
      <c r="A184" s="562"/>
      <c r="B184" s="562"/>
      <c r="C184" s="562"/>
      <c r="D184" s="562"/>
      <c r="E184" s="562"/>
      <c r="F184" s="562"/>
      <c r="G184" s="562"/>
      <c r="H184" s="562" t="s">
        <v>3141</v>
      </c>
      <c r="I184" s="562"/>
      <c r="J184" s="562"/>
      <c r="K184" s="562"/>
      <c r="L184" s="562"/>
      <c r="M184" s="562"/>
      <c r="N184" s="562">
        <f>SUM(N172:N183)</f>
        <v>123.37</v>
      </c>
      <c r="O184" s="562"/>
      <c r="P184" s="562"/>
      <c r="Q184" s="562"/>
    </row>
    <row r="185" spans="1:17" x14ac:dyDescent="0.25">
      <c r="H185" s="562" t="s">
        <v>3142</v>
      </c>
      <c r="I185" s="562"/>
      <c r="J185" s="562"/>
      <c r="N185" s="566">
        <v>2.63E-2</v>
      </c>
    </row>
    <row r="186" spans="1:17" x14ac:dyDescent="0.25">
      <c r="H186" s="562" t="s">
        <v>3143</v>
      </c>
      <c r="I186" s="562"/>
      <c r="J186" s="562"/>
      <c r="N186" s="564">
        <f>+N184*N185</f>
        <v>3.244631</v>
      </c>
    </row>
  </sheetData>
  <pageMargins left="0.25" right="0.25" top="0.75" bottom="0.75" header="0.3" footer="0.3"/>
  <pageSetup scale="69" fitToHeight="0" orientation="landscape" r:id="rId1"/>
  <headerFooter>
    <oddFooter>&amp;L&amp;D&amp;C&amp;A&amp;RPage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S32" sqref="S32"/>
    </sheetView>
  </sheetViews>
  <sheetFormatPr defaultRowHeight="15.75" x14ac:dyDescent="0.25"/>
  <cols>
    <col min="2" max="2" width="9.33203125" bestFit="1" customWidth="1"/>
    <col min="3" max="3" width="9" bestFit="1" customWidth="1"/>
    <col min="4" max="4" width="9.33203125" bestFit="1" customWidth="1"/>
    <col min="5" max="5" width="9" bestFit="1" customWidth="1"/>
    <col min="6" max="6" width="9.33203125" bestFit="1" customWidth="1"/>
    <col min="7" max="7" width="9" bestFit="1" customWidth="1"/>
    <col min="8" max="8" width="9.33203125" bestFit="1" customWidth="1"/>
    <col min="9" max="9" width="9" bestFit="1" customWidth="1"/>
    <col min="10" max="10" width="9.33203125" bestFit="1" customWidth="1"/>
    <col min="11" max="11" width="9" bestFit="1" customWidth="1"/>
  </cols>
  <sheetData>
    <row r="1" spans="1:12" x14ac:dyDescent="0.25">
      <c r="A1" s="567"/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</row>
    <row r="2" spans="1:12" x14ac:dyDescent="0.25">
      <c r="A2" s="567" t="s">
        <v>346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</row>
    <row r="3" spans="1:12" ht="16.5" thickBot="1" x14ac:dyDescent="0.3">
      <c r="A3" s="567"/>
      <c r="B3" s="629" t="s">
        <v>3144</v>
      </c>
      <c r="C3" s="629"/>
      <c r="D3" s="630" t="s">
        <v>3145</v>
      </c>
      <c r="E3" s="630"/>
      <c r="F3" s="630" t="s">
        <v>3146</v>
      </c>
      <c r="G3" s="630"/>
      <c r="H3" s="630" t="s">
        <v>3147</v>
      </c>
      <c r="I3" s="630"/>
      <c r="J3" s="630" t="s">
        <v>3148</v>
      </c>
      <c r="K3" s="630"/>
      <c r="L3" s="567"/>
    </row>
    <row r="4" spans="1:12" x14ac:dyDescent="0.25">
      <c r="A4" s="567" t="s">
        <v>3149</v>
      </c>
      <c r="B4" s="568">
        <v>16495.800000000003</v>
      </c>
      <c r="C4" s="569">
        <v>85</v>
      </c>
      <c r="D4" s="568">
        <v>17806.349999999999</v>
      </c>
      <c r="E4" s="569">
        <v>91</v>
      </c>
      <c r="F4" s="568">
        <v>19474.07</v>
      </c>
      <c r="G4" s="569">
        <v>98</v>
      </c>
      <c r="H4" s="568">
        <v>23146.77</v>
      </c>
      <c r="I4" s="569">
        <v>104</v>
      </c>
      <c r="J4" s="568">
        <v>24188.13</v>
      </c>
      <c r="K4" s="569">
        <v>105</v>
      </c>
      <c r="L4" s="567"/>
    </row>
    <row r="5" spans="1:12" x14ac:dyDescent="0.25">
      <c r="A5" s="567" t="s">
        <v>3053</v>
      </c>
      <c r="B5" s="570">
        <v>31450</v>
      </c>
      <c r="C5" s="571">
        <v>85</v>
      </c>
      <c r="D5" s="570">
        <v>33670</v>
      </c>
      <c r="E5" s="571">
        <v>91</v>
      </c>
      <c r="F5" s="570">
        <v>36260</v>
      </c>
      <c r="G5" s="571">
        <v>98</v>
      </c>
      <c r="H5" s="570">
        <v>48925</v>
      </c>
      <c r="I5" s="571">
        <v>103</v>
      </c>
      <c r="J5" s="570">
        <v>49875</v>
      </c>
      <c r="K5" s="571">
        <v>105</v>
      </c>
      <c r="L5" s="567"/>
    </row>
    <row r="6" spans="1:12" ht="16.5" thickBot="1" x14ac:dyDescent="0.3">
      <c r="A6" s="567"/>
      <c r="B6" s="572">
        <f>SUM(B4:B5)</f>
        <v>47945.8</v>
      </c>
      <c r="C6" s="573">
        <f>+(C4+C5)/2</f>
        <v>85</v>
      </c>
      <c r="D6" s="572">
        <f>SUM(D4:D5)</f>
        <v>51476.35</v>
      </c>
      <c r="E6" s="573">
        <f>+(E4+E5)/2</f>
        <v>91</v>
      </c>
      <c r="F6" s="572">
        <f>SUM(F4:F5)</f>
        <v>55734.07</v>
      </c>
      <c r="G6" s="573">
        <f>+(G4+G5)/2</f>
        <v>98</v>
      </c>
      <c r="H6" s="572">
        <f>SUM(H4:H5)</f>
        <v>72071.77</v>
      </c>
      <c r="I6" s="573">
        <f>+(I4+I5)/2</f>
        <v>103.5</v>
      </c>
      <c r="J6" s="572">
        <f>SUM(J4:J5)</f>
        <v>74063.13</v>
      </c>
      <c r="K6" s="573">
        <f>+(K4+K5)/2</f>
        <v>105</v>
      </c>
      <c r="L6" s="567"/>
    </row>
    <row r="7" spans="1:12" ht="16.5" thickBot="1" x14ac:dyDescent="0.3">
      <c r="A7" s="567"/>
      <c r="B7" s="627">
        <f>B6/C6</f>
        <v>564.0682352941177</v>
      </c>
      <c r="C7" s="628"/>
      <c r="D7" s="627">
        <f>D6/E6</f>
        <v>565.67417582417579</v>
      </c>
      <c r="E7" s="628"/>
      <c r="F7" s="627">
        <f>F6/G6</f>
        <v>568.71500000000003</v>
      </c>
      <c r="G7" s="628"/>
      <c r="H7" s="627">
        <f>H6/I6</f>
        <v>696.34560386473436</v>
      </c>
      <c r="I7" s="628"/>
      <c r="J7" s="627">
        <f>J6/K6</f>
        <v>705.36314285714286</v>
      </c>
      <c r="K7" s="628"/>
      <c r="L7" s="567"/>
    </row>
    <row r="8" spans="1:12" x14ac:dyDescent="0.25">
      <c r="A8" s="567"/>
      <c r="B8" s="567"/>
      <c r="C8" s="567"/>
      <c r="D8" s="567"/>
      <c r="E8" s="567"/>
      <c r="F8" s="567"/>
      <c r="G8" s="567"/>
      <c r="H8" s="567"/>
      <c r="I8" s="567"/>
      <c r="J8" s="567"/>
      <c r="K8" s="567"/>
      <c r="L8" s="567"/>
    </row>
    <row r="9" spans="1:12" x14ac:dyDescent="0.25">
      <c r="A9" s="567"/>
      <c r="B9" s="567"/>
      <c r="C9" s="567"/>
      <c r="D9" s="567"/>
      <c r="E9" s="574"/>
      <c r="F9" s="567"/>
      <c r="G9" s="574"/>
      <c r="H9" s="567"/>
      <c r="I9" s="567"/>
      <c r="J9" s="567"/>
      <c r="K9" s="574"/>
      <c r="L9" s="567"/>
    </row>
    <row r="10" spans="1:12" x14ac:dyDescent="0.25">
      <c r="A10" s="567"/>
      <c r="B10" s="567"/>
      <c r="C10" s="567"/>
      <c r="D10" s="567"/>
      <c r="E10" s="567"/>
      <c r="F10" s="567"/>
      <c r="G10" s="567"/>
      <c r="H10" s="567"/>
      <c r="I10" s="567"/>
      <c r="J10" s="567"/>
      <c r="K10" s="567"/>
      <c r="L10" s="567"/>
    </row>
    <row r="11" spans="1:12" ht="45" x14ac:dyDescent="0.25">
      <c r="A11" s="567"/>
      <c r="B11" s="575" t="s">
        <v>3150</v>
      </c>
      <c r="C11" s="567"/>
      <c r="D11" s="567"/>
      <c r="E11" s="567"/>
      <c r="F11" s="567"/>
      <c r="G11" s="567"/>
      <c r="H11" s="567"/>
      <c r="I11" s="567"/>
      <c r="J11" s="567"/>
      <c r="K11" s="567"/>
      <c r="L11" s="567"/>
    </row>
    <row r="12" spans="1:12" x14ac:dyDescent="0.25">
      <c r="A12" s="567"/>
      <c r="B12" s="576">
        <f>(AVERAGE($H$7:$K$7)-AVERAGE(B7:G7))/AVERAGE(B7:G7)</f>
        <v>0.23792513507798332</v>
      </c>
      <c r="C12" s="567"/>
      <c r="D12" s="567"/>
      <c r="E12" s="567"/>
      <c r="F12" s="567"/>
      <c r="G12" s="567"/>
      <c r="H12" s="567"/>
      <c r="I12" s="567"/>
      <c r="J12" s="567"/>
      <c r="K12" s="567"/>
      <c r="L12" s="567"/>
    </row>
    <row r="13" spans="1:12" x14ac:dyDescent="0.25">
      <c r="A13" s="577"/>
      <c r="B13" s="578"/>
      <c r="C13" s="567"/>
      <c r="D13" s="567"/>
      <c r="E13" s="567"/>
      <c r="F13" s="567"/>
      <c r="G13" s="567"/>
      <c r="H13" s="567"/>
      <c r="I13" s="567"/>
      <c r="J13" s="567"/>
      <c r="K13" s="567"/>
      <c r="L13" s="567"/>
    </row>
    <row r="15" spans="1:12" x14ac:dyDescent="0.25">
      <c r="B15" s="579" t="s">
        <v>3154</v>
      </c>
    </row>
    <row r="16" spans="1:12" x14ac:dyDescent="0.25">
      <c r="B16" s="579"/>
    </row>
    <row r="17" spans="2:2" x14ac:dyDescent="0.25">
      <c r="B17" s="580" t="s">
        <v>3155</v>
      </c>
    </row>
    <row r="18" spans="2:2" x14ac:dyDescent="0.25">
      <c r="B18" s="562" t="s">
        <v>3156</v>
      </c>
    </row>
    <row r="19" spans="2:2" x14ac:dyDescent="0.25">
      <c r="B19" s="562" t="s">
        <v>3157</v>
      </c>
    </row>
  </sheetData>
  <mergeCells count="10">
    <mergeCell ref="B3:C3"/>
    <mergeCell ref="D3:E3"/>
    <mergeCell ref="F3:G3"/>
    <mergeCell ref="H3:I3"/>
    <mergeCell ref="J3:K3"/>
    <mergeCell ref="B7:C7"/>
    <mergeCell ref="D7:E7"/>
    <mergeCell ref="F7:G7"/>
    <mergeCell ref="H7:I7"/>
    <mergeCell ref="J7:K7"/>
  </mergeCells>
  <pageMargins left="0.25" right="0.25" top="0.75" bottom="0.75" header="0.3" footer="0.3"/>
  <pageSetup orientation="landscape" r:id="rId1"/>
  <headerFooter>
    <oddFooter>&amp;L&amp;D&amp;C&amp;A&amp;RPage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5"/>
  <sheetViews>
    <sheetView workbookViewId="0">
      <selection activeCell="M23" sqref="M23"/>
    </sheetView>
  </sheetViews>
  <sheetFormatPr defaultRowHeight="15.75" x14ac:dyDescent="0.25"/>
  <cols>
    <col min="1" max="1" width="6.109375" customWidth="1"/>
    <col min="2" max="2" width="10.109375" customWidth="1"/>
    <col min="3" max="3" width="6.33203125" customWidth="1"/>
    <col min="4" max="4" width="6.77734375" customWidth="1"/>
    <col min="5" max="5" width="7" customWidth="1"/>
    <col min="6" max="6" width="13.6640625" customWidth="1"/>
    <col min="7" max="7" width="12.5546875" customWidth="1"/>
    <col min="8" max="8" width="10.33203125" customWidth="1"/>
    <col min="9" max="9" width="37.6640625" customWidth="1"/>
    <col min="10" max="10" width="6.6640625" customWidth="1"/>
    <col min="11" max="11" width="5.44140625" customWidth="1"/>
    <col min="12" max="12" width="9.33203125" customWidth="1"/>
    <col min="13" max="13" width="8.44140625" customWidth="1"/>
    <col min="14" max="14" width="11.33203125" bestFit="1" customWidth="1"/>
    <col min="15" max="15" width="10" customWidth="1"/>
    <col min="16" max="16" width="13.33203125" customWidth="1"/>
    <col min="17" max="17" width="9.21875" customWidth="1"/>
  </cols>
  <sheetData>
    <row r="1" spans="1:17" ht="19.5" x14ac:dyDescent="0.35">
      <c r="A1" s="581" t="s">
        <v>405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</row>
    <row r="2" spans="1:17" ht="19.5" x14ac:dyDescent="0.35">
      <c r="A2" s="581" t="s">
        <v>3153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</row>
    <row r="4" spans="1:17" x14ac:dyDescent="0.25">
      <c r="A4" s="247" t="s">
        <v>646</v>
      </c>
      <c r="B4" s="247" t="s">
        <v>265</v>
      </c>
      <c r="C4" s="247" t="s">
        <v>1343</v>
      </c>
      <c r="D4" s="247" t="s">
        <v>926</v>
      </c>
      <c r="E4" s="247" t="s">
        <v>1284</v>
      </c>
      <c r="F4" s="247" t="s">
        <v>2054</v>
      </c>
      <c r="G4" s="247" t="s">
        <v>1344</v>
      </c>
      <c r="H4" s="247" t="s">
        <v>1975</v>
      </c>
      <c r="I4" s="247" t="s">
        <v>2055</v>
      </c>
      <c r="J4" s="247">
        <v>52</v>
      </c>
      <c r="K4" s="247">
        <v>52</v>
      </c>
      <c r="L4" s="249" t="s">
        <v>646</v>
      </c>
      <c r="M4" s="249" t="s">
        <v>933</v>
      </c>
      <c r="N4" s="248">
        <v>694.94</v>
      </c>
      <c r="O4" s="248">
        <v>6768.51</v>
      </c>
      <c r="P4" s="247" t="s">
        <v>1345</v>
      </c>
      <c r="Q4" s="247" t="s">
        <v>84</v>
      </c>
    </row>
    <row r="5" spans="1:17" x14ac:dyDescent="0.25">
      <c r="A5" s="247" t="s">
        <v>646</v>
      </c>
      <c r="B5" s="247" t="s">
        <v>265</v>
      </c>
      <c r="C5" s="247" t="s">
        <v>1343</v>
      </c>
      <c r="D5" s="247" t="s">
        <v>926</v>
      </c>
      <c r="E5" s="247" t="s">
        <v>1284</v>
      </c>
      <c r="F5" s="247" t="s">
        <v>2054</v>
      </c>
      <c r="G5" s="247" t="s">
        <v>1344</v>
      </c>
      <c r="H5" s="247" t="s">
        <v>1975</v>
      </c>
      <c r="I5" s="247" t="s">
        <v>2055</v>
      </c>
      <c r="J5" s="247">
        <v>52</v>
      </c>
      <c r="K5" s="247">
        <v>52</v>
      </c>
      <c r="L5" s="249" t="s">
        <v>650</v>
      </c>
      <c r="M5" s="249" t="s">
        <v>933</v>
      </c>
      <c r="N5" s="248">
        <v>553.70000000000005</v>
      </c>
      <c r="O5" s="248">
        <v>7322.21</v>
      </c>
      <c r="P5" s="247" t="s">
        <v>1345</v>
      </c>
      <c r="Q5" s="247" t="s">
        <v>85</v>
      </c>
    </row>
    <row r="6" spans="1:17" x14ac:dyDescent="0.25">
      <c r="A6" s="247" t="s">
        <v>646</v>
      </c>
      <c r="B6" s="247" t="s">
        <v>265</v>
      </c>
      <c r="C6" s="247" t="s">
        <v>1343</v>
      </c>
      <c r="D6" s="247" t="s">
        <v>926</v>
      </c>
      <c r="E6" s="247" t="s">
        <v>1284</v>
      </c>
      <c r="F6" s="247" t="s">
        <v>2054</v>
      </c>
      <c r="G6" s="247" t="s">
        <v>1344</v>
      </c>
      <c r="H6" s="247" t="s">
        <v>1975</v>
      </c>
      <c r="I6" s="247" t="s">
        <v>2055</v>
      </c>
      <c r="J6" s="247">
        <v>52</v>
      </c>
      <c r="K6" s="247">
        <v>52</v>
      </c>
      <c r="L6" s="249" t="s">
        <v>652</v>
      </c>
      <c r="M6" s="249" t="s">
        <v>933</v>
      </c>
      <c r="N6" s="248">
        <v>1279.18</v>
      </c>
      <c r="O6" s="248">
        <v>8601.39</v>
      </c>
      <c r="P6" s="247" t="s">
        <v>1345</v>
      </c>
      <c r="Q6" s="247" t="s">
        <v>86</v>
      </c>
    </row>
    <row r="7" spans="1:17" x14ac:dyDescent="0.25">
      <c r="A7" s="247" t="s">
        <v>646</v>
      </c>
      <c r="B7" s="247" t="s">
        <v>265</v>
      </c>
      <c r="C7" s="247" t="s">
        <v>1343</v>
      </c>
      <c r="D7" s="247" t="s">
        <v>926</v>
      </c>
      <c r="E7" s="247" t="s">
        <v>1284</v>
      </c>
      <c r="F7" s="247" t="s">
        <v>2054</v>
      </c>
      <c r="G7" s="247" t="s">
        <v>1344</v>
      </c>
      <c r="H7" s="247" t="s">
        <v>1975</v>
      </c>
      <c r="I7" s="247" t="s">
        <v>2055</v>
      </c>
      <c r="J7" s="247">
        <v>52</v>
      </c>
      <c r="K7" s="247">
        <v>52</v>
      </c>
      <c r="L7" s="249" t="s">
        <v>789</v>
      </c>
      <c r="M7" s="249" t="s">
        <v>929</v>
      </c>
      <c r="N7" s="248">
        <v>742.75</v>
      </c>
      <c r="O7" s="248">
        <v>742.75</v>
      </c>
      <c r="P7" s="247" t="s">
        <v>1345</v>
      </c>
      <c r="Q7" s="247" t="s">
        <v>87</v>
      </c>
    </row>
    <row r="8" spans="1:17" x14ac:dyDescent="0.25">
      <c r="A8" s="247" t="s">
        <v>646</v>
      </c>
      <c r="B8" s="247" t="s">
        <v>265</v>
      </c>
      <c r="C8" s="247" t="s">
        <v>1343</v>
      </c>
      <c r="D8" s="247" t="s">
        <v>926</v>
      </c>
      <c r="E8" s="247" t="s">
        <v>1284</v>
      </c>
      <c r="F8" s="247" t="s">
        <v>2054</v>
      </c>
      <c r="G8" s="247" t="s">
        <v>1344</v>
      </c>
      <c r="H8" s="247" t="s">
        <v>1975</v>
      </c>
      <c r="I8" s="247" t="s">
        <v>2055</v>
      </c>
      <c r="J8" s="247">
        <v>52</v>
      </c>
      <c r="K8" s="247">
        <v>52</v>
      </c>
      <c r="L8" s="249" t="s">
        <v>791</v>
      </c>
      <c r="M8" s="249" t="s">
        <v>929</v>
      </c>
      <c r="N8" s="248">
        <v>742.75</v>
      </c>
      <c r="O8" s="248">
        <v>1485.5</v>
      </c>
      <c r="P8" s="247" t="s">
        <v>1345</v>
      </c>
      <c r="Q8" s="247" t="s">
        <v>88</v>
      </c>
    </row>
    <row r="9" spans="1:17" x14ac:dyDescent="0.25">
      <c r="A9" s="247" t="s">
        <v>646</v>
      </c>
      <c r="B9" s="247" t="s">
        <v>265</v>
      </c>
      <c r="C9" s="247" t="s">
        <v>1343</v>
      </c>
      <c r="D9" s="247" t="s">
        <v>926</v>
      </c>
      <c r="E9" s="247" t="s">
        <v>1284</v>
      </c>
      <c r="F9" s="247" t="s">
        <v>2054</v>
      </c>
      <c r="G9" s="247" t="s">
        <v>1344</v>
      </c>
      <c r="H9" s="247" t="s">
        <v>1975</v>
      </c>
      <c r="I9" s="247" t="s">
        <v>2055</v>
      </c>
      <c r="J9" s="247">
        <v>52</v>
      </c>
      <c r="K9" s="247">
        <v>52</v>
      </c>
      <c r="L9" s="249" t="s">
        <v>935</v>
      </c>
      <c r="M9" s="249" t="s">
        <v>929</v>
      </c>
      <c r="N9" s="248">
        <v>742.75</v>
      </c>
      <c r="O9" s="248">
        <v>2228.25</v>
      </c>
      <c r="P9" s="247" t="s">
        <v>1345</v>
      </c>
      <c r="Q9" s="247" t="s">
        <v>89</v>
      </c>
    </row>
    <row r="10" spans="1:17" x14ac:dyDescent="0.25">
      <c r="A10" s="247" t="s">
        <v>646</v>
      </c>
      <c r="B10" s="247" t="s">
        <v>265</v>
      </c>
      <c r="C10" s="247" t="s">
        <v>1343</v>
      </c>
      <c r="D10" s="247" t="s">
        <v>926</v>
      </c>
      <c r="E10" s="247" t="s">
        <v>1284</v>
      </c>
      <c r="F10" s="247" t="s">
        <v>2054</v>
      </c>
      <c r="G10" s="247" t="s">
        <v>1344</v>
      </c>
      <c r="H10" s="247" t="s">
        <v>1975</v>
      </c>
      <c r="I10" s="247" t="s">
        <v>2055</v>
      </c>
      <c r="J10" s="247">
        <v>52</v>
      </c>
      <c r="K10" s="247">
        <v>52</v>
      </c>
      <c r="L10" s="249" t="s">
        <v>936</v>
      </c>
      <c r="M10" s="249" t="s">
        <v>929</v>
      </c>
      <c r="N10" s="248">
        <v>742.75</v>
      </c>
      <c r="O10" s="248">
        <v>2971</v>
      </c>
      <c r="P10" s="247" t="s">
        <v>1345</v>
      </c>
      <c r="Q10" s="247" t="s">
        <v>90</v>
      </c>
    </row>
    <row r="11" spans="1:17" x14ac:dyDescent="0.25">
      <c r="A11" s="247" t="s">
        <v>646</v>
      </c>
      <c r="B11" s="247" t="s">
        <v>265</v>
      </c>
      <c r="C11" s="247" t="s">
        <v>1343</v>
      </c>
      <c r="D11" s="247" t="s">
        <v>926</v>
      </c>
      <c r="E11" s="247" t="s">
        <v>1284</v>
      </c>
      <c r="F11" s="247" t="s">
        <v>2054</v>
      </c>
      <c r="G11" s="247" t="s">
        <v>1344</v>
      </c>
      <c r="H11" s="247" t="s">
        <v>1975</v>
      </c>
      <c r="I11" s="247" t="s">
        <v>2055</v>
      </c>
      <c r="J11" s="247">
        <v>52</v>
      </c>
      <c r="K11" s="247">
        <v>52</v>
      </c>
      <c r="L11" s="249" t="s">
        <v>937</v>
      </c>
      <c r="M11" s="249" t="s">
        <v>929</v>
      </c>
      <c r="N11" s="248">
        <v>742.75</v>
      </c>
      <c r="O11" s="248">
        <v>3713.75</v>
      </c>
      <c r="P11" s="247" t="s">
        <v>1345</v>
      </c>
      <c r="Q11" s="247" t="s">
        <v>91</v>
      </c>
    </row>
    <row r="12" spans="1:17" x14ac:dyDescent="0.25">
      <c r="A12" s="247" t="s">
        <v>646</v>
      </c>
      <c r="B12" s="247" t="s">
        <v>265</v>
      </c>
      <c r="C12" s="247" t="s">
        <v>1343</v>
      </c>
      <c r="D12" s="247" t="s">
        <v>926</v>
      </c>
      <c r="E12" s="247" t="s">
        <v>1284</v>
      </c>
      <c r="F12" s="247" t="s">
        <v>2054</v>
      </c>
      <c r="G12" s="247" t="s">
        <v>1344</v>
      </c>
      <c r="H12" s="247" t="s">
        <v>1975</v>
      </c>
      <c r="I12" s="247" t="s">
        <v>2055</v>
      </c>
      <c r="J12" s="247">
        <v>52</v>
      </c>
      <c r="K12" s="247">
        <v>52</v>
      </c>
      <c r="L12" s="249" t="s">
        <v>938</v>
      </c>
      <c r="M12" s="249" t="s">
        <v>929</v>
      </c>
      <c r="N12" s="248">
        <v>742.75</v>
      </c>
      <c r="O12" s="248">
        <v>4456.5</v>
      </c>
      <c r="P12" s="247" t="s">
        <v>1345</v>
      </c>
      <c r="Q12" s="247" t="s">
        <v>92</v>
      </c>
    </row>
    <row r="13" spans="1:17" x14ac:dyDescent="0.25">
      <c r="A13" s="247" t="s">
        <v>646</v>
      </c>
      <c r="B13" s="247" t="s">
        <v>265</v>
      </c>
      <c r="C13" s="247" t="s">
        <v>1343</v>
      </c>
      <c r="D13" s="247" t="s">
        <v>926</v>
      </c>
      <c r="E13" s="247" t="s">
        <v>1284</v>
      </c>
      <c r="F13" s="247" t="s">
        <v>2054</v>
      </c>
      <c r="G13" s="247" t="s">
        <v>1344</v>
      </c>
      <c r="H13" s="247" t="s">
        <v>1975</v>
      </c>
      <c r="I13" s="247" t="s">
        <v>2055</v>
      </c>
      <c r="J13" s="247">
        <v>52</v>
      </c>
      <c r="K13" s="247">
        <v>52</v>
      </c>
      <c r="L13" s="249" t="s">
        <v>939</v>
      </c>
      <c r="M13" s="249" t="s">
        <v>929</v>
      </c>
      <c r="N13" s="248">
        <v>742.75</v>
      </c>
      <c r="O13" s="248">
        <v>5199.25</v>
      </c>
      <c r="P13" s="247" t="s">
        <v>1345</v>
      </c>
      <c r="Q13" s="247" t="s">
        <v>93</v>
      </c>
    </row>
    <row r="14" spans="1:17" x14ac:dyDescent="0.25">
      <c r="A14" s="247" t="s">
        <v>646</v>
      </c>
      <c r="B14" s="247" t="s">
        <v>265</v>
      </c>
      <c r="C14" s="247" t="s">
        <v>1343</v>
      </c>
      <c r="D14" s="247" t="s">
        <v>926</v>
      </c>
      <c r="E14" s="247" t="s">
        <v>1284</v>
      </c>
      <c r="F14" s="247" t="s">
        <v>2054</v>
      </c>
      <c r="G14" s="247" t="s">
        <v>1344</v>
      </c>
      <c r="H14" s="247" t="s">
        <v>1975</v>
      </c>
      <c r="I14" s="247" t="s">
        <v>2055</v>
      </c>
      <c r="J14" s="247">
        <v>52</v>
      </c>
      <c r="K14" s="247">
        <v>52</v>
      </c>
      <c r="L14" s="249" t="s">
        <v>940</v>
      </c>
      <c r="M14" s="249" t="s">
        <v>929</v>
      </c>
      <c r="N14" s="248">
        <v>742.75</v>
      </c>
      <c r="O14" s="248">
        <v>5942</v>
      </c>
      <c r="P14" s="247" t="s">
        <v>1345</v>
      </c>
      <c r="Q14" s="247" t="s">
        <v>94</v>
      </c>
    </row>
    <row r="15" spans="1:17" x14ac:dyDescent="0.25">
      <c r="A15" s="247" t="s">
        <v>646</v>
      </c>
      <c r="B15" s="247" t="s">
        <v>265</v>
      </c>
      <c r="C15" s="247" t="s">
        <v>1343</v>
      </c>
      <c r="D15" s="247" t="s">
        <v>926</v>
      </c>
      <c r="E15" s="247" t="s">
        <v>1284</v>
      </c>
      <c r="F15" s="247" t="s">
        <v>2054</v>
      </c>
      <c r="G15" s="247" t="s">
        <v>1344</v>
      </c>
      <c r="H15" s="247" t="s">
        <v>1975</v>
      </c>
      <c r="I15" s="247" t="s">
        <v>2055</v>
      </c>
      <c r="J15" s="247">
        <v>52</v>
      </c>
      <c r="K15" s="247">
        <v>52</v>
      </c>
      <c r="L15" s="249" t="s">
        <v>642</v>
      </c>
      <c r="M15" s="249" t="s">
        <v>929</v>
      </c>
      <c r="N15" s="426">
        <v>742.75</v>
      </c>
      <c r="O15" s="248">
        <v>6684.75</v>
      </c>
      <c r="P15" s="247" t="s">
        <v>1345</v>
      </c>
      <c r="Q15" s="247" t="s">
        <v>95</v>
      </c>
    </row>
    <row r="16" spans="1:17" x14ac:dyDescent="0.25">
      <c r="A16" s="247"/>
      <c r="B16" s="247"/>
      <c r="C16" s="247"/>
      <c r="D16" s="247"/>
      <c r="E16" s="247"/>
      <c r="F16" s="247"/>
      <c r="G16" s="247"/>
      <c r="H16" s="247"/>
      <c r="I16" s="247" t="s">
        <v>3151</v>
      </c>
      <c r="J16" s="247"/>
      <c r="K16" s="247"/>
      <c r="L16" s="249"/>
      <c r="M16" s="249"/>
      <c r="N16" s="248">
        <f>SUM(N4:N15)</f>
        <v>9212.57</v>
      </c>
      <c r="O16" s="248"/>
      <c r="P16" s="247"/>
      <c r="Q16" s="247"/>
    </row>
    <row r="17" spans="1:17" x14ac:dyDescent="0.25">
      <c r="A17" s="247"/>
      <c r="B17" s="247"/>
      <c r="C17" s="247"/>
      <c r="D17" s="247"/>
      <c r="E17" s="247"/>
      <c r="F17" s="247"/>
      <c r="G17" s="247"/>
      <c r="H17" s="247"/>
      <c r="I17" s="247" t="s">
        <v>3152</v>
      </c>
      <c r="J17" s="247"/>
      <c r="K17" s="247"/>
      <c r="L17" s="249"/>
      <c r="M17" s="249"/>
      <c r="N17" s="561">
        <v>0.2379</v>
      </c>
      <c r="O17" s="248"/>
      <c r="P17" s="247"/>
      <c r="Q17" s="247"/>
    </row>
    <row r="18" spans="1:17" x14ac:dyDescent="0.25">
      <c r="A18" s="247"/>
      <c r="B18" s="247"/>
      <c r="C18" s="247"/>
      <c r="D18" s="247"/>
      <c r="E18" s="247"/>
      <c r="F18" s="247"/>
      <c r="G18" s="247"/>
      <c r="H18" s="247"/>
      <c r="I18" s="247" t="s">
        <v>3143</v>
      </c>
      <c r="J18" s="247"/>
      <c r="K18" s="247"/>
      <c r="L18" s="249"/>
      <c r="M18" s="249"/>
      <c r="N18" s="248">
        <f>+N16*N17</f>
        <v>2191.6704030000001</v>
      </c>
      <c r="O18" s="248"/>
      <c r="P18" s="247"/>
      <c r="Q18" s="247"/>
    </row>
    <row r="20" spans="1:17" x14ac:dyDescent="0.25">
      <c r="A20" s="247" t="s">
        <v>646</v>
      </c>
      <c r="B20" s="247" t="s">
        <v>265</v>
      </c>
      <c r="C20" s="247" t="s">
        <v>1343</v>
      </c>
      <c r="D20" s="247" t="s">
        <v>926</v>
      </c>
      <c r="E20" s="247" t="s">
        <v>1291</v>
      </c>
      <c r="F20" s="247" t="s">
        <v>2074</v>
      </c>
      <c r="G20" s="247" t="s">
        <v>1344</v>
      </c>
      <c r="H20" s="247" t="s">
        <v>1982</v>
      </c>
      <c r="I20" s="247" t="s">
        <v>2075</v>
      </c>
      <c r="J20" s="247">
        <v>52</v>
      </c>
      <c r="K20" s="247">
        <v>52</v>
      </c>
      <c r="L20" s="249" t="s">
        <v>646</v>
      </c>
      <c r="M20" s="249" t="s">
        <v>933</v>
      </c>
      <c r="N20" s="248">
        <v>1711.91</v>
      </c>
      <c r="O20" s="248">
        <v>20672.75</v>
      </c>
      <c r="P20" s="247" t="s">
        <v>1366</v>
      </c>
      <c r="Q20" s="247" t="s">
        <v>84</v>
      </c>
    </row>
    <row r="21" spans="1:17" x14ac:dyDescent="0.25">
      <c r="A21" s="247" t="s">
        <v>646</v>
      </c>
      <c r="B21" s="247" t="s">
        <v>265</v>
      </c>
      <c r="C21" s="247" t="s">
        <v>1343</v>
      </c>
      <c r="D21" s="247" t="s">
        <v>926</v>
      </c>
      <c r="E21" s="247" t="s">
        <v>1291</v>
      </c>
      <c r="F21" s="247" t="s">
        <v>2074</v>
      </c>
      <c r="G21" s="247" t="s">
        <v>1344</v>
      </c>
      <c r="H21" s="247" t="s">
        <v>1982</v>
      </c>
      <c r="I21" s="247" t="s">
        <v>2075</v>
      </c>
      <c r="J21" s="247">
        <v>52</v>
      </c>
      <c r="K21" s="247">
        <v>52</v>
      </c>
      <c r="L21" s="249" t="s">
        <v>650</v>
      </c>
      <c r="M21" s="249" t="s">
        <v>933</v>
      </c>
      <c r="N21" s="248">
        <v>1288.17</v>
      </c>
      <c r="O21" s="248">
        <v>21960.92</v>
      </c>
      <c r="P21" s="247" t="s">
        <v>1366</v>
      </c>
      <c r="Q21" s="247" t="s">
        <v>85</v>
      </c>
    </row>
    <row r="22" spans="1:17" x14ac:dyDescent="0.25">
      <c r="A22" s="247" t="s">
        <v>646</v>
      </c>
      <c r="B22" s="247" t="s">
        <v>265</v>
      </c>
      <c r="C22" s="247" t="s">
        <v>1343</v>
      </c>
      <c r="D22" s="247" t="s">
        <v>926</v>
      </c>
      <c r="E22" s="247" t="s">
        <v>1291</v>
      </c>
      <c r="F22" s="247" t="s">
        <v>2074</v>
      </c>
      <c r="G22" s="247" t="s">
        <v>1344</v>
      </c>
      <c r="H22" s="247" t="s">
        <v>1982</v>
      </c>
      <c r="I22" s="247" t="s">
        <v>2075</v>
      </c>
      <c r="J22" s="247">
        <v>52</v>
      </c>
      <c r="K22" s="247">
        <v>52</v>
      </c>
      <c r="L22" s="249" t="s">
        <v>652</v>
      </c>
      <c r="M22" s="249" t="s">
        <v>933</v>
      </c>
      <c r="N22" s="248">
        <v>3464.59</v>
      </c>
      <c r="O22" s="248">
        <v>25425.51</v>
      </c>
      <c r="P22" s="247" t="s">
        <v>1366</v>
      </c>
      <c r="Q22" s="247" t="s">
        <v>86</v>
      </c>
    </row>
    <row r="23" spans="1:17" x14ac:dyDescent="0.25">
      <c r="A23" s="247" t="s">
        <v>646</v>
      </c>
      <c r="B23" s="247" t="s">
        <v>265</v>
      </c>
      <c r="C23" s="247" t="s">
        <v>1343</v>
      </c>
      <c r="D23" s="247" t="s">
        <v>926</v>
      </c>
      <c r="E23" s="247" t="s">
        <v>1291</v>
      </c>
      <c r="F23" s="247" t="s">
        <v>2074</v>
      </c>
      <c r="G23" s="247" t="s">
        <v>1344</v>
      </c>
      <c r="H23" s="247" t="s">
        <v>1982</v>
      </c>
      <c r="I23" s="247" t="s">
        <v>2075</v>
      </c>
      <c r="J23" s="247">
        <v>52</v>
      </c>
      <c r="K23" s="247">
        <v>52</v>
      </c>
      <c r="L23" s="249" t="s">
        <v>789</v>
      </c>
      <c r="M23" s="249" t="s">
        <v>929</v>
      </c>
      <c r="N23" s="248">
        <v>1857.87</v>
      </c>
      <c r="O23" s="248">
        <v>1857.87</v>
      </c>
      <c r="P23" s="247" t="s">
        <v>1366</v>
      </c>
      <c r="Q23" s="247" t="s">
        <v>87</v>
      </c>
    </row>
    <row r="24" spans="1:17" x14ac:dyDescent="0.25">
      <c r="A24" s="247" t="s">
        <v>646</v>
      </c>
      <c r="B24" s="247" t="s">
        <v>265</v>
      </c>
      <c r="C24" s="247" t="s">
        <v>1343</v>
      </c>
      <c r="D24" s="247" t="s">
        <v>926</v>
      </c>
      <c r="E24" s="247" t="s">
        <v>1291</v>
      </c>
      <c r="F24" s="247" t="s">
        <v>2074</v>
      </c>
      <c r="G24" s="247" t="s">
        <v>1344</v>
      </c>
      <c r="H24" s="247" t="s">
        <v>1982</v>
      </c>
      <c r="I24" s="247" t="s">
        <v>2075</v>
      </c>
      <c r="J24" s="247">
        <v>52</v>
      </c>
      <c r="K24" s="247">
        <v>52</v>
      </c>
      <c r="L24" s="249" t="s">
        <v>791</v>
      </c>
      <c r="M24" s="249" t="s">
        <v>929</v>
      </c>
      <c r="N24" s="248">
        <v>1857.87</v>
      </c>
      <c r="O24" s="248">
        <v>3715.74</v>
      </c>
      <c r="P24" s="247" t="s">
        <v>1366</v>
      </c>
      <c r="Q24" s="247" t="s">
        <v>88</v>
      </c>
    </row>
    <row r="25" spans="1:17" x14ac:dyDescent="0.25">
      <c r="A25" s="247" t="s">
        <v>646</v>
      </c>
      <c r="B25" s="247" t="s">
        <v>265</v>
      </c>
      <c r="C25" s="247" t="s">
        <v>1343</v>
      </c>
      <c r="D25" s="247" t="s">
        <v>926</v>
      </c>
      <c r="E25" s="247" t="s">
        <v>1291</v>
      </c>
      <c r="F25" s="247" t="s">
        <v>2074</v>
      </c>
      <c r="G25" s="247" t="s">
        <v>1344</v>
      </c>
      <c r="H25" s="247" t="s">
        <v>1982</v>
      </c>
      <c r="I25" s="247" t="s">
        <v>2075</v>
      </c>
      <c r="J25" s="247">
        <v>52</v>
      </c>
      <c r="K25" s="247">
        <v>52</v>
      </c>
      <c r="L25" s="249" t="s">
        <v>935</v>
      </c>
      <c r="M25" s="249" t="s">
        <v>929</v>
      </c>
      <c r="N25" s="248">
        <v>1670.31</v>
      </c>
      <c r="O25" s="248">
        <v>5386.05</v>
      </c>
      <c r="P25" s="247" t="s">
        <v>1366</v>
      </c>
      <c r="Q25" s="247" t="s">
        <v>89</v>
      </c>
    </row>
    <row r="26" spans="1:17" x14ac:dyDescent="0.25">
      <c r="A26" s="247" t="s">
        <v>646</v>
      </c>
      <c r="B26" s="247" t="s">
        <v>265</v>
      </c>
      <c r="C26" s="247" t="s">
        <v>1343</v>
      </c>
      <c r="D26" s="247" t="s">
        <v>926</v>
      </c>
      <c r="E26" s="247" t="s">
        <v>1291</v>
      </c>
      <c r="F26" s="247" t="s">
        <v>2074</v>
      </c>
      <c r="G26" s="247" t="s">
        <v>1344</v>
      </c>
      <c r="H26" s="247" t="s">
        <v>1982</v>
      </c>
      <c r="I26" s="247" t="s">
        <v>2075</v>
      </c>
      <c r="J26" s="247">
        <v>52</v>
      </c>
      <c r="K26" s="247">
        <v>52</v>
      </c>
      <c r="L26" s="249" t="s">
        <v>936</v>
      </c>
      <c r="M26" s="249" t="s">
        <v>929</v>
      </c>
      <c r="N26" s="248">
        <v>1670.31</v>
      </c>
      <c r="O26" s="248">
        <v>7056.36</v>
      </c>
      <c r="P26" s="247" t="s">
        <v>1366</v>
      </c>
      <c r="Q26" s="247" t="s">
        <v>90</v>
      </c>
    </row>
    <row r="27" spans="1:17" x14ac:dyDescent="0.25">
      <c r="A27" s="247" t="s">
        <v>646</v>
      </c>
      <c r="B27" s="247" t="s">
        <v>265</v>
      </c>
      <c r="C27" s="247" t="s">
        <v>1343</v>
      </c>
      <c r="D27" s="247" t="s">
        <v>926</v>
      </c>
      <c r="E27" s="247" t="s">
        <v>1291</v>
      </c>
      <c r="F27" s="247" t="s">
        <v>2074</v>
      </c>
      <c r="G27" s="247" t="s">
        <v>1344</v>
      </c>
      <c r="H27" s="247" t="s">
        <v>1982</v>
      </c>
      <c r="I27" s="247" t="s">
        <v>2075</v>
      </c>
      <c r="J27" s="247">
        <v>52</v>
      </c>
      <c r="K27" s="247">
        <v>52</v>
      </c>
      <c r="L27" s="249" t="s">
        <v>937</v>
      </c>
      <c r="M27" s="249" t="s">
        <v>929</v>
      </c>
      <c r="N27" s="248">
        <v>1857.87</v>
      </c>
      <c r="O27" s="248">
        <v>8914.23</v>
      </c>
      <c r="P27" s="247" t="s">
        <v>1366</v>
      </c>
      <c r="Q27" s="247" t="s">
        <v>91</v>
      </c>
    </row>
    <row r="28" spans="1:17" x14ac:dyDescent="0.25">
      <c r="A28" s="247" t="s">
        <v>646</v>
      </c>
      <c r="B28" s="247" t="s">
        <v>265</v>
      </c>
      <c r="C28" s="247" t="s">
        <v>1343</v>
      </c>
      <c r="D28" s="247" t="s">
        <v>926</v>
      </c>
      <c r="E28" s="247" t="s">
        <v>1291</v>
      </c>
      <c r="F28" s="247" t="s">
        <v>2074</v>
      </c>
      <c r="G28" s="247" t="s">
        <v>1344</v>
      </c>
      <c r="H28" s="247" t="s">
        <v>1982</v>
      </c>
      <c r="I28" s="247" t="s">
        <v>2075</v>
      </c>
      <c r="J28" s="247">
        <v>52</v>
      </c>
      <c r="K28" s="247">
        <v>52</v>
      </c>
      <c r="L28" s="249" t="s">
        <v>938</v>
      </c>
      <c r="M28" s="249" t="s">
        <v>929</v>
      </c>
      <c r="N28" s="248">
        <v>1857.87</v>
      </c>
      <c r="O28" s="248">
        <v>10772.1</v>
      </c>
      <c r="P28" s="247" t="s">
        <v>1366</v>
      </c>
      <c r="Q28" s="247" t="s">
        <v>92</v>
      </c>
    </row>
    <row r="29" spans="1:17" x14ac:dyDescent="0.25">
      <c r="A29" s="247" t="s">
        <v>646</v>
      </c>
      <c r="B29" s="247" t="s">
        <v>265</v>
      </c>
      <c r="C29" s="247" t="s">
        <v>1343</v>
      </c>
      <c r="D29" s="247" t="s">
        <v>926</v>
      </c>
      <c r="E29" s="247" t="s">
        <v>1291</v>
      </c>
      <c r="F29" s="247" t="s">
        <v>2074</v>
      </c>
      <c r="G29" s="247" t="s">
        <v>1344</v>
      </c>
      <c r="H29" s="247" t="s">
        <v>1982</v>
      </c>
      <c r="I29" s="247" t="s">
        <v>2075</v>
      </c>
      <c r="J29" s="247">
        <v>52</v>
      </c>
      <c r="K29" s="247">
        <v>52</v>
      </c>
      <c r="L29" s="249" t="s">
        <v>939</v>
      </c>
      <c r="M29" s="249" t="s">
        <v>929</v>
      </c>
      <c r="N29" s="248">
        <v>1857.87</v>
      </c>
      <c r="O29" s="248">
        <v>12629.97</v>
      </c>
      <c r="P29" s="247" t="s">
        <v>1366</v>
      </c>
      <c r="Q29" s="247" t="s">
        <v>93</v>
      </c>
    </row>
    <row r="30" spans="1:17" x14ac:dyDescent="0.25">
      <c r="A30" s="247" t="s">
        <v>646</v>
      </c>
      <c r="B30" s="247" t="s">
        <v>265</v>
      </c>
      <c r="C30" s="247" t="s">
        <v>1343</v>
      </c>
      <c r="D30" s="247" t="s">
        <v>926</v>
      </c>
      <c r="E30" s="247" t="s">
        <v>1291</v>
      </c>
      <c r="F30" s="247" t="s">
        <v>2074</v>
      </c>
      <c r="G30" s="247" t="s">
        <v>1344</v>
      </c>
      <c r="H30" s="247" t="s">
        <v>1982</v>
      </c>
      <c r="I30" s="247" t="s">
        <v>2075</v>
      </c>
      <c r="J30" s="247">
        <v>52</v>
      </c>
      <c r="K30" s="247">
        <v>52</v>
      </c>
      <c r="L30" s="249" t="s">
        <v>940</v>
      </c>
      <c r="M30" s="249" t="s">
        <v>929</v>
      </c>
      <c r="N30" s="248">
        <v>1857.87</v>
      </c>
      <c r="O30" s="248">
        <v>14487.84</v>
      </c>
      <c r="P30" s="247" t="s">
        <v>1366</v>
      </c>
      <c r="Q30" s="247" t="s">
        <v>94</v>
      </c>
    </row>
    <row r="31" spans="1:17" x14ac:dyDescent="0.25">
      <c r="A31" s="247" t="s">
        <v>646</v>
      </c>
      <c r="B31" s="247" t="s">
        <v>265</v>
      </c>
      <c r="C31" s="247" t="s">
        <v>1343</v>
      </c>
      <c r="D31" s="247" t="s">
        <v>926</v>
      </c>
      <c r="E31" s="247" t="s">
        <v>1291</v>
      </c>
      <c r="F31" s="247" t="s">
        <v>2074</v>
      </c>
      <c r="G31" s="247" t="s">
        <v>1344</v>
      </c>
      <c r="H31" s="247" t="s">
        <v>1982</v>
      </c>
      <c r="I31" s="247" t="s">
        <v>2075</v>
      </c>
      <c r="J31" s="247">
        <v>52</v>
      </c>
      <c r="K31" s="247">
        <v>52</v>
      </c>
      <c r="L31" s="249" t="s">
        <v>642</v>
      </c>
      <c r="M31" s="249" t="s">
        <v>929</v>
      </c>
      <c r="N31" s="248">
        <v>1857.87</v>
      </c>
      <c r="O31" s="248">
        <v>16345.71</v>
      </c>
      <c r="P31" s="247" t="s">
        <v>1366</v>
      </c>
      <c r="Q31" s="247" t="s">
        <v>95</v>
      </c>
    </row>
    <row r="32" spans="1:17" x14ac:dyDescent="0.25">
      <c r="A32" s="247" t="s">
        <v>646</v>
      </c>
      <c r="B32" s="247" t="s">
        <v>265</v>
      </c>
      <c r="C32" s="247" t="s">
        <v>1343</v>
      </c>
      <c r="D32" s="247" t="s">
        <v>926</v>
      </c>
      <c r="E32" s="247" t="s">
        <v>1296</v>
      </c>
      <c r="F32" s="247" t="s">
        <v>2094</v>
      </c>
      <c r="G32" s="247" t="s">
        <v>1344</v>
      </c>
      <c r="H32" s="247" t="s">
        <v>1989</v>
      </c>
      <c r="I32" s="247" t="s">
        <v>2095</v>
      </c>
      <c r="J32" s="247">
        <v>52</v>
      </c>
      <c r="K32" s="247">
        <v>52</v>
      </c>
      <c r="L32" s="249" t="s">
        <v>646</v>
      </c>
      <c r="M32" s="249" t="s">
        <v>933</v>
      </c>
      <c r="N32" s="248">
        <v>178.34</v>
      </c>
      <c r="O32" s="248">
        <v>5151.45</v>
      </c>
      <c r="P32" s="247" t="s">
        <v>1376</v>
      </c>
      <c r="Q32" s="247" t="s">
        <v>84</v>
      </c>
    </row>
    <row r="33" spans="1:17" x14ac:dyDescent="0.25">
      <c r="A33" s="247" t="s">
        <v>646</v>
      </c>
      <c r="B33" s="247" t="s">
        <v>265</v>
      </c>
      <c r="C33" s="247" t="s">
        <v>1343</v>
      </c>
      <c r="D33" s="247" t="s">
        <v>926</v>
      </c>
      <c r="E33" s="247" t="s">
        <v>1296</v>
      </c>
      <c r="F33" s="247" t="s">
        <v>2094</v>
      </c>
      <c r="G33" s="247" t="s">
        <v>1344</v>
      </c>
      <c r="H33" s="247" t="s">
        <v>1989</v>
      </c>
      <c r="I33" s="247" t="s">
        <v>2095</v>
      </c>
      <c r="J33" s="247">
        <v>52</v>
      </c>
      <c r="K33" s="247">
        <v>52</v>
      </c>
      <c r="L33" s="249" t="s">
        <v>650</v>
      </c>
      <c r="M33" s="249" t="s">
        <v>933</v>
      </c>
      <c r="N33" s="248">
        <v>367.24</v>
      </c>
      <c r="O33" s="248">
        <v>5518.69</v>
      </c>
      <c r="P33" s="247" t="s">
        <v>1376</v>
      </c>
      <c r="Q33" s="247" t="s">
        <v>85</v>
      </c>
    </row>
    <row r="34" spans="1:17" x14ac:dyDescent="0.25">
      <c r="A34" s="247" t="s">
        <v>646</v>
      </c>
      <c r="B34" s="247" t="s">
        <v>265</v>
      </c>
      <c r="C34" s="247" t="s">
        <v>1343</v>
      </c>
      <c r="D34" s="247" t="s">
        <v>926</v>
      </c>
      <c r="E34" s="247" t="s">
        <v>1296</v>
      </c>
      <c r="F34" s="247" t="s">
        <v>2094</v>
      </c>
      <c r="G34" s="247" t="s">
        <v>1344</v>
      </c>
      <c r="H34" s="247" t="s">
        <v>1989</v>
      </c>
      <c r="I34" s="247" t="s">
        <v>2095</v>
      </c>
      <c r="J34" s="247">
        <v>52</v>
      </c>
      <c r="K34" s="247">
        <v>52</v>
      </c>
      <c r="L34" s="249" t="s">
        <v>652</v>
      </c>
      <c r="M34" s="249" t="s">
        <v>933</v>
      </c>
      <c r="N34" s="248">
        <v>1092.71</v>
      </c>
      <c r="O34" s="248">
        <v>6611.4</v>
      </c>
      <c r="P34" s="247" t="s">
        <v>1376</v>
      </c>
      <c r="Q34" s="247" t="s">
        <v>86</v>
      </c>
    </row>
    <row r="35" spans="1:17" x14ac:dyDescent="0.25">
      <c r="A35" s="247" t="s">
        <v>646</v>
      </c>
      <c r="B35" s="247" t="s">
        <v>265</v>
      </c>
      <c r="C35" s="247" t="s">
        <v>1343</v>
      </c>
      <c r="D35" s="247" t="s">
        <v>926</v>
      </c>
      <c r="E35" s="247" t="s">
        <v>1296</v>
      </c>
      <c r="F35" s="247" t="s">
        <v>2094</v>
      </c>
      <c r="G35" s="247" t="s">
        <v>1344</v>
      </c>
      <c r="H35" s="247" t="s">
        <v>1989</v>
      </c>
      <c r="I35" s="247" t="s">
        <v>2095</v>
      </c>
      <c r="J35" s="247">
        <v>52</v>
      </c>
      <c r="K35" s="247">
        <v>52</v>
      </c>
      <c r="L35" s="249" t="s">
        <v>789</v>
      </c>
      <c r="M35" s="249" t="s">
        <v>929</v>
      </c>
      <c r="N35" s="248">
        <v>557.55999999999995</v>
      </c>
      <c r="O35" s="248">
        <v>557.55999999999995</v>
      </c>
      <c r="P35" s="247" t="s">
        <v>1376</v>
      </c>
      <c r="Q35" s="247" t="s">
        <v>87</v>
      </c>
    </row>
    <row r="36" spans="1:17" x14ac:dyDescent="0.25">
      <c r="A36" s="247" t="s">
        <v>646</v>
      </c>
      <c r="B36" s="247" t="s">
        <v>265</v>
      </c>
      <c r="C36" s="247" t="s">
        <v>1343</v>
      </c>
      <c r="D36" s="247" t="s">
        <v>926</v>
      </c>
      <c r="E36" s="247" t="s">
        <v>1296</v>
      </c>
      <c r="F36" s="247" t="s">
        <v>2094</v>
      </c>
      <c r="G36" s="247" t="s">
        <v>1344</v>
      </c>
      <c r="H36" s="247" t="s">
        <v>1989</v>
      </c>
      <c r="I36" s="247" t="s">
        <v>2095</v>
      </c>
      <c r="J36" s="247">
        <v>52</v>
      </c>
      <c r="K36" s="247">
        <v>52</v>
      </c>
      <c r="L36" s="249" t="s">
        <v>791</v>
      </c>
      <c r="M36" s="249" t="s">
        <v>929</v>
      </c>
      <c r="N36" s="248">
        <v>557.55999999999995</v>
      </c>
      <c r="O36" s="248">
        <v>1115.1199999999999</v>
      </c>
      <c r="P36" s="247" t="s">
        <v>1376</v>
      </c>
      <c r="Q36" s="247" t="s">
        <v>88</v>
      </c>
    </row>
    <row r="37" spans="1:17" x14ac:dyDescent="0.25">
      <c r="A37" s="247" t="s">
        <v>646</v>
      </c>
      <c r="B37" s="247" t="s">
        <v>265</v>
      </c>
      <c r="C37" s="247" t="s">
        <v>1343</v>
      </c>
      <c r="D37" s="247" t="s">
        <v>926</v>
      </c>
      <c r="E37" s="247" t="s">
        <v>1296</v>
      </c>
      <c r="F37" s="247" t="s">
        <v>2094</v>
      </c>
      <c r="G37" s="247" t="s">
        <v>1344</v>
      </c>
      <c r="H37" s="247" t="s">
        <v>1989</v>
      </c>
      <c r="I37" s="247" t="s">
        <v>2095</v>
      </c>
      <c r="J37" s="247">
        <v>52</v>
      </c>
      <c r="K37" s="247">
        <v>52</v>
      </c>
      <c r="L37" s="249" t="s">
        <v>935</v>
      </c>
      <c r="M37" s="249" t="s">
        <v>929</v>
      </c>
      <c r="N37" s="248">
        <v>557.55999999999995</v>
      </c>
      <c r="O37" s="248">
        <v>1672.68</v>
      </c>
      <c r="P37" s="247" t="s">
        <v>1376</v>
      </c>
      <c r="Q37" s="247" t="s">
        <v>89</v>
      </c>
    </row>
    <row r="38" spans="1:17" x14ac:dyDescent="0.25">
      <c r="A38" s="247" t="s">
        <v>646</v>
      </c>
      <c r="B38" s="247" t="s">
        <v>265</v>
      </c>
      <c r="C38" s="247" t="s">
        <v>1343</v>
      </c>
      <c r="D38" s="247" t="s">
        <v>926</v>
      </c>
      <c r="E38" s="247" t="s">
        <v>1296</v>
      </c>
      <c r="F38" s="247" t="s">
        <v>2094</v>
      </c>
      <c r="G38" s="247" t="s">
        <v>1344</v>
      </c>
      <c r="H38" s="247" t="s">
        <v>1989</v>
      </c>
      <c r="I38" s="247" t="s">
        <v>2095</v>
      </c>
      <c r="J38" s="247">
        <v>52</v>
      </c>
      <c r="K38" s="247">
        <v>52</v>
      </c>
      <c r="L38" s="249" t="s">
        <v>936</v>
      </c>
      <c r="M38" s="249" t="s">
        <v>929</v>
      </c>
      <c r="N38" s="248">
        <v>557.55999999999995</v>
      </c>
      <c r="O38" s="248">
        <v>2230.2399999999998</v>
      </c>
      <c r="P38" s="247" t="s">
        <v>1376</v>
      </c>
      <c r="Q38" s="247" t="s">
        <v>90</v>
      </c>
    </row>
    <row r="39" spans="1:17" x14ac:dyDescent="0.25">
      <c r="A39" s="247" t="s">
        <v>646</v>
      </c>
      <c r="B39" s="247" t="s">
        <v>265</v>
      </c>
      <c r="C39" s="247" t="s">
        <v>1343</v>
      </c>
      <c r="D39" s="247" t="s">
        <v>926</v>
      </c>
      <c r="E39" s="247" t="s">
        <v>1296</v>
      </c>
      <c r="F39" s="247" t="s">
        <v>2094</v>
      </c>
      <c r="G39" s="247" t="s">
        <v>1344</v>
      </c>
      <c r="H39" s="247" t="s">
        <v>1989</v>
      </c>
      <c r="I39" s="247" t="s">
        <v>2095</v>
      </c>
      <c r="J39" s="247">
        <v>52</v>
      </c>
      <c r="K39" s="247">
        <v>52</v>
      </c>
      <c r="L39" s="249" t="s">
        <v>937</v>
      </c>
      <c r="M39" s="249" t="s">
        <v>929</v>
      </c>
      <c r="N39" s="248">
        <v>557.55999999999995</v>
      </c>
      <c r="O39" s="248">
        <v>2787.8</v>
      </c>
      <c r="P39" s="247" t="s">
        <v>1376</v>
      </c>
      <c r="Q39" s="247" t="s">
        <v>91</v>
      </c>
    </row>
    <row r="40" spans="1:17" x14ac:dyDescent="0.25">
      <c r="A40" s="247" t="s">
        <v>646</v>
      </c>
      <c r="B40" s="247" t="s">
        <v>265</v>
      </c>
      <c r="C40" s="247" t="s">
        <v>1343</v>
      </c>
      <c r="D40" s="247" t="s">
        <v>926</v>
      </c>
      <c r="E40" s="247" t="s">
        <v>1296</v>
      </c>
      <c r="F40" s="247" t="s">
        <v>2094</v>
      </c>
      <c r="G40" s="247" t="s">
        <v>1344</v>
      </c>
      <c r="H40" s="247" t="s">
        <v>1989</v>
      </c>
      <c r="I40" s="247" t="s">
        <v>2095</v>
      </c>
      <c r="J40" s="247">
        <v>52</v>
      </c>
      <c r="K40" s="247">
        <v>52</v>
      </c>
      <c r="L40" s="249" t="s">
        <v>938</v>
      </c>
      <c r="M40" s="249" t="s">
        <v>929</v>
      </c>
      <c r="N40" s="248">
        <v>557.55999999999995</v>
      </c>
      <c r="O40" s="248">
        <v>3345.36</v>
      </c>
      <c r="P40" s="247" t="s">
        <v>1376</v>
      </c>
      <c r="Q40" s="247" t="s">
        <v>92</v>
      </c>
    </row>
    <row r="41" spans="1:17" x14ac:dyDescent="0.25">
      <c r="A41" s="247" t="s">
        <v>646</v>
      </c>
      <c r="B41" s="247" t="s">
        <v>265</v>
      </c>
      <c r="C41" s="247" t="s">
        <v>1343</v>
      </c>
      <c r="D41" s="247" t="s">
        <v>926</v>
      </c>
      <c r="E41" s="247" t="s">
        <v>1296</v>
      </c>
      <c r="F41" s="247" t="s">
        <v>2094</v>
      </c>
      <c r="G41" s="247" t="s">
        <v>1344</v>
      </c>
      <c r="H41" s="247" t="s">
        <v>1989</v>
      </c>
      <c r="I41" s="247" t="s">
        <v>2095</v>
      </c>
      <c r="J41" s="247">
        <v>52</v>
      </c>
      <c r="K41" s="247">
        <v>52</v>
      </c>
      <c r="L41" s="249" t="s">
        <v>939</v>
      </c>
      <c r="M41" s="249" t="s">
        <v>929</v>
      </c>
      <c r="N41" s="248">
        <v>557.55999999999995</v>
      </c>
      <c r="O41" s="248">
        <v>3902.92</v>
      </c>
      <c r="P41" s="247" t="s">
        <v>1376</v>
      </c>
      <c r="Q41" s="247" t="s">
        <v>93</v>
      </c>
    </row>
    <row r="42" spans="1:17" x14ac:dyDescent="0.25">
      <c r="A42" s="247" t="s">
        <v>646</v>
      </c>
      <c r="B42" s="247" t="s">
        <v>265</v>
      </c>
      <c r="C42" s="247" t="s">
        <v>1343</v>
      </c>
      <c r="D42" s="247" t="s">
        <v>926</v>
      </c>
      <c r="E42" s="247" t="s">
        <v>1296</v>
      </c>
      <c r="F42" s="247" t="s">
        <v>2094</v>
      </c>
      <c r="G42" s="247" t="s">
        <v>1344</v>
      </c>
      <c r="H42" s="247" t="s">
        <v>1989</v>
      </c>
      <c r="I42" s="247" t="s">
        <v>2095</v>
      </c>
      <c r="J42" s="247">
        <v>52</v>
      </c>
      <c r="K42" s="247">
        <v>52</v>
      </c>
      <c r="L42" s="249" t="s">
        <v>940</v>
      </c>
      <c r="M42" s="249" t="s">
        <v>929</v>
      </c>
      <c r="N42" s="248">
        <v>557.55999999999995</v>
      </c>
      <c r="O42" s="248">
        <v>4460.4799999999996</v>
      </c>
      <c r="P42" s="247" t="s">
        <v>1376</v>
      </c>
      <c r="Q42" s="247" t="s">
        <v>94</v>
      </c>
    </row>
    <row r="43" spans="1:17" x14ac:dyDescent="0.25">
      <c r="A43" s="247" t="s">
        <v>646</v>
      </c>
      <c r="B43" s="247" t="s">
        <v>265</v>
      </c>
      <c r="C43" s="247" t="s">
        <v>1343</v>
      </c>
      <c r="D43" s="247" t="s">
        <v>926</v>
      </c>
      <c r="E43" s="247" t="s">
        <v>1296</v>
      </c>
      <c r="F43" s="247" t="s">
        <v>2094</v>
      </c>
      <c r="G43" s="247" t="s">
        <v>1344</v>
      </c>
      <c r="H43" s="247" t="s">
        <v>1989</v>
      </c>
      <c r="I43" s="247" t="s">
        <v>2095</v>
      </c>
      <c r="J43" s="247">
        <v>52</v>
      </c>
      <c r="K43" s="247">
        <v>52</v>
      </c>
      <c r="L43" s="249" t="s">
        <v>642</v>
      </c>
      <c r="M43" s="249" t="s">
        <v>929</v>
      </c>
      <c r="N43" s="426">
        <v>557.55999999999995</v>
      </c>
      <c r="O43" s="248">
        <v>5018.04</v>
      </c>
      <c r="P43" s="247" t="s">
        <v>1376</v>
      </c>
      <c r="Q43" s="247" t="s">
        <v>95</v>
      </c>
    </row>
    <row r="44" spans="1:17" x14ac:dyDescent="0.25">
      <c r="A44" s="247"/>
      <c r="B44" s="247"/>
      <c r="C44" s="247"/>
      <c r="D44" s="247"/>
      <c r="E44" s="247"/>
      <c r="F44" s="247"/>
      <c r="G44" s="247"/>
      <c r="H44" s="247"/>
      <c r="I44" s="247" t="s">
        <v>3151</v>
      </c>
      <c r="J44" s="247"/>
      <c r="K44" s="247"/>
      <c r="L44" s="249"/>
      <c r="M44" s="249"/>
      <c r="N44" s="248">
        <f>SUM(N32:N43)</f>
        <v>6656.3299999999981</v>
      </c>
      <c r="O44" s="248"/>
      <c r="P44" s="247"/>
      <c r="Q44" s="247"/>
    </row>
    <row r="45" spans="1:17" x14ac:dyDescent="0.25">
      <c r="A45" s="247"/>
      <c r="B45" s="247"/>
      <c r="C45" s="247"/>
      <c r="D45" s="247"/>
      <c r="E45" s="247"/>
      <c r="F45" s="247"/>
      <c r="G45" s="247"/>
      <c r="H45" s="247"/>
      <c r="I45" s="247" t="s">
        <v>3152</v>
      </c>
      <c r="J45" s="247"/>
      <c r="K45" s="247"/>
      <c r="L45" s="249"/>
      <c r="M45" s="249"/>
      <c r="N45" s="561">
        <v>0.2379</v>
      </c>
      <c r="O45" s="248"/>
      <c r="P45" s="247"/>
      <c r="Q45" s="247"/>
    </row>
    <row r="46" spans="1:17" x14ac:dyDescent="0.25">
      <c r="A46" s="247"/>
      <c r="B46" s="247"/>
      <c r="C46" s="247"/>
      <c r="D46" s="247"/>
      <c r="E46" s="247"/>
      <c r="F46" s="247"/>
      <c r="G46" s="247"/>
      <c r="H46" s="247"/>
      <c r="I46" s="247" t="s">
        <v>3143</v>
      </c>
      <c r="J46" s="247"/>
      <c r="K46" s="247"/>
      <c r="L46" s="249"/>
      <c r="M46" s="249"/>
      <c r="N46" s="248">
        <f>+N44*N45</f>
        <v>1583.5409069999996</v>
      </c>
      <c r="O46" s="248"/>
      <c r="P46" s="247"/>
      <c r="Q46" s="247"/>
    </row>
    <row r="47" spans="1:17" x14ac:dyDescent="0.25">
      <c r="A47" s="247"/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9"/>
      <c r="M47" s="249"/>
      <c r="N47" s="248"/>
      <c r="O47" s="248"/>
      <c r="P47" s="247"/>
      <c r="Q47" s="247"/>
    </row>
    <row r="49" spans="1:17" x14ac:dyDescent="0.25">
      <c r="A49" s="247" t="s">
        <v>646</v>
      </c>
      <c r="B49" s="247" t="s">
        <v>265</v>
      </c>
      <c r="C49" s="247" t="s">
        <v>1343</v>
      </c>
      <c r="D49" s="247" t="s">
        <v>926</v>
      </c>
      <c r="E49" s="247" t="s">
        <v>1300</v>
      </c>
      <c r="F49" s="247" t="s">
        <v>2114</v>
      </c>
      <c r="G49" s="247" t="s">
        <v>1344</v>
      </c>
      <c r="H49" s="247" t="s">
        <v>1996</v>
      </c>
      <c r="I49" s="247" t="s">
        <v>2115</v>
      </c>
      <c r="J49" s="247">
        <v>29</v>
      </c>
      <c r="K49" s="247">
        <v>29</v>
      </c>
      <c r="L49" s="249" t="s">
        <v>646</v>
      </c>
      <c r="M49" s="249" t="s">
        <v>933</v>
      </c>
      <c r="N49" s="248">
        <v>694.94</v>
      </c>
      <c r="O49" s="248">
        <v>694.94</v>
      </c>
      <c r="P49" s="247" t="s">
        <v>1386</v>
      </c>
      <c r="Q49" s="247" t="s">
        <v>84</v>
      </c>
    </row>
    <row r="50" spans="1:17" x14ac:dyDescent="0.25">
      <c r="A50" s="247" t="s">
        <v>646</v>
      </c>
      <c r="B50" s="247" t="s">
        <v>265</v>
      </c>
      <c r="C50" s="247" t="s">
        <v>1343</v>
      </c>
      <c r="D50" s="247" t="s">
        <v>926</v>
      </c>
      <c r="E50" s="247" t="s">
        <v>1300</v>
      </c>
      <c r="F50" s="247" t="s">
        <v>2114</v>
      </c>
      <c r="G50" s="247" t="s">
        <v>1344</v>
      </c>
      <c r="H50" s="247" t="s">
        <v>1996</v>
      </c>
      <c r="I50" s="247" t="s">
        <v>2115</v>
      </c>
      <c r="J50" s="247">
        <v>29</v>
      </c>
      <c r="K50" s="247">
        <v>29</v>
      </c>
      <c r="L50" s="249" t="s">
        <v>650</v>
      </c>
      <c r="M50" s="249" t="s">
        <v>933</v>
      </c>
      <c r="N50" s="248">
        <v>553.70000000000005</v>
      </c>
      <c r="O50" s="248">
        <v>1248.6400000000001</v>
      </c>
      <c r="P50" s="247" t="s">
        <v>1386</v>
      </c>
      <c r="Q50" s="247" t="s">
        <v>85</v>
      </c>
    </row>
    <row r="51" spans="1:17" x14ac:dyDescent="0.25">
      <c r="A51" s="247" t="s">
        <v>646</v>
      </c>
      <c r="B51" s="247" t="s">
        <v>265</v>
      </c>
      <c r="C51" s="247" t="s">
        <v>1343</v>
      </c>
      <c r="D51" s="247" t="s">
        <v>926</v>
      </c>
      <c r="E51" s="247" t="s">
        <v>1300</v>
      </c>
      <c r="F51" s="247" t="s">
        <v>2114</v>
      </c>
      <c r="G51" s="247" t="s">
        <v>1344</v>
      </c>
      <c r="H51" s="247" t="s">
        <v>1996</v>
      </c>
      <c r="I51" s="247" t="s">
        <v>2115</v>
      </c>
      <c r="J51" s="247">
        <v>29</v>
      </c>
      <c r="K51" s="247">
        <v>29</v>
      </c>
      <c r="L51" s="249" t="s">
        <v>652</v>
      </c>
      <c r="M51" s="249" t="s">
        <v>933</v>
      </c>
      <c r="N51" s="248">
        <v>1279.17</v>
      </c>
      <c r="O51" s="248">
        <v>2527.81</v>
      </c>
      <c r="P51" s="247" t="s">
        <v>1386</v>
      </c>
      <c r="Q51" s="247" t="s">
        <v>86</v>
      </c>
    </row>
    <row r="52" spans="1:17" x14ac:dyDescent="0.25">
      <c r="A52" s="247" t="s">
        <v>646</v>
      </c>
      <c r="B52" s="247" t="s">
        <v>265</v>
      </c>
      <c r="C52" s="247" t="s">
        <v>1343</v>
      </c>
      <c r="D52" s="247" t="s">
        <v>926</v>
      </c>
      <c r="E52" s="247" t="s">
        <v>1300</v>
      </c>
      <c r="F52" s="247" t="s">
        <v>2114</v>
      </c>
      <c r="G52" s="247" t="s">
        <v>1344</v>
      </c>
      <c r="H52" s="247" t="s">
        <v>1996</v>
      </c>
      <c r="I52" s="247" t="s">
        <v>2115</v>
      </c>
      <c r="J52" s="247">
        <v>29</v>
      </c>
      <c r="K52" s="247">
        <v>29</v>
      </c>
      <c r="L52" s="249" t="s">
        <v>789</v>
      </c>
      <c r="M52" s="249" t="s">
        <v>929</v>
      </c>
      <c r="N52" s="248">
        <v>742.75</v>
      </c>
      <c r="O52" s="248">
        <v>742.75</v>
      </c>
      <c r="P52" s="247" t="s">
        <v>1386</v>
      </c>
      <c r="Q52" s="247" t="s">
        <v>87</v>
      </c>
    </row>
    <row r="53" spans="1:17" x14ac:dyDescent="0.25">
      <c r="A53" s="247" t="s">
        <v>646</v>
      </c>
      <c r="B53" s="247" t="s">
        <v>265</v>
      </c>
      <c r="C53" s="247" t="s">
        <v>1343</v>
      </c>
      <c r="D53" s="247" t="s">
        <v>926</v>
      </c>
      <c r="E53" s="247" t="s">
        <v>1300</v>
      </c>
      <c r="F53" s="247" t="s">
        <v>2114</v>
      </c>
      <c r="G53" s="247" t="s">
        <v>1344</v>
      </c>
      <c r="H53" s="247" t="s">
        <v>1996</v>
      </c>
      <c r="I53" s="247" t="s">
        <v>2115</v>
      </c>
      <c r="J53" s="247">
        <v>29</v>
      </c>
      <c r="K53" s="247">
        <v>29</v>
      </c>
      <c r="L53" s="249" t="s">
        <v>791</v>
      </c>
      <c r="M53" s="249" t="s">
        <v>929</v>
      </c>
      <c r="N53" s="248">
        <v>742.75</v>
      </c>
      <c r="O53" s="248">
        <v>1485.5</v>
      </c>
      <c r="P53" s="247" t="s">
        <v>1386</v>
      </c>
      <c r="Q53" s="247" t="s">
        <v>88</v>
      </c>
    </row>
    <row r="54" spans="1:17" x14ac:dyDescent="0.25">
      <c r="A54" s="247" t="s">
        <v>646</v>
      </c>
      <c r="B54" s="247" t="s">
        <v>265</v>
      </c>
      <c r="C54" s="247" t="s">
        <v>1343</v>
      </c>
      <c r="D54" s="247" t="s">
        <v>926</v>
      </c>
      <c r="E54" s="247" t="s">
        <v>1300</v>
      </c>
      <c r="F54" s="247" t="s">
        <v>2114</v>
      </c>
      <c r="G54" s="247" t="s">
        <v>1344</v>
      </c>
      <c r="H54" s="247" t="s">
        <v>1996</v>
      </c>
      <c r="I54" s="247" t="s">
        <v>2115</v>
      </c>
      <c r="J54" s="247">
        <v>29</v>
      </c>
      <c r="K54" s="247">
        <v>29</v>
      </c>
      <c r="L54" s="249" t="s">
        <v>935</v>
      </c>
      <c r="M54" s="249" t="s">
        <v>929</v>
      </c>
      <c r="N54" s="248">
        <v>742.75</v>
      </c>
      <c r="O54" s="248">
        <v>2228.25</v>
      </c>
      <c r="P54" s="247" t="s">
        <v>1386</v>
      </c>
      <c r="Q54" s="247" t="s">
        <v>89</v>
      </c>
    </row>
    <row r="55" spans="1:17" x14ac:dyDescent="0.25">
      <c r="A55" s="247" t="s">
        <v>646</v>
      </c>
      <c r="B55" s="247" t="s">
        <v>265</v>
      </c>
      <c r="C55" s="247" t="s">
        <v>1343</v>
      </c>
      <c r="D55" s="247" t="s">
        <v>926</v>
      </c>
      <c r="E55" s="247" t="s">
        <v>1300</v>
      </c>
      <c r="F55" s="247" t="s">
        <v>2114</v>
      </c>
      <c r="G55" s="247" t="s">
        <v>1344</v>
      </c>
      <c r="H55" s="247" t="s">
        <v>1996</v>
      </c>
      <c r="I55" s="247" t="s">
        <v>2115</v>
      </c>
      <c r="J55" s="247">
        <v>29</v>
      </c>
      <c r="K55" s="247">
        <v>29</v>
      </c>
      <c r="L55" s="249" t="s">
        <v>936</v>
      </c>
      <c r="M55" s="249" t="s">
        <v>929</v>
      </c>
      <c r="N55" s="248">
        <v>742.75</v>
      </c>
      <c r="O55" s="248">
        <v>2971</v>
      </c>
      <c r="P55" s="247" t="s">
        <v>1386</v>
      </c>
      <c r="Q55" s="247" t="s">
        <v>90</v>
      </c>
    </row>
    <row r="56" spans="1:17" x14ac:dyDescent="0.25">
      <c r="A56" s="247" t="s">
        <v>646</v>
      </c>
      <c r="B56" s="247" t="s">
        <v>265</v>
      </c>
      <c r="C56" s="247" t="s">
        <v>1343</v>
      </c>
      <c r="D56" s="247" t="s">
        <v>926</v>
      </c>
      <c r="E56" s="247" t="s">
        <v>1300</v>
      </c>
      <c r="F56" s="247" t="s">
        <v>2114</v>
      </c>
      <c r="G56" s="247" t="s">
        <v>1344</v>
      </c>
      <c r="H56" s="247" t="s">
        <v>1996</v>
      </c>
      <c r="I56" s="247" t="s">
        <v>2115</v>
      </c>
      <c r="J56" s="247">
        <v>29</v>
      </c>
      <c r="K56" s="247">
        <v>29</v>
      </c>
      <c r="L56" s="249" t="s">
        <v>937</v>
      </c>
      <c r="M56" s="249" t="s">
        <v>929</v>
      </c>
      <c r="N56" s="248">
        <v>742.75</v>
      </c>
      <c r="O56" s="248">
        <v>3713.75</v>
      </c>
      <c r="P56" s="247" t="s">
        <v>1386</v>
      </c>
      <c r="Q56" s="247" t="s">
        <v>91</v>
      </c>
    </row>
    <row r="57" spans="1:17" x14ac:dyDescent="0.25">
      <c r="A57" s="247" t="s">
        <v>646</v>
      </c>
      <c r="B57" s="247" t="s">
        <v>265</v>
      </c>
      <c r="C57" s="247" t="s">
        <v>1343</v>
      </c>
      <c r="D57" s="247" t="s">
        <v>926</v>
      </c>
      <c r="E57" s="247" t="s">
        <v>1300</v>
      </c>
      <c r="F57" s="247" t="s">
        <v>2114</v>
      </c>
      <c r="G57" s="247" t="s">
        <v>1344</v>
      </c>
      <c r="H57" s="247" t="s">
        <v>1996</v>
      </c>
      <c r="I57" s="247" t="s">
        <v>2115</v>
      </c>
      <c r="J57" s="247">
        <v>29</v>
      </c>
      <c r="K57" s="247">
        <v>29</v>
      </c>
      <c r="L57" s="249" t="s">
        <v>938</v>
      </c>
      <c r="M57" s="249" t="s">
        <v>929</v>
      </c>
      <c r="N57" s="248">
        <v>742.75</v>
      </c>
      <c r="O57" s="248">
        <v>4456.5</v>
      </c>
      <c r="P57" s="247" t="s">
        <v>1386</v>
      </c>
      <c r="Q57" s="247" t="s">
        <v>92</v>
      </c>
    </row>
    <row r="58" spans="1:17" x14ac:dyDescent="0.25">
      <c r="A58" s="247" t="s">
        <v>646</v>
      </c>
      <c r="B58" s="247" t="s">
        <v>265</v>
      </c>
      <c r="C58" s="247" t="s">
        <v>1343</v>
      </c>
      <c r="D58" s="247" t="s">
        <v>926</v>
      </c>
      <c r="E58" s="247" t="s">
        <v>1300</v>
      </c>
      <c r="F58" s="247" t="s">
        <v>2114</v>
      </c>
      <c r="G58" s="247" t="s">
        <v>1344</v>
      </c>
      <c r="H58" s="247" t="s">
        <v>1996</v>
      </c>
      <c r="I58" s="247" t="s">
        <v>2115</v>
      </c>
      <c r="J58" s="247">
        <v>29</v>
      </c>
      <c r="K58" s="247">
        <v>29</v>
      </c>
      <c r="L58" s="249" t="s">
        <v>939</v>
      </c>
      <c r="M58" s="249" t="s">
        <v>929</v>
      </c>
      <c r="N58" s="248">
        <v>742.75</v>
      </c>
      <c r="O58" s="248">
        <v>5199.25</v>
      </c>
      <c r="P58" s="247" t="s">
        <v>1386</v>
      </c>
      <c r="Q58" s="247" t="s">
        <v>93</v>
      </c>
    </row>
    <row r="59" spans="1:17" x14ac:dyDescent="0.25">
      <c r="A59" s="247" t="s">
        <v>646</v>
      </c>
      <c r="B59" s="247" t="s">
        <v>265</v>
      </c>
      <c r="C59" s="247" t="s">
        <v>1343</v>
      </c>
      <c r="D59" s="247" t="s">
        <v>926</v>
      </c>
      <c r="E59" s="247" t="s">
        <v>1300</v>
      </c>
      <c r="F59" s="247" t="s">
        <v>2114</v>
      </c>
      <c r="G59" s="247" t="s">
        <v>1344</v>
      </c>
      <c r="H59" s="247" t="s">
        <v>1996</v>
      </c>
      <c r="I59" s="247" t="s">
        <v>2115</v>
      </c>
      <c r="J59" s="247">
        <v>29</v>
      </c>
      <c r="K59" s="247">
        <v>29</v>
      </c>
      <c r="L59" s="249" t="s">
        <v>940</v>
      </c>
      <c r="M59" s="249" t="s">
        <v>929</v>
      </c>
      <c r="N59" s="248">
        <v>742.75</v>
      </c>
      <c r="O59" s="248">
        <v>5942</v>
      </c>
      <c r="P59" s="247" t="s">
        <v>1386</v>
      </c>
      <c r="Q59" s="247" t="s">
        <v>94</v>
      </c>
    </row>
    <row r="60" spans="1:17" x14ac:dyDescent="0.25">
      <c r="A60" s="247" t="s">
        <v>646</v>
      </c>
      <c r="B60" s="247" t="s">
        <v>265</v>
      </c>
      <c r="C60" s="247" t="s">
        <v>1343</v>
      </c>
      <c r="D60" s="247" t="s">
        <v>926</v>
      </c>
      <c r="E60" s="247" t="s">
        <v>1300</v>
      </c>
      <c r="F60" s="247" t="s">
        <v>2114</v>
      </c>
      <c r="G60" s="247" t="s">
        <v>1344</v>
      </c>
      <c r="H60" s="247" t="s">
        <v>1996</v>
      </c>
      <c r="I60" s="247" t="s">
        <v>2115</v>
      </c>
      <c r="J60" s="247">
        <v>29</v>
      </c>
      <c r="K60" s="247">
        <v>29</v>
      </c>
      <c r="L60" s="249" t="s">
        <v>642</v>
      </c>
      <c r="M60" s="249" t="s">
        <v>929</v>
      </c>
      <c r="N60" s="248">
        <v>742.75</v>
      </c>
      <c r="O60" s="248">
        <v>6684.75</v>
      </c>
      <c r="P60" s="247" t="s">
        <v>1386</v>
      </c>
      <c r="Q60" s="247" t="s">
        <v>95</v>
      </c>
    </row>
    <row r="61" spans="1:17" x14ac:dyDescent="0.25">
      <c r="A61" s="247" t="s">
        <v>646</v>
      </c>
      <c r="B61" s="247" t="s">
        <v>265</v>
      </c>
      <c r="C61" s="247" t="s">
        <v>1343</v>
      </c>
      <c r="D61" s="247" t="s">
        <v>926</v>
      </c>
      <c r="E61" s="247" t="s">
        <v>1324</v>
      </c>
      <c r="F61" s="247" t="s">
        <v>2212</v>
      </c>
      <c r="G61" s="247" t="s">
        <v>1344</v>
      </c>
      <c r="H61" s="247" t="s">
        <v>396</v>
      </c>
      <c r="I61" s="247" t="s">
        <v>2213</v>
      </c>
      <c r="J61" s="249" t="s">
        <v>171</v>
      </c>
      <c r="K61" s="249" t="s">
        <v>171</v>
      </c>
      <c r="L61" s="249" t="s">
        <v>646</v>
      </c>
      <c r="M61" s="249" t="s">
        <v>933</v>
      </c>
      <c r="N61" s="248">
        <v>535.02</v>
      </c>
      <c r="O61" s="248">
        <v>535.02</v>
      </c>
      <c r="P61" s="247" t="s">
        <v>1441</v>
      </c>
      <c r="Q61" s="247" t="s">
        <v>84</v>
      </c>
    </row>
    <row r="62" spans="1:17" x14ac:dyDescent="0.25">
      <c r="A62" s="247" t="s">
        <v>646</v>
      </c>
      <c r="B62" s="247" t="s">
        <v>265</v>
      </c>
      <c r="C62" s="247" t="s">
        <v>1343</v>
      </c>
      <c r="D62" s="247" t="s">
        <v>926</v>
      </c>
      <c r="E62" s="247" t="s">
        <v>1324</v>
      </c>
      <c r="F62" s="247" t="s">
        <v>2212</v>
      </c>
      <c r="G62" s="247" t="s">
        <v>1344</v>
      </c>
      <c r="H62" s="247" t="s">
        <v>396</v>
      </c>
      <c r="I62" s="247" t="s">
        <v>2213</v>
      </c>
      <c r="J62" s="249" t="s">
        <v>171</v>
      </c>
      <c r="K62" s="249" t="s">
        <v>171</v>
      </c>
      <c r="L62" s="249" t="s">
        <v>650</v>
      </c>
      <c r="M62" s="249" t="s">
        <v>933</v>
      </c>
      <c r="N62" s="248">
        <v>367.24</v>
      </c>
      <c r="O62" s="248">
        <v>902.26</v>
      </c>
      <c r="P62" s="247" t="s">
        <v>1441</v>
      </c>
      <c r="Q62" s="247" t="s">
        <v>85</v>
      </c>
    </row>
    <row r="63" spans="1:17" x14ac:dyDescent="0.25">
      <c r="A63" s="247" t="s">
        <v>646</v>
      </c>
      <c r="B63" s="247" t="s">
        <v>265</v>
      </c>
      <c r="C63" s="247" t="s">
        <v>1343</v>
      </c>
      <c r="D63" s="247" t="s">
        <v>926</v>
      </c>
      <c r="E63" s="247" t="s">
        <v>1324</v>
      </c>
      <c r="F63" s="247" t="s">
        <v>2212</v>
      </c>
      <c r="G63" s="247" t="s">
        <v>1344</v>
      </c>
      <c r="H63" s="247" t="s">
        <v>396</v>
      </c>
      <c r="I63" s="247" t="s">
        <v>2213</v>
      </c>
      <c r="J63" s="249" t="s">
        <v>171</v>
      </c>
      <c r="K63" s="249" t="s">
        <v>171</v>
      </c>
      <c r="L63" s="249" t="s">
        <v>652</v>
      </c>
      <c r="M63" s="249" t="s">
        <v>933</v>
      </c>
      <c r="N63" s="248">
        <v>1092.71</v>
      </c>
      <c r="O63" s="248">
        <v>1994.97</v>
      </c>
      <c r="P63" s="247" t="s">
        <v>1441</v>
      </c>
      <c r="Q63" s="247" t="s">
        <v>86</v>
      </c>
    </row>
    <row r="64" spans="1:17" x14ac:dyDescent="0.25">
      <c r="A64" s="247" t="s">
        <v>646</v>
      </c>
      <c r="B64" s="247" t="s">
        <v>265</v>
      </c>
      <c r="C64" s="247" t="s">
        <v>1343</v>
      </c>
      <c r="D64" s="247" t="s">
        <v>926</v>
      </c>
      <c r="E64" s="247" t="s">
        <v>1324</v>
      </c>
      <c r="F64" s="247" t="s">
        <v>2212</v>
      </c>
      <c r="G64" s="247" t="s">
        <v>1344</v>
      </c>
      <c r="H64" s="247" t="s">
        <v>396</v>
      </c>
      <c r="I64" s="247" t="s">
        <v>2213</v>
      </c>
      <c r="J64" s="249" t="s">
        <v>171</v>
      </c>
      <c r="K64" s="249" t="s">
        <v>171</v>
      </c>
      <c r="L64" s="249" t="s">
        <v>789</v>
      </c>
      <c r="M64" s="249" t="s">
        <v>929</v>
      </c>
      <c r="N64" s="248">
        <v>557.55999999999995</v>
      </c>
      <c r="O64" s="248">
        <v>557.55999999999995</v>
      </c>
      <c r="P64" s="247" t="s">
        <v>1441</v>
      </c>
      <c r="Q64" s="247" t="s">
        <v>87</v>
      </c>
    </row>
    <row r="65" spans="1:17" x14ac:dyDescent="0.25">
      <c r="A65" s="247" t="s">
        <v>646</v>
      </c>
      <c r="B65" s="247" t="s">
        <v>265</v>
      </c>
      <c r="C65" s="247" t="s">
        <v>1343</v>
      </c>
      <c r="D65" s="247" t="s">
        <v>926</v>
      </c>
      <c r="E65" s="247" t="s">
        <v>1324</v>
      </c>
      <c r="F65" s="247" t="s">
        <v>2212</v>
      </c>
      <c r="G65" s="247" t="s">
        <v>1344</v>
      </c>
      <c r="H65" s="247" t="s">
        <v>396</v>
      </c>
      <c r="I65" s="247" t="s">
        <v>2213</v>
      </c>
      <c r="J65" s="249" t="s">
        <v>171</v>
      </c>
      <c r="K65" s="249" t="s">
        <v>171</v>
      </c>
      <c r="L65" s="249" t="s">
        <v>791</v>
      </c>
      <c r="M65" s="249" t="s">
        <v>929</v>
      </c>
      <c r="N65" s="248">
        <v>557.55999999999995</v>
      </c>
      <c r="O65" s="248">
        <v>1115.1199999999999</v>
      </c>
      <c r="P65" s="247" t="s">
        <v>1441</v>
      </c>
      <c r="Q65" s="247" t="s">
        <v>88</v>
      </c>
    </row>
    <row r="66" spans="1:17" x14ac:dyDescent="0.25">
      <c r="A66" s="247" t="s">
        <v>646</v>
      </c>
      <c r="B66" s="247" t="s">
        <v>265</v>
      </c>
      <c r="C66" s="247" t="s">
        <v>1343</v>
      </c>
      <c r="D66" s="247" t="s">
        <v>926</v>
      </c>
      <c r="E66" s="247" t="s">
        <v>1324</v>
      </c>
      <c r="F66" s="247" t="s">
        <v>2212</v>
      </c>
      <c r="G66" s="247" t="s">
        <v>1344</v>
      </c>
      <c r="H66" s="247" t="s">
        <v>396</v>
      </c>
      <c r="I66" s="247" t="s">
        <v>2213</v>
      </c>
      <c r="J66" s="249" t="s">
        <v>171</v>
      </c>
      <c r="K66" s="249" t="s">
        <v>171</v>
      </c>
      <c r="L66" s="249" t="s">
        <v>935</v>
      </c>
      <c r="M66" s="249" t="s">
        <v>929</v>
      </c>
      <c r="N66" s="248">
        <v>1672.68</v>
      </c>
      <c r="O66" s="248">
        <v>2787.8</v>
      </c>
      <c r="P66" s="247" t="s">
        <v>1441</v>
      </c>
      <c r="Q66" s="247" t="s">
        <v>89</v>
      </c>
    </row>
    <row r="67" spans="1:17" x14ac:dyDescent="0.25">
      <c r="A67" s="247" t="s">
        <v>646</v>
      </c>
      <c r="B67" s="247" t="s">
        <v>265</v>
      </c>
      <c r="C67" s="247" t="s">
        <v>1343</v>
      </c>
      <c r="D67" s="247" t="s">
        <v>926</v>
      </c>
      <c r="E67" s="247" t="s">
        <v>1324</v>
      </c>
      <c r="F67" s="247" t="s">
        <v>2212</v>
      </c>
      <c r="G67" s="247" t="s">
        <v>1344</v>
      </c>
      <c r="H67" s="247" t="s">
        <v>396</v>
      </c>
      <c r="I67" s="247" t="s">
        <v>2213</v>
      </c>
      <c r="J67" s="249" t="s">
        <v>171</v>
      </c>
      <c r="K67" s="249" t="s">
        <v>171</v>
      </c>
      <c r="L67" s="249" t="s">
        <v>936</v>
      </c>
      <c r="M67" s="249" t="s">
        <v>929</v>
      </c>
      <c r="N67" s="248">
        <v>1672.68</v>
      </c>
      <c r="O67" s="248">
        <v>4460.4799999999996</v>
      </c>
      <c r="P67" s="247" t="s">
        <v>1441</v>
      </c>
      <c r="Q67" s="247" t="s">
        <v>90</v>
      </c>
    </row>
    <row r="68" spans="1:17" x14ac:dyDescent="0.25">
      <c r="A68" s="247" t="s">
        <v>646</v>
      </c>
      <c r="B68" s="247" t="s">
        <v>265</v>
      </c>
      <c r="C68" s="247" t="s">
        <v>1343</v>
      </c>
      <c r="D68" s="247" t="s">
        <v>926</v>
      </c>
      <c r="E68" s="247" t="s">
        <v>1324</v>
      </c>
      <c r="F68" s="247" t="s">
        <v>2212</v>
      </c>
      <c r="G68" s="247" t="s">
        <v>1344</v>
      </c>
      <c r="H68" s="247" t="s">
        <v>396</v>
      </c>
      <c r="I68" s="247" t="s">
        <v>2213</v>
      </c>
      <c r="J68" s="249" t="s">
        <v>171</v>
      </c>
      <c r="K68" s="249" t="s">
        <v>171</v>
      </c>
      <c r="L68" s="249" t="s">
        <v>937</v>
      </c>
      <c r="M68" s="249" t="s">
        <v>929</v>
      </c>
      <c r="N68" s="248">
        <v>1672.68</v>
      </c>
      <c r="O68" s="248">
        <v>6133.16</v>
      </c>
      <c r="P68" s="247" t="s">
        <v>1441</v>
      </c>
      <c r="Q68" s="247" t="s">
        <v>91</v>
      </c>
    </row>
    <row r="69" spans="1:17" x14ac:dyDescent="0.25">
      <c r="A69" s="247" t="s">
        <v>646</v>
      </c>
      <c r="B69" s="247" t="s">
        <v>265</v>
      </c>
      <c r="C69" s="247" t="s">
        <v>1343</v>
      </c>
      <c r="D69" s="247" t="s">
        <v>926</v>
      </c>
      <c r="E69" s="247" t="s">
        <v>1324</v>
      </c>
      <c r="F69" s="247" t="s">
        <v>2212</v>
      </c>
      <c r="G69" s="247" t="s">
        <v>1344</v>
      </c>
      <c r="H69" s="247" t="s">
        <v>396</v>
      </c>
      <c r="I69" s="247" t="s">
        <v>2213</v>
      </c>
      <c r="J69" s="249" t="s">
        <v>171</v>
      </c>
      <c r="K69" s="249" t="s">
        <v>171</v>
      </c>
      <c r="L69" s="249" t="s">
        <v>938</v>
      </c>
      <c r="M69" s="249" t="s">
        <v>929</v>
      </c>
      <c r="N69" s="248">
        <v>1115.1199999999999</v>
      </c>
      <c r="O69" s="248">
        <v>7248.28</v>
      </c>
      <c r="P69" s="247" t="s">
        <v>1441</v>
      </c>
      <c r="Q69" s="247" t="s">
        <v>92</v>
      </c>
    </row>
    <row r="70" spans="1:17" x14ac:dyDescent="0.25">
      <c r="A70" s="247" t="s">
        <v>646</v>
      </c>
      <c r="B70" s="247" t="s">
        <v>265</v>
      </c>
      <c r="C70" s="247" t="s">
        <v>1343</v>
      </c>
      <c r="D70" s="247" t="s">
        <v>926</v>
      </c>
      <c r="E70" s="247" t="s">
        <v>1324</v>
      </c>
      <c r="F70" s="247" t="s">
        <v>2212</v>
      </c>
      <c r="G70" s="247" t="s">
        <v>1344</v>
      </c>
      <c r="H70" s="247" t="s">
        <v>396</v>
      </c>
      <c r="I70" s="247" t="s">
        <v>2213</v>
      </c>
      <c r="J70" s="249" t="s">
        <v>171</v>
      </c>
      <c r="K70" s="249" t="s">
        <v>171</v>
      </c>
      <c r="L70" s="249" t="s">
        <v>939</v>
      </c>
      <c r="M70" s="249" t="s">
        <v>929</v>
      </c>
      <c r="N70" s="248">
        <v>1115.1199999999999</v>
      </c>
      <c r="O70" s="248">
        <v>8363.4</v>
      </c>
      <c r="P70" s="247" t="s">
        <v>1441</v>
      </c>
      <c r="Q70" s="247" t="s">
        <v>93</v>
      </c>
    </row>
    <row r="71" spans="1:17" x14ac:dyDescent="0.25">
      <c r="A71" s="247" t="s">
        <v>646</v>
      </c>
      <c r="B71" s="247" t="s">
        <v>265</v>
      </c>
      <c r="C71" s="247" t="s">
        <v>1343</v>
      </c>
      <c r="D71" s="247" t="s">
        <v>926</v>
      </c>
      <c r="E71" s="247" t="s">
        <v>1324</v>
      </c>
      <c r="F71" s="247" t="s">
        <v>2212</v>
      </c>
      <c r="G71" s="247" t="s">
        <v>1344</v>
      </c>
      <c r="H71" s="247" t="s">
        <v>396</v>
      </c>
      <c r="I71" s="247" t="s">
        <v>2213</v>
      </c>
      <c r="J71" s="249" t="s">
        <v>171</v>
      </c>
      <c r="K71" s="249" t="s">
        <v>171</v>
      </c>
      <c r="L71" s="249" t="s">
        <v>940</v>
      </c>
      <c r="M71" s="249" t="s">
        <v>929</v>
      </c>
      <c r="N71" s="248">
        <v>1672.68</v>
      </c>
      <c r="O71" s="248">
        <v>10036.08</v>
      </c>
      <c r="P71" s="247" t="s">
        <v>1441</v>
      </c>
      <c r="Q71" s="247" t="s">
        <v>94</v>
      </c>
    </row>
    <row r="72" spans="1:17" x14ac:dyDescent="0.25">
      <c r="A72" s="247" t="s">
        <v>646</v>
      </c>
      <c r="B72" s="247" t="s">
        <v>265</v>
      </c>
      <c r="C72" s="247" t="s">
        <v>1343</v>
      </c>
      <c r="D72" s="247" t="s">
        <v>926</v>
      </c>
      <c r="E72" s="247" t="s">
        <v>1324</v>
      </c>
      <c r="F72" s="247" t="s">
        <v>2212</v>
      </c>
      <c r="G72" s="247" t="s">
        <v>1344</v>
      </c>
      <c r="H72" s="247" t="s">
        <v>396</v>
      </c>
      <c r="I72" s="247" t="s">
        <v>2213</v>
      </c>
      <c r="J72" s="249" t="s">
        <v>171</v>
      </c>
      <c r="K72" s="249" t="s">
        <v>171</v>
      </c>
      <c r="L72" s="249" t="s">
        <v>642</v>
      </c>
      <c r="M72" s="249" t="s">
        <v>929</v>
      </c>
      <c r="N72" s="248">
        <v>1672.68</v>
      </c>
      <c r="O72" s="248">
        <v>11708.76</v>
      </c>
      <c r="P72" s="247" t="s">
        <v>1441</v>
      </c>
      <c r="Q72" s="247" t="s">
        <v>95</v>
      </c>
    </row>
    <row r="73" spans="1:17" x14ac:dyDescent="0.25">
      <c r="A73" s="247" t="s">
        <v>646</v>
      </c>
      <c r="B73" s="247" t="s">
        <v>265</v>
      </c>
      <c r="C73" s="247" t="s">
        <v>1343</v>
      </c>
      <c r="D73" s="247" t="s">
        <v>926</v>
      </c>
      <c r="E73" s="247" t="s">
        <v>711</v>
      </c>
      <c r="F73" s="247" t="s">
        <v>2232</v>
      </c>
      <c r="G73" s="247" t="s">
        <v>1344</v>
      </c>
      <c r="H73" s="247" t="s">
        <v>392</v>
      </c>
      <c r="I73" s="247" t="s">
        <v>2233</v>
      </c>
      <c r="J73" s="247">
        <v>29</v>
      </c>
      <c r="K73" s="247">
        <v>29</v>
      </c>
      <c r="L73" s="249" t="s">
        <v>646</v>
      </c>
      <c r="M73" s="249" t="s">
        <v>933</v>
      </c>
      <c r="N73" s="248">
        <v>5956.28</v>
      </c>
      <c r="O73" s="248">
        <v>115788.09</v>
      </c>
      <c r="P73" s="247" t="s">
        <v>1452</v>
      </c>
      <c r="Q73" s="247" t="s">
        <v>84</v>
      </c>
    </row>
    <row r="74" spans="1:17" x14ac:dyDescent="0.25">
      <c r="A74" s="247" t="s">
        <v>646</v>
      </c>
      <c r="B74" s="247" t="s">
        <v>265</v>
      </c>
      <c r="C74" s="247" t="s">
        <v>1343</v>
      </c>
      <c r="D74" s="247" t="s">
        <v>926</v>
      </c>
      <c r="E74" s="247" t="s">
        <v>711</v>
      </c>
      <c r="F74" s="247" t="s">
        <v>2232</v>
      </c>
      <c r="G74" s="247" t="s">
        <v>1344</v>
      </c>
      <c r="H74" s="247" t="s">
        <v>392</v>
      </c>
      <c r="I74" s="247" t="s">
        <v>2233</v>
      </c>
      <c r="J74" s="247">
        <v>29</v>
      </c>
      <c r="K74" s="247">
        <v>29</v>
      </c>
      <c r="L74" s="249" t="s">
        <v>650</v>
      </c>
      <c r="M74" s="249" t="s">
        <v>933</v>
      </c>
      <c r="N74" s="248">
        <v>4406.88</v>
      </c>
      <c r="O74" s="248">
        <v>120194.97</v>
      </c>
      <c r="P74" s="247" t="s">
        <v>1452</v>
      </c>
      <c r="Q74" s="247" t="s">
        <v>85</v>
      </c>
    </row>
    <row r="75" spans="1:17" x14ac:dyDescent="0.25">
      <c r="A75" s="247" t="s">
        <v>646</v>
      </c>
      <c r="B75" s="247" t="s">
        <v>265</v>
      </c>
      <c r="C75" s="247" t="s">
        <v>1343</v>
      </c>
      <c r="D75" s="247" t="s">
        <v>926</v>
      </c>
      <c r="E75" s="247" t="s">
        <v>711</v>
      </c>
      <c r="F75" s="247" t="s">
        <v>2232</v>
      </c>
      <c r="G75" s="247" t="s">
        <v>1344</v>
      </c>
      <c r="H75" s="247" t="s">
        <v>392</v>
      </c>
      <c r="I75" s="247" t="s">
        <v>2233</v>
      </c>
      <c r="J75" s="247">
        <v>29</v>
      </c>
      <c r="K75" s="247">
        <v>29</v>
      </c>
      <c r="L75" s="249" t="s">
        <v>652</v>
      </c>
      <c r="M75" s="249" t="s">
        <v>933</v>
      </c>
      <c r="N75" s="248">
        <v>12019.82</v>
      </c>
      <c r="O75" s="248">
        <v>132214.79</v>
      </c>
      <c r="P75" s="247" t="s">
        <v>1452</v>
      </c>
      <c r="Q75" s="247" t="s">
        <v>86</v>
      </c>
    </row>
    <row r="76" spans="1:17" x14ac:dyDescent="0.25">
      <c r="A76" s="247" t="s">
        <v>646</v>
      </c>
      <c r="B76" s="247" t="s">
        <v>265</v>
      </c>
      <c r="C76" s="247" t="s">
        <v>1343</v>
      </c>
      <c r="D76" s="247" t="s">
        <v>926</v>
      </c>
      <c r="E76" s="247" t="s">
        <v>711</v>
      </c>
      <c r="F76" s="247" t="s">
        <v>2232</v>
      </c>
      <c r="G76" s="247" t="s">
        <v>1344</v>
      </c>
      <c r="H76" s="247" t="s">
        <v>392</v>
      </c>
      <c r="I76" s="247" t="s">
        <v>2233</v>
      </c>
      <c r="J76" s="247">
        <v>29</v>
      </c>
      <c r="K76" s="247">
        <v>29</v>
      </c>
      <c r="L76" s="249" t="s">
        <v>789</v>
      </c>
      <c r="M76" s="249" t="s">
        <v>929</v>
      </c>
      <c r="N76" s="248">
        <v>9620.7199999999993</v>
      </c>
      <c r="O76" s="248">
        <v>9620.7199999999993</v>
      </c>
      <c r="P76" s="247" t="s">
        <v>1452</v>
      </c>
      <c r="Q76" s="247" t="s">
        <v>87</v>
      </c>
    </row>
    <row r="77" spans="1:17" x14ac:dyDescent="0.25">
      <c r="A77" s="247" t="s">
        <v>646</v>
      </c>
      <c r="B77" s="247" t="s">
        <v>265</v>
      </c>
      <c r="C77" s="247" t="s">
        <v>1343</v>
      </c>
      <c r="D77" s="247" t="s">
        <v>926</v>
      </c>
      <c r="E77" s="247" t="s">
        <v>711</v>
      </c>
      <c r="F77" s="247" t="s">
        <v>2232</v>
      </c>
      <c r="G77" s="247" t="s">
        <v>1344</v>
      </c>
      <c r="H77" s="247" t="s">
        <v>392</v>
      </c>
      <c r="I77" s="247" t="s">
        <v>2233</v>
      </c>
      <c r="J77" s="247">
        <v>29</v>
      </c>
      <c r="K77" s="247">
        <v>29</v>
      </c>
      <c r="L77" s="249" t="s">
        <v>791</v>
      </c>
      <c r="M77" s="249" t="s">
        <v>929</v>
      </c>
      <c r="N77" s="248">
        <v>6320.72</v>
      </c>
      <c r="O77" s="248">
        <v>15941.44</v>
      </c>
      <c r="P77" s="247" t="s">
        <v>1452</v>
      </c>
      <c r="Q77" s="247" t="s">
        <v>88</v>
      </c>
    </row>
    <row r="78" spans="1:17" x14ac:dyDescent="0.25">
      <c r="A78" s="247" t="s">
        <v>646</v>
      </c>
      <c r="B78" s="247" t="s">
        <v>265</v>
      </c>
      <c r="C78" s="247" t="s">
        <v>1343</v>
      </c>
      <c r="D78" s="247" t="s">
        <v>926</v>
      </c>
      <c r="E78" s="247" t="s">
        <v>711</v>
      </c>
      <c r="F78" s="247" t="s">
        <v>2232</v>
      </c>
      <c r="G78" s="247" t="s">
        <v>1344</v>
      </c>
      <c r="H78" s="247" t="s">
        <v>392</v>
      </c>
      <c r="I78" s="247" t="s">
        <v>2233</v>
      </c>
      <c r="J78" s="247">
        <v>29</v>
      </c>
      <c r="K78" s="247">
        <v>29</v>
      </c>
      <c r="L78" s="249" t="s">
        <v>935</v>
      </c>
      <c r="M78" s="249" t="s">
        <v>929</v>
      </c>
      <c r="N78" s="248">
        <v>5763.16</v>
      </c>
      <c r="O78" s="248">
        <v>21704.6</v>
      </c>
      <c r="P78" s="247" t="s">
        <v>1452</v>
      </c>
      <c r="Q78" s="247" t="s">
        <v>89</v>
      </c>
    </row>
    <row r="79" spans="1:17" x14ac:dyDescent="0.25">
      <c r="A79" s="247" t="s">
        <v>646</v>
      </c>
      <c r="B79" s="247" t="s">
        <v>265</v>
      </c>
      <c r="C79" s="247" t="s">
        <v>1343</v>
      </c>
      <c r="D79" s="247" t="s">
        <v>926</v>
      </c>
      <c r="E79" s="247" t="s">
        <v>711</v>
      </c>
      <c r="F79" s="247" t="s">
        <v>2232</v>
      </c>
      <c r="G79" s="247" t="s">
        <v>1344</v>
      </c>
      <c r="H79" s="247" t="s">
        <v>392</v>
      </c>
      <c r="I79" s="247" t="s">
        <v>2233</v>
      </c>
      <c r="J79" s="247">
        <v>29</v>
      </c>
      <c r="K79" s="247">
        <v>29</v>
      </c>
      <c r="L79" s="249" t="s">
        <v>936</v>
      </c>
      <c r="M79" s="249" t="s">
        <v>929</v>
      </c>
      <c r="N79" s="248">
        <v>5763.16</v>
      </c>
      <c r="O79" s="248">
        <v>27467.759999999998</v>
      </c>
      <c r="P79" s="247" t="s">
        <v>1452</v>
      </c>
      <c r="Q79" s="247" t="s">
        <v>90</v>
      </c>
    </row>
    <row r="80" spans="1:17" x14ac:dyDescent="0.25">
      <c r="A80" s="247" t="s">
        <v>646</v>
      </c>
      <c r="B80" s="247" t="s">
        <v>265</v>
      </c>
      <c r="C80" s="247" t="s">
        <v>1343</v>
      </c>
      <c r="D80" s="247" t="s">
        <v>926</v>
      </c>
      <c r="E80" s="247" t="s">
        <v>711</v>
      </c>
      <c r="F80" s="247" t="s">
        <v>2232</v>
      </c>
      <c r="G80" s="247" t="s">
        <v>1344</v>
      </c>
      <c r="H80" s="247" t="s">
        <v>392</v>
      </c>
      <c r="I80" s="247" t="s">
        <v>2233</v>
      </c>
      <c r="J80" s="247">
        <v>29</v>
      </c>
      <c r="K80" s="247">
        <v>29</v>
      </c>
      <c r="L80" s="249" t="s">
        <v>937</v>
      </c>
      <c r="M80" s="249" t="s">
        <v>929</v>
      </c>
      <c r="N80" s="248">
        <v>5018.04</v>
      </c>
      <c r="O80" s="248">
        <v>32485.8</v>
      </c>
      <c r="P80" s="247" t="s">
        <v>1452</v>
      </c>
      <c r="Q80" s="247" t="s">
        <v>91</v>
      </c>
    </row>
    <row r="81" spans="1:17" x14ac:dyDescent="0.25">
      <c r="A81" s="247" t="s">
        <v>646</v>
      </c>
      <c r="B81" s="247" t="s">
        <v>265</v>
      </c>
      <c r="C81" s="247" t="s">
        <v>1343</v>
      </c>
      <c r="D81" s="247" t="s">
        <v>926</v>
      </c>
      <c r="E81" s="247" t="s">
        <v>711</v>
      </c>
      <c r="F81" s="247" t="s">
        <v>2232</v>
      </c>
      <c r="G81" s="247" t="s">
        <v>1344</v>
      </c>
      <c r="H81" s="247" t="s">
        <v>392</v>
      </c>
      <c r="I81" s="247" t="s">
        <v>2233</v>
      </c>
      <c r="J81" s="247">
        <v>29</v>
      </c>
      <c r="K81" s="247">
        <v>29</v>
      </c>
      <c r="L81" s="249" t="s">
        <v>938</v>
      </c>
      <c r="M81" s="249" t="s">
        <v>929</v>
      </c>
      <c r="N81" s="248">
        <v>5575.6</v>
      </c>
      <c r="O81" s="248">
        <v>38061.4</v>
      </c>
      <c r="P81" s="247" t="s">
        <v>1452</v>
      </c>
      <c r="Q81" s="247" t="s">
        <v>92</v>
      </c>
    </row>
    <row r="82" spans="1:17" x14ac:dyDescent="0.25">
      <c r="A82" s="247" t="s">
        <v>646</v>
      </c>
      <c r="B82" s="247" t="s">
        <v>265</v>
      </c>
      <c r="C82" s="247" t="s">
        <v>1343</v>
      </c>
      <c r="D82" s="247" t="s">
        <v>926</v>
      </c>
      <c r="E82" s="247" t="s">
        <v>711</v>
      </c>
      <c r="F82" s="247" t="s">
        <v>2232</v>
      </c>
      <c r="G82" s="247" t="s">
        <v>1344</v>
      </c>
      <c r="H82" s="247" t="s">
        <v>392</v>
      </c>
      <c r="I82" s="247" t="s">
        <v>2233</v>
      </c>
      <c r="J82" s="247">
        <v>29</v>
      </c>
      <c r="K82" s="247">
        <v>29</v>
      </c>
      <c r="L82" s="249" t="s">
        <v>939</v>
      </c>
      <c r="M82" s="249" t="s">
        <v>929</v>
      </c>
      <c r="N82" s="248">
        <v>5575.6</v>
      </c>
      <c r="O82" s="248">
        <v>43637</v>
      </c>
      <c r="P82" s="247" t="s">
        <v>1452</v>
      </c>
      <c r="Q82" s="247" t="s">
        <v>93</v>
      </c>
    </row>
    <row r="83" spans="1:17" x14ac:dyDescent="0.25">
      <c r="A83" s="247" t="s">
        <v>646</v>
      </c>
      <c r="B83" s="247" t="s">
        <v>265</v>
      </c>
      <c r="C83" s="247" t="s">
        <v>1343</v>
      </c>
      <c r="D83" s="247" t="s">
        <v>926</v>
      </c>
      <c r="E83" s="247" t="s">
        <v>711</v>
      </c>
      <c r="F83" s="247" t="s">
        <v>2232</v>
      </c>
      <c r="G83" s="247" t="s">
        <v>1344</v>
      </c>
      <c r="H83" s="247" t="s">
        <v>392</v>
      </c>
      <c r="I83" s="247" t="s">
        <v>2233</v>
      </c>
      <c r="J83" s="247">
        <v>29</v>
      </c>
      <c r="K83" s="247">
        <v>29</v>
      </c>
      <c r="L83" s="249" t="s">
        <v>940</v>
      </c>
      <c r="M83" s="249" t="s">
        <v>929</v>
      </c>
      <c r="N83" s="248">
        <v>6133.16</v>
      </c>
      <c r="O83" s="248">
        <v>49770.16</v>
      </c>
      <c r="P83" s="247" t="s">
        <v>1452</v>
      </c>
      <c r="Q83" s="247" t="s">
        <v>94</v>
      </c>
    </row>
    <row r="84" spans="1:17" x14ac:dyDescent="0.25">
      <c r="A84" s="247" t="s">
        <v>646</v>
      </c>
      <c r="B84" s="247" t="s">
        <v>265</v>
      </c>
      <c r="C84" s="247" t="s">
        <v>1343</v>
      </c>
      <c r="D84" s="247" t="s">
        <v>926</v>
      </c>
      <c r="E84" s="247" t="s">
        <v>711</v>
      </c>
      <c r="F84" s="247" t="s">
        <v>2232</v>
      </c>
      <c r="G84" s="247" t="s">
        <v>1344</v>
      </c>
      <c r="H84" s="247" t="s">
        <v>392</v>
      </c>
      <c r="I84" s="247" t="s">
        <v>2233</v>
      </c>
      <c r="J84" s="247">
        <v>29</v>
      </c>
      <c r="K84" s="247">
        <v>29</v>
      </c>
      <c r="L84" s="249" t="s">
        <v>642</v>
      </c>
      <c r="M84" s="249" t="s">
        <v>929</v>
      </c>
      <c r="N84" s="248">
        <v>6779.42</v>
      </c>
      <c r="O84" s="248">
        <v>56549.58</v>
      </c>
      <c r="P84" s="247" t="s">
        <v>1452</v>
      </c>
      <c r="Q84" s="247" t="s">
        <v>95</v>
      </c>
    </row>
    <row r="85" spans="1:17" x14ac:dyDescent="0.25">
      <c r="A85" s="247" t="s">
        <v>646</v>
      </c>
      <c r="B85" s="247" t="s">
        <v>265</v>
      </c>
      <c r="C85" s="247" t="s">
        <v>1343</v>
      </c>
      <c r="D85" s="247" t="s">
        <v>926</v>
      </c>
      <c r="E85" s="247" t="s">
        <v>755</v>
      </c>
      <c r="F85" s="247" t="s">
        <v>2254</v>
      </c>
      <c r="G85" s="247" t="s">
        <v>1344</v>
      </c>
      <c r="H85" s="247" t="s">
        <v>402</v>
      </c>
      <c r="I85" s="247" t="s">
        <v>2255</v>
      </c>
      <c r="J85" s="247">
        <v>29</v>
      </c>
      <c r="K85" s="247">
        <v>29</v>
      </c>
      <c r="L85" s="249" t="s">
        <v>646</v>
      </c>
      <c r="M85" s="249" t="s">
        <v>933</v>
      </c>
      <c r="N85" s="248">
        <v>1016.97</v>
      </c>
      <c r="O85" s="248">
        <v>1016.97</v>
      </c>
      <c r="P85" s="247" t="s">
        <v>1463</v>
      </c>
      <c r="Q85" s="247" t="s">
        <v>84</v>
      </c>
    </row>
    <row r="86" spans="1:17" x14ac:dyDescent="0.25">
      <c r="A86" s="247" t="s">
        <v>646</v>
      </c>
      <c r="B86" s="247" t="s">
        <v>265</v>
      </c>
      <c r="C86" s="247" t="s">
        <v>1343</v>
      </c>
      <c r="D86" s="247" t="s">
        <v>926</v>
      </c>
      <c r="E86" s="247" t="s">
        <v>755</v>
      </c>
      <c r="F86" s="247" t="s">
        <v>2254</v>
      </c>
      <c r="G86" s="247" t="s">
        <v>1344</v>
      </c>
      <c r="H86" s="247" t="s">
        <v>402</v>
      </c>
      <c r="I86" s="247" t="s">
        <v>2255</v>
      </c>
      <c r="J86" s="247">
        <v>29</v>
      </c>
      <c r="K86" s="247">
        <v>29</v>
      </c>
      <c r="L86" s="249" t="s">
        <v>650</v>
      </c>
      <c r="M86" s="249" t="s">
        <v>933</v>
      </c>
      <c r="N86" s="248">
        <v>734.48</v>
      </c>
      <c r="O86" s="248">
        <v>1751.45</v>
      </c>
      <c r="P86" s="247" t="s">
        <v>1463</v>
      </c>
      <c r="Q86" s="247" t="s">
        <v>85</v>
      </c>
    </row>
    <row r="87" spans="1:17" x14ac:dyDescent="0.25">
      <c r="A87" s="247" t="s">
        <v>646</v>
      </c>
      <c r="B87" s="247" t="s">
        <v>265</v>
      </c>
      <c r="C87" s="247" t="s">
        <v>1343</v>
      </c>
      <c r="D87" s="247" t="s">
        <v>926</v>
      </c>
      <c r="E87" s="247" t="s">
        <v>755</v>
      </c>
      <c r="F87" s="247" t="s">
        <v>2254</v>
      </c>
      <c r="G87" s="247" t="s">
        <v>1344</v>
      </c>
      <c r="H87" s="247" t="s">
        <v>402</v>
      </c>
      <c r="I87" s="247" t="s">
        <v>2255</v>
      </c>
      <c r="J87" s="247">
        <v>29</v>
      </c>
      <c r="K87" s="247">
        <v>29</v>
      </c>
      <c r="L87" s="249" t="s">
        <v>652</v>
      </c>
      <c r="M87" s="249" t="s">
        <v>933</v>
      </c>
      <c r="N87" s="248">
        <v>2185.42</v>
      </c>
      <c r="O87" s="248">
        <v>3936.87</v>
      </c>
      <c r="P87" s="247" t="s">
        <v>1463</v>
      </c>
      <c r="Q87" s="247" t="s">
        <v>86</v>
      </c>
    </row>
    <row r="88" spans="1:17" x14ac:dyDescent="0.25">
      <c r="A88" s="247" t="s">
        <v>646</v>
      </c>
      <c r="B88" s="247" t="s">
        <v>265</v>
      </c>
      <c r="C88" s="247" t="s">
        <v>1343</v>
      </c>
      <c r="D88" s="247" t="s">
        <v>926</v>
      </c>
      <c r="E88" s="247" t="s">
        <v>755</v>
      </c>
      <c r="F88" s="247" t="s">
        <v>2254</v>
      </c>
      <c r="G88" s="247" t="s">
        <v>1344</v>
      </c>
      <c r="H88" s="247" t="s">
        <v>402</v>
      </c>
      <c r="I88" s="247" t="s">
        <v>2255</v>
      </c>
      <c r="J88" s="247">
        <v>29</v>
      </c>
      <c r="K88" s="247">
        <v>29</v>
      </c>
      <c r="L88" s="249" t="s">
        <v>789</v>
      </c>
      <c r="M88" s="249" t="s">
        <v>929</v>
      </c>
      <c r="N88" s="248">
        <v>1115.1199999999999</v>
      </c>
      <c r="O88" s="248">
        <v>1115.1199999999999</v>
      </c>
      <c r="P88" s="247" t="s">
        <v>1463</v>
      </c>
      <c r="Q88" s="247" t="s">
        <v>87</v>
      </c>
    </row>
    <row r="89" spans="1:17" x14ac:dyDescent="0.25">
      <c r="A89" s="247" t="s">
        <v>646</v>
      </c>
      <c r="B89" s="247" t="s">
        <v>265</v>
      </c>
      <c r="C89" s="247" t="s">
        <v>1343</v>
      </c>
      <c r="D89" s="247" t="s">
        <v>926</v>
      </c>
      <c r="E89" s="247" t="s">
        <v>755</v>
      </c>
      <c r="F89" s="247" t="s">
        <v>2254</v>
      </c>
      <c r="G89" s="247" t="s">
        <v>1344</v>
      </c>
      <c r="H89" s="247" t="s">
        <v>402</v>
      </c>
      <c r="I89" s="247" t="s">
        <v>2255</v>
      </c>
      <c r="J89" s="247">
        <v>29</v>
      </c>
      <c r="K89" s="247">
        <v>29</v>
      </c>
      <c r="L89" s="249" t="s">
        <v>791</v>
      </c>
      <c r="M89" s="249" t="s">
        <v>929</v>
      </c>
      <c r="N89" s="248">
        <v>1115.1199999999999</v>
      </c>
      <c r="O89" s="248">
        <v>2230.2399999999998</v>
      </c>
      <c r="P89" s="247" t="s">
        <v>1463</v>
      </c>
      <c r="Q89" s="247" t="s">
        <v>88</v>
      </c>
    </row>
    <row r="90" spans="1:17" x14ac:dyDescent="0.25">
      <c r="A90" s="247" t="s">
        <v>646</v>
      </c>
      <c r="B90" s="247" t="s">
        <v>265</v>
      </c>
      <c r="C90" s="247" t="s">
        <v>1343</v>
      </c>
      <c r="D90" s="247" t="s">
        <v>926</v>
      </c>
      <c r="E90" s="247" t="s">
        <v>755</v>
      </c>
      <c r="F90" s="247" t="s">
        <v>2254</v>
      </c>
      <c r="G90" s="247" t="s">
        <v>1344</v>
      </c>
      <c r="H90" s="247" t="s">
        <v>402</v>
      </c>
      <c r="I90" s="247" t="s">
        <v>2255</v>
      </c>
      <c r="J90" s="247">
        <v>29</v>
      </c>
      <c r="K90" s="247">
        <v>29</v>
      </c>
      <c r="L90" s="249" t="s">
        <v>935</v>
      </c>
      <c r="M90" s="249" t="s">
        <v>929</v>
      </c>
      <c r="N90" s="248">
        <v>1115.1199999999999</v>
      </c>
      <c r="O90" s="248">
        <v>3345.36</v>
      </c>
      <c r="P90" s="247" t="s">
        <v>1463</v>
      </c>
      <c r="Q90" s="247" t="s">
        <v>89</v>
      </c>
    </row>
    <row r="91" spans="1:17" x14ac:dyDescent="0.25">
      <c r="A91" s="247" t="s">
        <v>646</v>
      </c>
      <c r="B91" s="247" t="s">
        <v>265</v>
      </c>
      <c r="C91" s="247" t="s">
        <v>1343</v>
      </c>
      <c r="D91" s="247" t="s">
        <v>926</v>
      </c>
      <c r="E91" s="247" t="s">
        <v>755</v>
      </c>
      <c r="F91" s="247" t="s">
        <v>2254</v>
      </c>
      <c r="G91" s="247" t="s">
        <v>1344</v>
      </c>
      <c r="H91" s="247" t="s">
        <v>402</v>
      </c>
      <c r="I91" s="247" t="s">
        <v>2255</v>
      </c>
      <c r="J91" s="247">
        <v>29</v>
      </c>
      <c r="K91" s="247">
        <v>29</v>
      </c>
      <c r="L91" s="249" t="s">
        <v>936</v>
      </c>
      <c r="M91" s="249" t="s">
        <v>929</v>
      </c>
      <c r="N91" s="248">
        <v>1115.1199999999999</v>
      </c>
      <c r="O91" s="248">
        <v>4460.4799999999996</v>
      </c>
      <c r="P91" s="247" t="s">
        <v>1463</v>
      </c>
      <c r="Q91" s="247" t="s">
        <v>90</v>
      </c>
    </row>
    <row r="92" spans="1:17" x14ac:dyDescent="0.25">
      <c r="A92" s="247" t="s">
        <v>646</v>
      </c>
      <c r="B92" s="247" t="s">
        <v>265</v>
      </c>
      <c r="C92" s="247" t="s">
        <v>1343</v>
      </c>
      <c r="D92" s="247" t="s">
        <v>926</v>
      </c>
      <c r="E92" s="247" t="s">
        <v>755</v>
      </c>
      <c r="F92" s="247" t="s">
        <v>2254</v>
      </c>
      <c r="G92" s="247" t="s">
        <v>1344</v>
      </c>
      <c r="H92" s="247" t="s">
        <v>402</v>
      </c>
      <c r="I92" s="247" t="s">
        <v>2255</v>
      </c>
      <c r="J92" s="247">
        <v>29</v>
      </c>
      <c r="K92" s="247">
        <v>29</v>
      </c>
      <c r="L92" s="249" t="s">
        <v>937</v>
      </c>
      <c r="M92" s="249" t="s">
        <v>929</v>
      </c>
      <c r="N92" s="248">
        <v>1115.1199999999999</v>
      </c>
      <c r="O92" s="248">
        <v>5575.6</v>
      </c>
      <c r="P92" s="247" t="s">
        <v>1463</v>
      </c>
      <c r="Q92" s="247" t="s">
        <v>91</v>
      </c>
    </row>
    <row r="93" spans="1:17" x14ac:dyDescent="0.25">
      <c r="A93" s="247" t="s">
        <v>646</v>
      </c>
      <c r="B93" s="247" t="s">
        <v>265</v>
      </c>
      <c r="C93" s="247" t="s">
        <v>1343</v>
      </c>
      <c r="D93" s="247" t="s">
        <v>926</v>
      </c>
      <c r="E93" s="247" t="s">
        <v>755</v>
      </c>
      <c r="F93" s="247" t="s">
        <v>2254</v>
      </c>
      <c r="G93" s="247" t="s">
        <v>1344</v>
      </c>
      <c r="H93" s="247" t="s">
        <v>402</v>
      </c>
      <c r="I93" s="247" t="s">
        <v>2255</v>
      </c>
      <c r="J93" s="247">
        <v>29</v>
      </c>
      <c r="K93" s="247">
        <v>29</v>
      </c>
      <c r="L93" s="249" t="s">
        <v>938</v>
      </c>
      <c r="M93" s="249" t="s">
        <v>929</v>
      </c>
      <c r="N93" s="248">
        <v>1115.1199999999999</v>
      </c>
      <c r="O93" s="248">
        <v>6690.72</v>
      </c>
      <c r="P93" s="247" t="s">
        <v>1463</v>
      </c>
      <c r="Q93" s="247" t="s">
        <v>92</v>
      </c>
    </row>
    <row r="94" spans="1:17" x14ac:dyDescent="0.25">
      <c r="A94" s="247" t="s">
        <v>646</v>
      </c>
      <c r="B94" s="247" t="s">
        <v>265</v>
      </c>
      <c r="C94" s="247" t="s">
        <v>1343</v>
      </c>
      <c r="D94" s="247" t="s">
        <v>926</v>
      </c>
      <c r="E94" s="247" t="s">
        <v>755</v>
      </c>
      <c r="F94" s="247" t="s">
        <v>2254</v>
      </c>
      <c r="G94" s="247" t="s">
        <v>1344</v>
      </c>
      <c r="H94" s="247" t="s">
        <v>402</v>
      </c>
      <c r="I94" s="247" t="s">
        <v>2255</v>
      </c>
      <c r="J94" s="247">
        <v>29</v>
      </c>
      <c r="K94" s="247">
        <v>29</v>
      </c>
      <c r="L94" s="249" t="s">
        <v>939</v>
      </c>
      <c r="M94" s="249" t="s">
        <v>929</v>
      </c>
      <c r="N94" s="248">
        <v>1115.1199999999999</v>
      </c>
      <c r="O94" s="248">
        <v>7805.84</v>
      </c>
      <c r="P94" s="247" t="s">
        <v>1463</v>
      </c>
      <c r="Q94" s="247" t="s">
        <v>93</v>
      </c>
    </row>
    <row r="95" spans="1:17" x14ac:dyDescent="0.25">
      <c r="A95" s="247" t="s">
        <v>646</v>
      </c>
      <c r="B95" s="247" t="s">
        <v>265</v>
      </c>
      <c r="C95" s="247" t="s">
        <v>1343</v>
      </c>
      <c r="D95" s="247" t="s">
        <v>926</v>
      </c>
      <c r="E95" s="247" t="s">
        <v>755</v>
      </c>
      <c r="F95" s="247" t="s">
        <v>2254</v>
      </c>
      <c r="G95" s="247" t="s">
        <v>1344</v>
      </c>
      <c r="H95" s="247" t="s">
        <v>402</v>
      </c>
      <c r="I95" s="247" t="s">
        <v>2255</v>
      </c>
      <c r="J95" s="247">
        <v>29</v>
      </c>
      <c r="K95" s="247">
        <v>29</v>
      </c>
      <c r="L95" s="249" t="s">
        <v>940</v>
      </c>
      <c r="M95" s="249" t="s">
        <v>929</v>
      </c>
      <c r="N95" s="248">
        <v>1115.1199999999999</v>
      </c>
      <c r="O95" s="248">
        <v>8920.9599999999991</v>
      </c>
      <c r="P95" s="247" t="s">
        <v>1463</v>
      </c>
      <c r="Q95" s="247" t="s">
        <v>94</v>
      </c>
    </row>
    <row r="96" spans="1:17" x14ac:dyDescent="0.25">
      <c r="A96" s="247" t="s">
        <v>646</v>
      </c>
      <c r="B96" s="247" t="s">
        <v>265</v>
      </c>
      <c r="C96" s="247" t="s">
        <v>1343</v>
      </c>
      <c r="D96" s="247" t="s">
        <v>926</v>
      </c>
      <c r="E96" s="247" t="s">
        <v>755</v>
      </c>
      <c r="F96" s="247" t="s">
        <v>2254</v>
      </c>
      <c r="G96" s="247" t="s">
        <v>1344</v>
      </c>
      <c r="H96" s="247" t="s">
        <v>402</v>
      </c>
      <c r="I96" s="247" t="s">
        <v>2255</v>
      </c>
      <c r="J96" s="247">
        <v>29</v>
      </c>
      <c r="K96" s="247">
        <v>29</v>
      </c>
      <c r="L96" s="249" t="s">
        <v>642</v>
      </c>
      <c r="M96" s="249" t="s">
        <v>929</v>
      </c>
      <c r="N96" s="248">
        <v>1115.1199999999999</v>
      </c>
      <c r="O96" s="248">
        <v>10036.08</v>
      </c>
      <c r="P96" s="247" t="s">
        <v>1463</v>
      </c>
      <c r="Q96" s="247" t="s">
        <v>95</v>
      </c>
    </row>
    <row r="97" spans="1:17" x14ac:dyDescent="0.25">
      <c r="A97" s="247" t="s">
        <v>646</v>
      </c>
      <c r="B97" s="247" t="s">
        <v>265</v>
      </c>
      <c r="C97" s="247" t="s">
        <v>1343</v>
      </c>
      <c r="D97" s="247" t="s">
        <v>926</v>
      </c>
      <c r="E97" s="247" t="s">
        <v>569</v>
      </c>
      <c r="F97" s="247" t="s">
        <v>2272</v>
      </c>
      <c r="G97" s="247" t="s">
        <v>1344</v>
      </c>
      <c r="H97" s="247" t="s">
        <v>397</v>
      </c>
      <c r="I97" s="247" t="s">
        <v>2273</v>
      </c>
      <c r="J97" s="247">
        <v>29</v>
      </c>
      <c r="K97" s="247">
        <v>29</v>
      </c>
      <c r="L97" s="249" t="s">
        <v>646</v>
      </c>
      <c r="M97" s="249" t="s">
        <v>933</v>
      </c>
      <c r="N97" s="248">
        <v>2542.42</v>
      </c>
      <c r="O97" s="248">
        <v>2542.42</v>
      </c>
      <c r="P97" s="247" t="s">
        <v>1472</v>
      </c>
      <c r="Q97" s="247" t="s">
        <v>84</v>
      </c>
    </row>
    <row r="98" spans="1:17" x14ac:dyDescent="0.25">
      <c r="A98" s="247" t="s">
        <v>646</v>
      </c>
      <c r="B98" s="247" t="s">
        <v>265</v>
      </c>
      <c r="C98" s="247" t="s">
        <v>1343</v>
      </c>
      <c r="D98" s="247" t="s">
        <v>926</v>
      </c>
      <c r="E98" s="247" t="s">
        <v>569</v>
      </c>
      <c r="F98" s="247" t="s">
        <v>2272</v>
      </c>
      <c r="G98" s="247" t="s">
        <v>1344</v>
      </c>
      <c r="H98" s="247" t="s">
        <v>397</v>
      </c>
      <c r="I98" s="247" t="s">
        <v>2273</v>
      </c>
      <c r="J98" s="247">
        <v>29</v>
      </c>
      <c r="K98" s="247">
        <v>29</v>
      </c>
      <c r="L98" s="249" t="s">
        <v>650</v>
      </c>
      <c r="M98" s="249" t="s">
        <v>933</v>
      </c>
      <c r="N98" s="248">
        <v>1836.2</v>
      </c>
      <c r="O98" s="248">
        <v>4378.62</v>
      </c>
      <c r="P98" s="247" t="s">
        <v>1472</v>
      </c>
      <c r="Q98" s="247" t="s">
        <v>85</v>
      </c>
    </row>
    <row r="99" spans="1:17" x14ac:dyDescent="0.25">
      <c r="A99" s="247" t="s">
        <v>646</v>
      </c>
      <c r="B99" s="247" t="s">
        <v>265</v>
      </c>
      <c r="C99" s="247" t="s">
        <v>1343</v>
      </c>
      <c r="D99" s="247" t="s">
        <v>926</v>
      </c>
      <c r="E99" s="247" t="s">
        <v>569</v>
      </c>
      <c r="F99" s="247" t="s">
        <v>2272</v>
      </c>
      <c r="G99" s="247" t="s">
        <v>1344</v>
      </c>
      <c r="H99" s="247" t="s">
        <v>397</v>
      </c>
      <c r="I99" s="247" t="s">
        <v>2273</v>
      </c>
      <c r="J99" s="247">
        <v>29</v>
      </c>
      <c r="K99" s="247">
        <v>29</v>
      </c>
      <c r="L99" s="249" t="s">
        <v>652</v>
      </c>
      <c r="M99" s="249" t="s">
        <v>933</v>
      </c>
      <c r="N99" s="248">
        <v>5463.55</v>
      </c>
      <c r="O99" s="248">
        <v>9842.17</v>
      </c>
      <c r="P99" s="247" t="s">
        <v>1472</v>
      </c>
      <c r="Q99" s="247" t="s">
        <v>86</v>
      </c>
    </row>
    <row r="100" spans="1:17" x14ac:dyDescent="0.25">
      <c r="A100" s="247" t="s">
        <v>646</v>
      </c>
      <c r="B100" s="247" t="s">
        <v>265</v>
      </c>
      <c r="C100" s="247" t="s">
        <v>1343</v>
      </c>
      <c r="D100" s="247" t="s">
        <v>926</v>
      </c>
      <c r="E100" s="247" t="s">
        <v>569</v>
      </c>
      <c r="F100" s="247" t="s">
        <v>2272</v>
      </c>
      <c r="G100" s="247" t="s">
        <v>1344</v>
      </c>
      <c r="H100" s="247" t="s">
        <v>397</v>
      </c>
      <c r="I100" s="247" t="s">
        <v>2273</v>
      </c>
      <c r="J100" s="247">
        <v>29</v>
      </c>
      <c r="K100" s="247">
        <v>29</v>
      </c>
      <c r="L100" s="249" t="s">
        <v>789</v>
      </c>
      <c r="M100" s="249" t="s">
        <v>929</v>
      </c>
      <c r="N100" s="248">
        <v>2787.8</v>
      </c>
      <c r="O100" s="248">
        <v>2787.8</v>
      </c>
      <c r="P100" s="247" t="s">
        <v>1472</v>
      </c>
      <c r="Q100" s="247" t="s">
        <v>87</v>
      </c>
    </row>
    <row r="101" spans="1:17" x14ac:dyDescent="0.25">
      <c r="A101" s="247" t="s">
        <v>646</v>
      </c>
      <c r="B101" s="247" t="s">
        <v>265</v>
      </c>
      <c r="C101" s="247" t="s">
        <v>1343</v>
      </c>
      <c r="D101" s="247" t="s">
        <v>926</v>
      </c>
      <c r="E101" s="247" t="s">
        <v>569</v>
      </c>
      <c r="F101" s="247" t="s">
        <v>2272</v>
      </c>
      <c r="G101" s="247" t="s">
        <v>1344</v>
      </c>
      <c r="H101" s="247" t="s">
        <v>397</v>
      </c>
      <c r="I101" s="247" t="s">
        <v>2273</v>
      </c>
      <c r="J101" s="247">
        <v>29</v>
      </c>
      <c r="K101" s="247">
        <v>29</v>
      </c>
      <c r="L101" s="249" t="s">
        <v>791</v>
      </c>
      <c r="M101" s="249" t="s">
        <v>929</v>
      </c>
      <c r="N101" s="248">
        <v>2787.8</v>
      </c>
      <c r="O101" s="248">
        <v>5575.6</v>
      </c>
      <c r="P101" s="247" t="s">
        <v>1472</v>
      </c>
      <c r="Q101" s="247" t="s">
        <v>88</v>
      </c>
    </row>
    <row r="102" spans="1:17" x14ac:dyDescent="0.25">
      <c r="A102" s="247" t="s">
        <v>646</v>
      </c>
      <c r="B102" s="247" t="s">
        <v>265</v>
      </c>
      <c r="C102" s="247" t="s">
        <v>1343</v>
      </c>
      <c r="D102" s="247" t="s">
        <v>926</v>
      </c>
      <c r="E102" s="247" t="s">
        <v>569</v>
      </c>
      <c r="F102" s="247" t="s">
        <v>2272</v>
      </c>
      <c r="G102" s="247" t="s">
        <v>1344</v>
      </c>
      <c r="H102" s="247" t="s">
        <v>397</v>
      </c>
      <c r="I102" s="247" t="s">
        <v>2273</v>
      </c>
      <c r="J102" s="247">
        <v>29</v>
      </c>
      <c r="K102" s="247">
        <v>29</v>
      </c>
      <c r="L102" s="249" t="s">
        <v>935</v>
      </c>
      <c r="M102" s="249" t="s">
        <v>929</v>
      </c>
      <c r="N102" s="248">
        <v>2787.8</v>
      </c>
      <c r="O102" s="248">
        <v>8363.4</v>
      </c>
      <c r="P102" s="247" t="s">
        <v>1472</v>
      </c>
      <c r="Q102" s="247" t="s">
        <v>89</v>
      </c>
    </row>
    <row r="103" spans="1:17" x14ac:dyDescent="0.25">
      <c r="A103" s="247" t="s">
        <v>646</v>
      </c>
      <c r="B103" s="247" t="s">
        <v>265</v>
      </c>
      <c r="C103" s="247" t="s">
        <v>1343</v>
      </c>
      <c r="D103" s="247" t="s">
        <v>926</v>
      </c>
      <c r="E103" s="247" t="s">
        <v>569</v>
      </c>
      <c r="F103" s="247" t="s">
        <v>2272</v>
      </c>
      <c r="G103" s="247" t="s">
        <v>1344</v>
      </c>
      <c r="H103" s="247" t="s">
        <v>397</v>
      </c>
      <c r="I103" s="247" t="s">
        <v>2273</v>
      </c>
      <c r="J103" s="247">
        <v>29</v>
      </c>
      <c r="K103" s="247">
        <v>29</v>
      </c>
      <c r="L103" s="249" t="s">
        <v>936</v>
      </c>
      <c r="M103" s="249" t="s">
        <v>929</v>
      </c>
      <c r="N103" s="248">
        <v>2787.8</v>
      </c>
      <c r="O103" s="248">
        <v>11151.2</v>
      </c>
      <c r="P103" s="247" t="s">
        <v>1472</v>
      </c>
      <c r="Q103" s="247" t="s">
        <v>90</v>
      </c>
    </row>
    <row r="104" spans="1:17" x14ac:dyDescent="0.25">
      <c r="A104" s="247" t="s">
        <v>646</v>
      </c>
      <c r="B104" s="247" t="s">
        <v>265</v>
      </c>
      <c r="C104" s="247" t="s">
        <v>1343</v>
      </c>
      <c r="D104" s="247" t="s">
        <v>926</v>
      </c>
      <c r="E104" s="247" t="s">
        <v>569</v>
      </c>
      <c r="F104" s="247" t="s">
        <v>2272</v>
      </c>
      <c r="G104" s="247" t="s">
        <v>1344</v>
      </c>
      <c r="H104" s="247" t="s">
        <v>397</v>
      </c>
      <c r="I104" s="247" t="s">
        <v>2273</v>
      </c>
      <c r="J104" s="247">
        <v>29</v>
      </c>
      <c r="K104" s="247">
        <v>29</v>
      </c>
      <c r="L104" s="249" t="s">
        <v>937</v>
      </c>
      <c r="M104" s="249" t="s">
        <v>929</v>
      </c>
      <c r="N104" s="248">
        <v>2787.8</v>
      </c>
      <c r="O104" s="248">
        <v>13939</v>
      </c>
      <c r="P104" s="247" t="s">
        <v>1472</v>
      </c>
      <c r="Q104" s="247" t="s">
        <v>91</v>
      </c>
    </row>
    <row r="105" spans="1:17" x14ac:dyDescent="0.25">
      <c r="A105" s="247" t="s">
        <v>646</v>
      </c>
      <c r="B105" s="247" t="s">
        <v>265</v>
      </c>
      <c r="C105" s="247" t="s">
        <v>1343</v>
      </c>
      <c r="D105" s="247" t="s">
        <v>926</v>
      </c>
      <c r="E105" s="247" t="s">
        <v>569</v>
      </c>
      <c r="F105" s="247" t="s">
        <v>2272</v>
      </c>
      <c r="G105" s="247" t="s">
        <v>1344</v>
      </c>
      <c r="H105" s="247" t="s">
        <v>397</v>
      </c>
      <c r="I105" s="247" t="s">
        <v>2273</v>
      </c>
      <c r="J105" s="247">
        <v>29</v>
      </c>
      <c r="K105" s="247">
        <v>29</v>
      </c>
      <c r="L105" s="249" t="s">
        <v>938</v>
      </c>
      <c r="M105" s="249" t="s">
        <v>929</v>
      </c>
      <c r="N105" s="248">
        <v>2230.2399999999998</v>
      </c>
      <c r="O105" s="248">
        <v>16169.24</v>
      </c>
      <c r="P105" s="247" t="s">
        <v>1472</v>
      </c>
      <c r="Q105" s="247" t="s">
        <v>92</v>
      </c>
    </row>
    <row r="106" spans="1:17" x14ac:dyDescent="0.25">
      <c r="A106" s="247" t="s">
        <v>646</v>
      </c>
      <c r="B106" s="247" t="s">
        <v>265</v>
      </c>
      <c r="C106" s="247" t="s">
        <v>1343</v>
      </c>
      <c r="D106" s="247" t="s">
        <v>926</v>
      </c>
      <c r="E106" s="247" t="s">
        <v>569</v>
      </c>
      <c r="F106" s="247" t="s">
        <v>2272</v>
      </c>
      <c r="G106" s="247" t="s">
        <v>1344</v>
      </c>
      <c r="H106" s="247" t="s">
        <v>397</v>
      </c>
      <c r="I106" s="247" t="s">
        <v>2273</v>
      </c>
      <c r="J106" s="247">
        <v>29</v>
      </c>
      <c r="K106" s="247">
        <v>29</v>
      </c>
      <c r="L106" s="249" t="s">
        <v>939</v>
      </c>
      <c r="M106" s="249" t="s">
        <v>929</v>
      </c>
      <c r="N106" s="248">
        <v>2230.2399999999998</v>
      </c>
      <c r="O106" s="248">
        <v>18399.48</v>
      </c>
      <c r="P106" s="247" t="s">
        <v>1472</v>
      </c>
      <c r="Q106" s="247" t="s">
        <v>93</v>
      </c>
    </row>
    <row r="107" spans="1:17" x14ac:dyDescent="0.25">
      <c r="A107" s="247" t="s">
        <v>646</v>
      </c>
      <c r="B107" s="247" t="s">
        <v>265</v>
      </c>
      <c r="C107" s="247" t="s">
        <v>1343</v>
      </c>
      <c r="D107" s="247" t="s">
        <v>926</v>
      </c>
      <c r="E107" s="247" t="s">
        <v>569</v>
      </c>
      <c r="F107" s="247" t="s">
        <v>2272</v>
      </c>
      <c r="G107" s="247" t="s">
        <v>1344</v>
      </c>
      <c r="H107" s="247" t="s">
        <v>397</v>
      </c>
      <c r="I107" s="247" t="s">
        <v>2273</v>
      </c>
      <c r="J107" s="247">
        <v>29</v>
      </c>
      <c r="K107" s="247">
        <v>29</v>
      </c>
      <c r="L107" s="249" t="s">
        <v>940</v>
      </c>
      <c r="M107" s="249" t="s">
        <v>929</v>
      </c>
      <c r="N107" s="248">
        <v>2230.2399999999998</v>
      </c>
      <c r="O107" s="248">
        <v>20629.72</v>
      </c>
      <c r="P107" s="247" t="s">
        <v>1472</v>
      </c>
      <c r="Q107" s="247" t="s">
        <v>94</v>
      </c>
    </row>
    <row r="108" spans="1:17" x14ac:dyDescent="0.25">
      <c r="A108" s="247" t="s">
        <v>646</v>
      </c>
      <c r="B108" s="247" t="s">
        <v>265</v>
      </c>
      <c r="C108" s="247" t="s">
        <v>1343</v>
      </c>
      <c r="D108" s="247" t="s">
        <v>926</v>
      </c>
      <c r="E108" s="247" t="s">
        <v>569</v>
      </c>
      <c r="F108" s="247" t="s">
        <v>2272</v>
      </c>
      <c r="G108" s="247" t="s">
        <v>1344</v>
      </c>
      <c r="H108" s="247" t="s">
        <v>397</v>
      </c>
      <c r="I108" s="247" t="s">
        <v>2273</v>
      </c>
      <c r="J108" s="247">
        <v>29</v>
      </c>
      <c r="K108" s="247">
        <v>29</v>
      </c>
      <c r="L108" s="249" t="s">
        <v>642</v>
      </c>
      <c r="M108" s="249" t="s">
        <v>929</v>
      </c>
      <c r="N108" s="248">
        <v>2230.2399999999998</v>
      </c>
      <c r="O108" s="248">
        <v>22859.96</v>
      </c>
      <c r="P108" s="247" t="s">
        <v>1472</v>
      </c>
      <c r="Q108" s="247" t="s">
        <v>95</v>
      </c>
    </row>
    <row r="109" spans="1:17" x14ac:dyDescent="0.25">
      <c r="A109" s="247" t="s">
        <v>646</v>
      </c>
      <c r="B109" s="247" t="s">
        <v>265</v>
      </c>
      <c r="C109" s="247" t="s">
        <v>1343</v>
      </c>
      <c r="D109" s="247" t="s">
        <v>926</v>
      </c>
      <c r="E109" s="247" t="s">
        <v>946</v>
      </c>
      <c r="F109" s="247" t="s">
        <v>2290</v>
      </c>
      <c r="G109" s="247" t="s">
        <v>1344</v>
      </c>
      <c r="H109" s="247" t="s">
        <v>403</v>
      </c>
      <c r="I109" s="247" t="s">
        <v>2291</v>
      </c>
      <c r="J109" s="247">
        <v>37</v>
      </c>
      <c r="K109" s="247">
        <v>37</v>
      </c>
      <c r="L109" s="249" t="s">
        <v>646</v>
      </c>
      <c r="M109" s="249" t="s">
        <v>933</v>
      </c>
      <c r="N109" s="248">
        <v>7547.66</v>
      </c>
      <c r="O109" s="248">
        <v>41481.42</v>
      </c>
      <c r="P109" s="247" t="s">
        <v>1481</v>
      </c>
      <c r="Q109" s="247" t="s">
        <v>84</v>
      </c>
    </row>
    <row r="110" spans="1:17" x14ac:dyDescent="0.25">
      <c r="A110" s="247" t="s">
        <v>646</v>
      </c>
      <c r="B110" s="247" t="s">
        <v>265</v>
      </c>
      <c r="C110" s="247" t="s">
        <v>1343</v>
      </c>
      <c r="D110" s="247" t="s">
        <v>926</v>
      </c>
      <c r="E110" s="247" t="s">
        <v>946</v>
      </c>
      <c r="F110" s="247" t="s">
        <v>2290</v>
      </c>
      <c r="G110" s="247" t="s">
        <v>1344</v>
      </c>
      <c r="H110" s="247" t="s">
        <v>403</v>
      </c>
      <c r="I110" s="247" t="s">
        <v>2291</v>
      </c>
      <c r="J110" s="247">
        <v>37</v>
      </c>
      <c r="K110" s="247">
        <v>37</v>
      </c>
      <c r="L110" s="249" t="s">
        <v>650</v>
      </c>
      <c r="M110" s="249" t="s">
        <v>933</v>
      </c>
      <c r="N110" s="248">
        <v>3305.16</v>
      </c>
      <c r="O110" s="248">
        <v>44786.58</v>
      </c>
      <c r="P110" s="247" t="s">
        <v>1481</v>
      </c>
      <c r="Q110" s="247" t="s">
        <v>85</v>
      </c>
    </row>
    <row r="111" spans="1:17" x14ac:dyDescent="0.25">
      <c r="A111" s="247" t="s">
        <v>646</v>
      </c>
      <c r="B111" s="247" t="s">
        <v>265</v>
      </c>
      <c r="C111" s="247" t="s">
        <v>1343</v>
      </c>
      <c r="D111" s="247" t="s">
        <v>926</v>
      </c>
      <c r="E111" s="247" t="s">
        <v>946</v>
      </c>
      <c r="F111" s="247" t="s">
        <v>2290</v>
      </c>
      <c r="G111" s="247" t="s">
        <v>1344</v>
      </c>
      <c r="H111" s="247" t="s">
        <v>403</v>
      </c>
      <c r="I111" s="247" t="s">
        <v>2291</v>
      </c>
      <c r="J111" s="247">
        <v>37</v>
      </c>
      <c r="K111" s="247">
        <v>37</v>
      </c>
      <c r="L111" s="249" t="s">
        <v>652</v>
      </c>
      <c r="M111" s="249" t="s">
        <v>933</v>
      </c>
      <c r="N111" s="248">
        <v>9834.4</v>
      </c>
      <c r="O111" s="248">
        <v>54620.98</v>
      </c>
      <c r="P111" s="247" t="s">
        <v>1481</v>
      </c>
      <c r="Q111" s="247" t="s">
        <v>86</v>
      </c>
    </row>
    <row r="112" spans="1:17" x14ac:dyDescent="0.25">
      <c r="A112" s="247" t="s">
        <v>646</v>
      </c>
      <c r="B112" s="247" t="s">
        <v>265</v>
      </c>
      <c r="C112" s="247" t="s">
        <v>1343</v>
      </c>
      <c r="D112" s="247" t="s">
        <v>926</v>
      </c>
      <c r="E112" s="247" t="s">
        <v>946</v>
      </c>
      <c r="F112" s="247" t="s">
        <v>2290</v>
      </c>
      <c r="G112" s="247" t="s">
        <v>1344</v>
      </c>
      <c r="H112" s="247" t="s">
        <v>403</v>
      </c>
      <c r="I112" s="247" t="s">
        <v>2291</v>
      </c>
      <c r="J112" s="247">
        <v>37</v>
      </c>
      <c r="K112" s="247">
        <v>37</v>
      </c>
      <c r="L112" s="249" t="s">
        <v>789</v>
      </c>
      <c r="M112" s="249" t="s">
        <v>929</v>
      </c>
      <c r="N112" s="248">
        <v>5018.04</v>
      </c>
      <c r="O112" s="248">
        <v>5018.04</v>
      </c>
      <c r="P112" s="247" t="s">
        <v>1481</v>
      </c>
      <c r="Q112" s="247" t="s">
        <v>87</v>
      </c>
    </row>
    <row r="113" spans="1:17" x14ac:dyDescent="0.25">
      <c r="A113" s="247" t="s">
        <v>646</v>
      </c>
      <c r="B113" s="247" t="s">
        <v>265</v>
      </c>
      <c r="C113" s="247" t="s">
        <v>1343</v>
      </c>
      <c r="D113" s="247" t="s">
        <v>926</v>
      </c>
      <c r="E113" s="247" t="s">
        <v>946</v>
      </c>
      <c r="F113" s="247" t="s">
        <v>2290</v>
      </c>
      <c r="G113" s="247" t="s">
        <v>1344</v>
      </c>
      <c r="H113" s="247" t="s">
        <v>403</v>
      </c>
      <c r="I113" s="247" t="s">
        <v>2291</v>
      </c>
      <c r="J113" s="247">
        <v>37</v>
      </c>
      <c r="K113" s="247">
        <v>37</v>
      </c>
      <c r="L113" s="249" t="s">
        <v>791</v>
      </c>
      <c r="M113" s="249" t="s">
        <v>929</v>
      </c>
      <c r="N113" s="248">
        <v>5575.6</v>
      </c>
      <c r="O113" s="248">
        <v>10593.64</v>
      </c>
      <c r="P113" s="247" t="s">
        <v>1481</v>
      </c>
      <c r="Q113" s="247" t="s">
        <v>88</v>
      </c>
    </row>
    <row r="114" spans="1:17" x14ac:dyDescent="0.25">
      <c r="A114" s="247" t="s">
        <v>646</v>
      </c>
      <c r="B114" s="247" t="s">
        <v>265</v>
      </c>
      <c r="C114" s="247" t="s">
        <v>1343</v>
      </c>
      <c r="D114" s="247" t="s">
        <v>926</v>
      </c>
      <c r="E114" s="247" t="s">
        <v>946</v>
      </c>
      <c r="F114" s="247" t="s">
        <v>2290</v>
      </c>
      <c r="G114" s="247" t="s">
        <v>1344</v>
      </c>
      <c r="H114" s="247" t="s">
        <v>403</v>
      </c>
      <c r="I114" s="247" t="s">
        <v>2291</v>
      </c>
      <c r="J114" s="247">
        <v>37</v>
      </c>
      <c r="K114" s="247">
        <v>37</v>
      </c>
      <c r="L114" s="249" t="s">
        <v>935</v>
      </c>
      <c r="M114" s="249" t="s">
        <v>929</v>
      </c>
      <c r="N114" s="248">
        <v>6690.72</v>
      </c>
      <c r="O114" s="248">
        <v>17284.36</v>
      </c>
      <c r="P114" s="247" t="s">
        <v>1481</v>
      </c>
      <c r="Q114" s="247" t="s">
        <v>89</v>
      </c>
    </row>
    <row r="115" spans="1:17" x14ac:dyDescent="0.25">
      <c r="A115" s="247" t="s">
        <v>646</v>
      </c>
      <c r="B115" s="247" t="s">
        <v>265</v>
      </c>
      <c r="C115" s="247" t="s">
        <v>1343</v>
      </c>
      <c r="D115" s="247" t="s">
        <v>926</v>
      </c>
      <c r="E115" s="247" t="s">
        <v>946</v>
      </c>
      <c r="F115" s="247" t="s">
        <v>2290</v>
      </c>
      <c r="G115" s="247" t="s">
        <v>1344</v>
      </c>
      <c r="H115" s="247" t="s">
        <v>403</v>
      </c>
      <c r="I115" s="247" t="s">
        <v>2291</v>
      </c>
      <c r="J115" s="247">
        <v>37</v>
      </c>
      <c r="K115" s="247">
        <v>37</v>
      </c>
      <c r="L115" s="249" t="s">
        <v>936</v>
      </c>
      <c r="M115" s="249" t="s">
        <v>929</v>
      </c>
      <c r="N115" s="248">
        <v>6690.72</v>
      </c>
      <c r="O115" s="248">
        <v>23975.08</v>
      </c>
      <c r="P115" s="247" t="s">
        <v>1481</v>
      </c>
      <c r="Q115" s="247" t="s">
        <v>90</v>
      </c>
    </row>
    <row r="116" spans="1:17" x14ac:dyDescent="0.25">
      <c r="A116" s="247" t="s">
        <v>646</v>
      </c>
      <c r="B116" s="247" t="s">
        <v>265</v>
      </c>
      <c r="C116" s="247" t="s">
        <v>1343</v>
      </c>
      <c r="D116" s="247" t="s">
        <v>926</v>
      </c>
      <c r="E116" s="247" t="s">
        <v>946</v>
      </c>
      <c r="F116" s="247" t="s">
        <v>2290</v>
      </c>
      <c r="G116" s="247" t="s">
        <v>1344</v>
      </c>
      <c r="H116" s="247" t="s">
        <v>403</v>
      </c>
      <c r="I116" s="247" t="s">
        <v>2291</v>
      </c>
      <c r="J116" s="247">
        <v>37</v>
      </c>
      <c r="K116" s="247">
        <v>37</v>
      </c>
      <c r="L116" s="249" t="s">
        <v>937</v>
      </c>
      <c r="M116" s="249" t="s">
        <v>929</v>
      </c>
      <c r="N116" s="248">
        <v>6690.72</v>
      </c>
      <c r="O116" s="248">
        <v>30665.8</v>
      </c>
      <c r="P116" s="247" t="s">
        <v>1481</v>
      </c>
      <c r="Q116" s="247" t="s">
        <v>91</v>
      </c>
    </row>
    <row r="117" spans="1:17" x14ac:dyDescent="0.25">
      <c r="A117" s="247" t="s">
        <v>646</v>
      </c>
      <c r="B117" s="247" t="s">
        <v>265</v>
      </c>
      <c r="C117" s="247" t="s">
        <v>1343</v>
      </c>
      <c r="D117" s="247" t="s">
        <v>926</v>
      </c>
      <c r="E117" s="247" t="s">
        <v>946</v>
      </c>
      <c r="F117" s="247" t="s">
        <v>2290</v>
      </c>
      <c r="G117" s="247" t="s">
        <v>1344</v>
      </c>
      <c r="H117" s="247" t="s">
        <v>403</v>
      </c>
      <c r="I117" s="247" t="s">
        <v>2291</v>
      </c>
      <c r="J117" s="247">
        <v>37</v>
      </c>
      <c r="K117" s="247">
        <v>37</v>
      </c>
      <c r="L117" s="249" t="s">
        <v>938</v>
      </c>
      <c r="M117" s="249" t="s">
        <v>929</v>
      </c>
      <c r="N117" s="248">
        <v>6690.72</v>
      </c>
      <c r="O117" s="248">
        <v>37356.519999999997</v>
      </c>
      <c r="P117" s="247" t="s">
        <v>1481</v>
      </c>
      <c r="Q117" s="247" t="s">
        <v>92</v>
      </c>
    </row>
    <row r="118" spans="1:17" x14ac:dyDescent="0.25">
      <c r="A118" s="247" t="s">
        <v>646</v>
      </c>
      <c r="B118" s="247" t="s">
        <v>265</v>
      </c>
      <c r="C118" s="247" t="s">
        <v>1343</v>
      </c>
      <c r="D118" s="247" t="s">
        <v>926</v>
      </c>
      <c r="E118" s="247" t="s">
        <v>946</v>
      </c>
      <c r="F118" s="247" t="s">
        <v>2290</v>
      </c>
      <c r="G118" s="247" t="s">
        <v>1344</v>
      </c>
      <c r="H118" s="247" t="s">
        <v>403</v>
      </c>
      <c r="I118" s="247" t="s">
        <v>2291</v>
      </c>
      <c r="J118" s="247">
        <v>37</v>
      </c>
      <c r="K118" s="247">
        <v>37</v>
      </c>
      <c r="L118" s="249" t="s">
        <v>939</v>
      </c>
      <c r="M118" s="249" t="s">
        <v>929</v>
      </c>
      <c r="N118" s="248">
        <v>6690.72</v>
      </c>
      <c r="O118" s="248">
        <v>44047.24</v>
      </c>
      <c r="P118" s="247" t="s">
        <v>1481</v>
      </c>
      <c r="Q118" s="247" t="s">
        <v>93</v>
      </c>
    </row>
    <row r="119" spans="1:17" x14ac:dyDescent="0.25">
      <c r="A119" s="247" t="s">
        <v>646</v>
      </c>
      <c r="B119" s="247" t="s">
        <v>265</v>
      </c>
      <c r="C119" s="247" t="s">
        <v>1343</v>
      </c>
      <c r="D119" s="247" t="s">
        <v>926</v>
      </c>
      <c r="E119" s="247" t="s">
        <v>946</v>
      </c>
      <c r="F119" s="247" t="s">
        <v>2290</v>
      </c>
      <c r="G119" s="247" t="s">
        <v>1344</v>
      </c>
      <c r="H119" s="247" t="s">
        <v>403</v>
      </c>
      <c r="I119" s="247" t="s">
        <v>2291</v>
      </c>
      <c r="J119" s="247">
        <v>37</v>
      </c>
      <c r="K119" s="247">
        <v>37</v>
      </c>
      <c r="L119" s="249" t="s">
        <v>940</v>
      </c>
      <c r="M119" s="249" t="s">
        <v>929</v>
      </c>
      <c r="N119" s="248">
        <v>7248.28</v>
      </c>
      <c r="O119" s="248">
        <v>51295.519999999997</v>
      </c>
      <c r="P119" s="247" t="s">
        <v>1481</v>
      </c>
      <c r="Q119" s="247" t="s">
        <v>94</v>
      </c>
    </row>
    <row r="120" spans="1:17" x14ac:dyDescent="0.25">
      <c r="A120" s="247" t="s">
        <v>646</v>
      </c>
      <c r="B120" s="247" t="s">
        <v>265</v>
      </c>
      <c r="C120" s="247" t="s">
        <v>1343</v>
      </c>
      <c r="D120" s="247" t="s">
        <v>926</v>
      </c>
      <c r="E120" s="247" t="s">
        <v>946</v>
      </c>
      <c r="F120" s="247" t="s">
        <v>2290</v>
      </c>
      <c r="G120" s="247" t="s">
        <v>1344</v>
      </c>
      <c r="H120" s="247" t="s">
        <v>403</v>
      </c>
      <c r="I120" s="247" t="s">
        <v>2291</v>
      </c>
      <c r="J120" s="247">
        <v>37</v>
      </c>
      <c r="K120" s="247">
        <v>37</v>
      </c>
      <c r="L120" s="249" t="s">
        <v>642</v>
      </c>
      <c r="M120" s="249" t="s">
        <v>929</v>
      </c>
      <c r="N120" s="426">
        <v>7805.84</v>
      </c>
      <c r="O120" s="248">
        <v>59101.36</v>
      </c>
      <c r="P120" s="247" t="s">
        <v>1481</v>
      </c>
      <c r="Q120" s="247" t="s">
        <v>95</v>
      </c>
    </row>
    <row r="121" spans="1:17" x14ac:dyDescent="0.25">
      <c r="A121" s="247"/>
      <c r="B121" s="247"/>
      <c r="C121" s="247"/>
      <c r="D121" s="247"/>
      <c r="E121" s="247"/>
      <c r="F121" s="247"/>
      <c r="G121" s="247"/>
      <c r="H121" s="247"/>
      <c r="I121" s="247" t="s">
        <v>3151</v>
      </c>
      <c r="J121" s="247"/>
      <c r="K121" s="247"/>
      <c r="L121" s="249"/>
      <c r="M121" s="249"/>
      <c r="N121" s="248">
        <f>SUM(N49:N120)</f>
        <v>228312.50999999989</v>
      </c>
      <c r="O121" s="248"/>
      <c r="P121" s="247"/>
      <c r="Q121" s="247"/>
    </row>
    <row r="122" spans="1:17" x14ac:dyDescent="0.25">
      <c r="A122" s="247"/>
      <c r="B122" s="247"/>
      <c r="C122" s="247"/>
      <c r="D122" s="247"/>
      <c r="E122" s="247"/>
      <c r="F122" s="247"/>
      <c r="G122" s="247"/>
      <c r="H122" s="247"/>
      <c r="I122" s="247" t="s">
        <v>3152</v>
      </c>
      <c r="J122" s="247"/>
      <c r="K122" s="247"/>
      <c r="L122" s="249"/>
      <c r="M122" s="249"/>
      <c r="N122" s="561">
        <v>0.2379</v>
      </c>
      <c r="O122" s="248"/>
      <c r="P122" s="247"/>
      <c r="Q122" s="247"/>
    </row>
    <row r="123" spans="1:17" x14ac:dyDescent="0.25">
      <c r="I123" s="247" t="s">
        <v>3143</v>
      </c>
      <c r="J123" s="247"/>
      <c r="K123" s="247"/>
      <c r="L123" s="249"/>
      <c r="M123" s="249"/>
      <c r="N123" s="248">
        <f>+N121*N122</f>
        <v>54315.546128999973</v>
      </c>
    </row>
    <row r="126" spans="1:17" x14ac:dyDescent="0.25">
      <c r="A126" s="247" t="s">
        <v>646</v>
      </c>
      <c r="B126" s="247" t="s">
        <v>265</v>
      </c>
      <c r="C126" s="247" t="s">
        <v>1343</v>
      </c>
      <c r="D126" s="247" t="s">
        <v>926</v>
      </c>
      <c r="E126" s="247" t="s">
        <v>1302</v>
      </c>
      <c r="F126" s="247" t="s">
        <v>2132</v>
      </c>
      <c r="G126" s="247" t="s">
        <v>1344</v>
      </c>
      <c r="H126" s="247" t="s">
        <v>1999</v>
      </c>
      <c r="I126" s="247" t="s">
        <v>2133</v>
      </c>
      <c r="J126" s="247">
        <v>87</v>
      </c>
      <c r="K126" s="247">
        <v>87.1</v>
      </c>
      <c r="L126" s="249" t="s">
        <v>646</v>
      </c>
      <c r="M126" s="249" t="s">
        <v>933</v>
      </c>
      <c r="N126" s="248">
        <v>3050.91</v>
      </c>
      <c r="O126" s="248">
        <v>53822.09</v>
      </c>
      <c r="P126" s="247" t="s">
        <v>1398</v>
      </c>
      <c r="Q126" s="247" t="s">
        <v>84</v>
      </c>
    </row>
    <row r="127" spans="1:17" x14ac:dyDescent="0.25">
      <c r="A127" s="247" t="s">
        <v>646</v>
      </c>
      <c r="B127" s="247" t="s">
        <v>265</v>
      </c>
      <c r="C127" s="247" t="s">
        <v>1343</v>
      </c>
      <c r="D127" s="247" t="s">
        <v>926</v>
      </c>
      <c r="E127" s="247" t="s">
        <v>1302</v>
      </c>
      <c r="F127" s="247" t="s">
        <v>2132</v>
      </c>
      <c r="G127" s="247" t="s">
        <v>1344</v>
      </c>
      <c r="H127" s="247" t="s">
        <v>1999</v>
      </c>
      <c r="I127" s="247" t="s">
        <v>2133</v>
      </c>
      <c r="J127" s="247">
        <v>87</v>
      </c>
      <c r="K127" s="247">
        <v>87.1</v>
      </c>
      <c r="L127" s="249" t="s">
        <v>650</v>
      </c>
      <c r="M127" s="249" t="s">
        <v>933</v>
      </c>
      <c r="N127" s="248">
        <v>2203.44</v>
      </c>
      <c r="O127" s="248">
        <v>56025.53</v>
      </c>
      <c r="P127" s="247" t="s">
        <v>1398</v>
      </c>
      <c r="Q127" s="247" t="s">
        <v>85</v>
      </c>
    </row>
    <row r="128" spans="1:17" x14ac:dyDescent="0.25">
      <c r="A128" s="247" t="s">
        <v>646</v>
      </c>
      <c r="B128" s="247" t="s">
        <v>265</v>
      </c>
      <c r="C128" s="247" t="s">
        <v>1343</v>
      </c>
      <c r="D128" s="247" t="s">
        <v>926</v>
      </c>
      <c r="E128" s="247" t="s">
        <v>1302</v>
      </c>
      <c r="F128" s="247" t="s">
        <v>2132</v>
      </c>
      <c r="G128" s="247" t="s">
        <v>1344</v>
      </c>
      <c r="H128" s="247" t="s">
        <v>1999</v>
      </c>
      <c r="I128" s="247" t="s">
        <v>2133</v>
      </c>
      <c r="J128" s="247">
        <v>87</v>
      </c>
      <c r="K128" s="247">
        <v>87.1</v>
      </c>
      <c r="L128" s="249" t="s">
        <v>652</v>
      </c>
      <c r="M128" s="249" t="s">
        <v>933</v>
      </c>
      <c r="N128" s="248">
        <v>6556.27</v>
      </c>
      <c r="O128" s="248">
        <v>62581.8</v>
      </c>
      <c r="P128" s="247" t="s">
        <v>1398</v>
      </c>
      <c r="Q128" s="247" t="s">
        <v>86</v>
      </c>
    </row>
    <row r="129" spans="1:17" x14ac:dyDescent="0.25">
      <c r="A129" s="247" t="s">
        <v>646</v>
      </c>
      <c r="B129" s="247" t="s">
        <v>265</v>
      </c>
      <c r="C129" s="247" t="s">
        <v>1343</v>
      </c>
      <c r="D129" s="247" t="s">
        <v>926</v>
      </c>
      <c r="E129" s="247" t="s">
        <v>1302</v>
      </c>
      <c r="F129" s="247" t="s">
        <v>2132</v>
      </c>
      <c r="G129" s="247" t="s">
        <v>1344</v>
      </c>
      <c r="H129" s="247" t="s">
        <v>1999</v>
      </c>
      <c r="I129" s="247" t="s">
        <v>2133</v>
      </c>
      <c r="J129" s="247">
        <v>87</v>
      </c>
      <c r="K129" s="247">
        <v>87.1</v>
      </c>
      <c r="L129" s="249" t="s">
        <v>789</v>
      </c>
      <c r="M129" s="249" t="s">
        <v>929</v>
      </c>
      <c r="N129" s="248">
        <v>3345.36</v>
      </c>
      <c r="O129" s="248">
        <v>3345.36</v>
      </c>
      <c r="P129" s="247" t="s">
        <v>1398</v>
      </c>
      <c r="Q129" s="247" t="s">
        <v>87</v>
      </c>
    </row>
    <row r="130" spans="1:17" x14ac:dyDescent="0.25">
      <c r="A130" s="247" t="s">
        <v>646</v>
      </c>
      <c r="B130" s="247" t="s">
        <v>265</v>
      </c>
      <c r="C130" s="247" t="s">
        <v>1343</v>
      </c>
      <c r="D130" s="247" t="s">
        <v>926</v>
      </c>
      <c r="E130" s="247" t="s">
        <v>1302</v>
      </c>
      <c r="F130" s="247" t="s">
        <v>2132</v>
      </c>
      <c r="G130" s="247" t="s">
        <v>1344</v>
      </c>
      <c r="H130" s="247" t="s">
        <v>1999</v>
      </c>
      <c r="I130" s="247" t="s">
        <v>2133</v>
      </c>
      <c r="J130" s="247">
        <v>87</v>
      </c>
      <c r="K130" s="247">
        <v>87.1</v>
      </c>
      <c r="L130" s="249" t="s">
        <v>791</v>
      </c>
      <c r="M130" s="249" t="s">
        <v>929</v>
      </c>
      <c r="N130" s="248">
        <v>3345.36</v>
      </c>
      <c r="O130" s="248">
        <v>6690.72</v>
      </c>
      <c r="P130" s="247" t="s">
        <v>1398</v>
      </c>
      <c r="Q130" s="247" t="s">
        <v>88</v>
      </c>
    </row>
    <row r="131" spans="1:17" x14ac:dyDescent="0.25">
      <c r="A131" s="247" t="s">
        <v>646</v>
      </c>
      <c r="B131" s="247" t="s">
        <v>265</v>
      </c>
      <c r="C131" s="247" t="s">
        <v>1343</v>
      </c>
      <c r="D131" s="247" t="s">
        <v>926</v>
      </c>
      <c r="E131" s="247" t="s">
        <v>1302</v>
      </c>
      <c r="F131" s="247" t="s">
        <v>2132</v>
      </c>
      <c r="G131" s="247" t="s">
        <v>1344</v>
      </c>
      <c r="H131" s="247" t="s">
        <v>1999</v>
      </c>
      <c r="I131" s="247" t="s">
        <v>2133</v>
      </c>
      <c r="J131" s="247">
        <v>87</v>
      </c>
      <c r="K131" s="247">
        <v>87.1</v>
      </c>
      <c r="L131" s="249" t="s">
        <v>935</v>
      </c>
      <c r="M131" s="249" t="s">
        <v>929</v>
      </c>
      <c r="N131" s="248">
        <v>3345.36</v>
      </c>
      <c r="O131" s="248">
        <v>10036.08</v>
      </c>
      <c r="P131" s="247" t="s">
        <v>1398</v>
      </c>
      <c r="Q131" s="247" t="s">
        <v>89</v>
      </c>
    </row>
    <row r="132" spans="1:17" x14ac:dyDescent="0.25">
      <c r="A132" s="247" t="s">
        <v>646</v>
      </c>
      <c r="B132" s="247" t="s">
        <v>265</v>
      </c>
      <c r="C132" s="247" t="s">
        <v>1343</v>
      </c>
      <c r="D132" s="247" t="s">
        <v>926</v>
      </c>
      <c r="E132" s="247" t="s">
        <v>1302</v>
      </c>
      <c r="F132" s="247" t="s">
        <v>2132</v>
      </c>
      <c r="G132" s="247" t="s">
        <v>1344</v>
      </c>
      <c r="H132" s="247" t="s">
        <v>1999</v>
      </c>
      <c r="I132" s="247" t="s">
        <v>2133</v>
      </c>
      <c r="J132" s="247">
        <v>87</v>
      </c>
      <c r="K132" s="247">
        <v>87.1</v>
      </c>
      <c r="L132" s="249" t="s">
        <v>936</v>
      </c>
      <c r="M132" s="249" t="s">
        <v>929</v>
      </c>
      <c r="N132" s="248">
        <v>3345.36</v>
      </c>
      <c r="O132" s="248">
        <v>13381.44</v>
      </c>
      <c r="P132" s="247" t="s">
        <v>1398</v>
      </c>
      <c r="Q132" s="247" t="s">
        <v>90</v>
      </c>
    </row>
    <row r="133" spans="1:17" x14ac:dyDescent="0.25">
      <c r="A133" s="247" t="s">
        <v>646</v>
      </c>
      <c r="B133" s="247" t="s">
        <v>265</v>
      </c>
      <c r="C133" s="247" t="s">
        <v>1343</v>
      </c>
      <c r="D133" s="247" t="s">
        <v>926</v>
      </c>
      <c r="E133" s="247" t="s">
        <v>1302</v>
      </c>
      <c r="F133" s="247" t="s">
        <v>2132</v>
      </c>
      <c r="G133" s="247" t="s">
        <v>1344</v>
      </c>
      <c r="H133" s="247" t="s">
        <v>1999</v>
      </c>
      <c r="I133" s="247" t="s">
        <v>2133</v>
      </c>
      <c r="J133" s="247">
        <v>87</v>
      </c>
      <c r="K133" s="247">
        <v>87.1</v>
      </c>
      <c r="L133" s="249" t="s">
        <v>937</v>
      </c>
      <c r="M133" s="249" t="s">
        <v>929</v>
      </c>
      <c r="N133" s="248">
        <v>3345.36</v>
      </c>
      <c r="O133" s="248">
        <v>16726.8</v>
      </c>
      <c r="P133" s="247" t="s">
        <v>1398</v>
      </c>
      <c r="Q133" s="247" t="s">
        <v>91</v>
      </c>
    </row>
    <row r="134" spans="1:17" x14ac:dyDescent="0.25">
      <c r="A134" s="247" t="s">
        <v>646</v>
      </c>
      <c r="B134" s="247" t="s">
        <v>265</v>
      </c>
      <c r="C134" s="247" t="s">
        <v>1343</v>
      </c>
      <c r="D134" s="247" t="s">
        <v>926</v>
      </c>
      <c r="E134" s="247" t="s">
        <v>1302</v>
      </c>
      <c r="F134" s="247" t="s">
        <v>2132</v>
      </c>
      <c r="G134" s="247" t="s">
        <v>1344</v>
      </c>
      <c r="H134" s="247" t="s">
        <v>1999</v>
      </c>
      <c r="I134" s="247" t="s">
        <v>2133</v>
      </c>
      <c r="J134" s="247">
        <v>87</v>
      </c>
      <c r="K134" s="247">
        <v>87.1</v>
      </c>
      <c r="L134" s="249" t="s">
        <v>938</v>
      </c>
      <c r="M134" s="249" t="s">
        <v>929</v>
      </c>
      <c r="N134" s="248">
        <v>2787.8</v>
      </c>
      <c r="O134" s="248">
        <v>19514.599999999999</v>
      </c>
      <c r="P134" s="247" t="s">
        <v>1398</v>
      </c>
      <c r="Q134" s="247" t="s">
        <v>92</v>
      </c>
    </row>
    <row r="135" spans="1:17" x14ac:dyDescent="0.25">
      <c r="A135" s="247" t="s">
        <v>646</v>
      </c>
      <c r="B135" s="247" t="s">
        <v>265</v>
      </c>
      <c r="C135" s="247" t="s">
        <v>1343</v>
      </c>
      <c r="D135" s="247" t="s">
        <v>926</v>
      </c>
      <c r="E135" s="247" t="s">
        <v>1302</v>
      </c>
      <c r="F135" s="247" t="s">
        <v>2132</v>
      </c>
      <c r="G135" s="247" t="s">
        <v>1344</v>
      </c>
      <c r="H135" s="247" t="s">
        <v>1999</v>
      </c>
      <c r="I135" s="247" t="s">
        <v>2133</v>
      </c>
      <c r="J135" s="247">
        <v>87</v>
      </c>
      <c r="K135" s="247">
        <v>87.1</v>
      </c>
      <c r="L135" s="249" t="s">
        <v>939</v>
      </c>
      <c r="M135" s="249" t="s">
        <v>929</v>
      </c>
      <c r="N135" s="248">
        <v>2787.8</v>
      </c>
      <c r="O135" s="248">
        <v>22302.400000000001</v>
      </c>
      <c r="P135" s="247" t="s">
        <v>1398</v>
      </c>
      <c r="Q135" s="247" t="s">
        <v>93</v>
      </c>
    </row>
    <row r="136" spans="1:17" x14ac:dyDescent="0.25">
      <c r="A136" s="247" t="s">
        <v>646</v>
      </c>
      <c r="B136" s="247" t="s">
        <v>265</v>
      </c>
      <c r="C136" s="247" t="s">
        <v>1343</v>
      </c>
      <c r="D136" s="247" t="s">
        <v>926</v>
      </c>
      <c r="E136" s="247" t="s">
        <v>1302</v>
      </c>
      <c r="F136" s="247" t="s">
        <v>2132</v>
      </c>
      <c r="G136" s="247" t="s">
        <v>1344</v>
      </c>
      <c r="H136" s="247" t="s">
        <v>1999</v>
      </c>
      <c r="I136" s="247" t="s">
        <v>2133</v>
      </c>
      <c r="J136" s="247">
        <v>87</v>
      </c>
      <c r="K136" s="247">
        <v>87.1</v>
      </c>
      <c r="L136" s="249" t="s">
        <v>940</v>
      </c>
      <c r="M136" s="249" t="s">
        <v>929</v>
      </c>
      <c r="N136" s="248">
        <v>2787.8</v>
      </c>
      <c r="O136" s="248">
        <v>25090.2</v>
      </c>
      <c r="P136" s="247" t="s">
        <v>1398</v>
      </c>
      <c r="Q136" s="247" t="s">
        <v>94</v>
      </c>
    </row>
    <row r="137" spans="1:17" x14ac:dyDescent="0.25">
      <c r="A137" s="247" t="s">
        <v>646</v>
      </c>
      <c r="B137" s="247" t="s">
        <v>265</v>
      </c>
      <c r="C137" s="247" t="s">
        <v>1343</v>
      </c>
      <c r="D137" s="247" t="s">
        <v>926</v>
      </c>
      <c r="E137" s="247" t="s">
        <v>1302</v>
      </c>
      <c r="F137" s="247" t="s">
        <v>2132</v>
      </c>
      <c r="G137" s="247" t="s">
        <v>1344</v>
      </c>
      <c r="H137" s="247" t="s">
        <v>1999</v>
      </c>
      <c r="I137" s="247" t="s">
        <v>2133</v>
      </c>
      <c r="J137" s="247">
        <v>87</v>
      </c>
      <c r="K137" s="247">
        <v>87.1</v>
      </c>
      <c r="L137" s="249" t="s">
        <v>642</v>
      </c>
      <c r="M137" s="249" t="s">
        <v>929</v>
      </c>
      <c r="N137" s="248">
        <v>2787.8</v>
      </c>
      <c r="O137" s="248">
        <v>27878</v>
      </c>
      <c r="P137" s="247" t="s">
        <v>1398</v>
      </c>
      <c r="Q137" s="247" t="s">
        <v>95</v>
      </c>
    </row>
    <row r="138" spans="1:17" x14ac:dyDescent="0.25">
      <c r="A138" s="247"/>
      <c r="B138" s="247"/>
      <c r="C138" s="247"/>
      <c r="D138" s="247"/>
      <c r="E138" s="247"/>
      <c r="F138" s="247"/>
      <c r="G138" s="247"/>
      <c r="H138" s="247"/>
      <c r="I138" s="247" t="s">
        <v>3151</v>
      </c>
      <c r="J138" s="247"/>
      <c r="K138" s="247"/>
      <c r="L138" s="249"/>
      <c r="M138" s="249"/>
      <c r="N138" s="248">
        <f>SUM(N126:N137)</f>
        <v>39688.62000000001</v>
      </c>
      <c r="O138" s="248"/>
      <c r="P138" s="247"/>
      <c r="Q138" s="247"/>
    </row>
    <row r="139" spans="1:17" x14ac:dyDescent="0.25">
      <c r="A139" s="247"/>
      <c r="B139" s="247"/>
      <c r="C139" s="247"/>
      <c r="D139" s="247"/>
      <c r="E139" s="247"/>
      <c r="F139" s="247"/>
      <c r="G139" s="247"/>
      <c r="H139" s="247"/>
      <c r="I139" s="247" t="s">
        <v>3152</v>
      </c>
      <c r="J139" s="247"/>
      <c r="K139" s="247"/>
      <c r="L139" s="249"/>
      <c r="M139" s="249"/>
      <c r="N139" s="561">
        <v>0.2379</v>
      </c>
      <c r="O139" s="248"/>
      <c r="P139" s="247"/>
      <c r="Q139" s="247"/>
    </row>
    <row r="140" spans="1:17" x14ac:dyDescent="0.25">
      <c r="A140" s="247"/>
      <c r="B140" s="247"/>
      <c r="C140" s="247"/>
      <c r="D140" s="247"/>
      <c r="E140" s="247"/>
      <c r="F140" s="247"/>
      <c r="G140" s="247"/>
      <c r="H140" s="247"/>
      <c r="I140" s="247" t="s">
        <v>3143</v>
      </c>
      <c r="J140" s="247"/>
      <c r="K140" s="247"/>
      <c r="L140" s="249"/>
      <c r="M140" s="249"/>
      <c r="N140" s="248">
        <f>+N138*N139</f>
        <v>9441.9226980000021</v>
      </c>
      <c r="O140" s="248"/>
      <c r="P140" s="247"/>
      <c r="Q140" s="247"/>
    </row>
    <row r="141" spans="1:17" x14ac:dyDescent="0.25">
      <c r="A141" s="247"/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9"/>
      <c r="M141" s="249"/>
      <c r="N141" s="248"/>
      <c r="O141" s="248"/>
      <c r="P141" s="247"/>
      <c r="Q141" s="247"/>
    </row>
    <row r="142" spans="1:17" x14ac:dyDescent="0.25">
      <c r="A142" s="247" t="s">
        <v>646</v>
      </c>
      <c r="B142" s="247" t="s">
        <v>265</v>
      </c>
      <c r="C142" s="247" t="s">
        <v>1343</v>
      </c>
      <c r="D142" s="247" t="s">
        <v>926</v>
      </c>
      <c r="E142" s="247" t="s">
        <v>1311</v>
      </c>
      <c r="F142" s="247" t="s">
        <v>2154</v>
      </c>
      <c r="G142" s="247" t="s">
        <v>1344</v>
      </c>
      <c r="H142" s="247" t="s">
        <v>2010</v>
      </c>
      <c r="I142" s="247" t="s">
        <v>2155</v>
      </c>
      <c r="J142" s="247">
        <v>87</v>
      </c>
      <c r="K142" s="247">
        <v>87.2</v>
      </c>
      <c r="L142" s="249" t="s">
        <v>646</v>
      </c>
      <c r="M142" s="249" t="s">
        <v>933</v>
      </c>
      <c r="N142" s="248">
        <v>508.48</v>
      </c>
      <c r="O142" s="248">
        <v>508.48</v>
      </c>
      <c r="P142" s="247" t="s">
        <v>1410</v>
      </c>
      <c r="Q142" s="247" t="s">
        <v>84</v>
      </c>
    </row>
    <row r="143" spans="1:17" x14ac:dyDescent="0.25">
      <c r="A143" s="247" t="s">
        <v>646</v>
      </c>
      <c r="B143" s="247" t="s">
        <v>265</v>
      </c>
      <c r="C143" s="247" t="s">
        <v>1343</v>
      </c>
      <c r="D143" s="247" t="s">
        <v>926</v>
      </c>
      <c r="E143" s="247" t="s">
        <v>1311</v>
      </c>
      <c r="F143" s="247" t="s">
        <v>2154</v>
      </c>
      <c r="G143" s="247" t="s">
        <v>1344</v>
      </c>
      <c r="H143" s="247" t="s">
        <v>2010</v>
      </c>
      <c r="I143" s="247" t="s">
        <v>2155</v>
      </c>
      <c r="J143" s="247">
        <v>87</v>
      </c>
      <c r="K143" s="247">
        <v>87.2</v>
      </c>
      <c r="L143" s="249" t="s">
        <v>650</v>
      </c>
      <c r="M143" s="249" t="s">
        <v>933</v>
      </c>
      <c r="N143" s="248">
        <v>367.24</v>
      </c>
      <c r="O143" s="248">
        <v>875.72</v>
      </c>
      <c r="P143" s="247" t="s">
        <v>1410</v>
      </c>
      <c r="Q143" s="247" t="s">
        <v>85</v>
      </c>
    </row>
    <row r="144" spans="1:17" x14ac:dyDescent="0.25">
      <c r="A144" s="247" t="s">
        <v>646</v>
      </c>
      <c r="B144" s="247" t="s">
        <v>265</v>
      </c>
      <c r="C144" s="247" t="s">
        <v>1343</v>
      </c>
      <c r="D144" s="247" t="s">
        <v>926</v>
      </c>
      <c r="E144" s="247" t="s">
        <v>1311</v>
      </c>
      <c r="F144" s="247" t="s">
        <v>2154</v>
      </c>
      <c r="G144" s="247" t="s">
        <v>1344</v>
      </c>
      <c r="H144" s="247" t="s">
        <v>2010</v>
      </c>
      <c r="I144" s="247" t="s">
        <v>2155</v>
      </c>
      <c r="J144" s="247">
        <v>87</v>
      </c>
      <c r="K144" s="247">
        <v>87.2</v>
      </c>
      <c r="L144" s="249" t="s">
        <v>652</v>
      </c>
      <c r="M144" s="249" t="s">
        <v>933</v>
      </c>
      <c r="N144" s="248">
        <v>1092.71</v>
      </c>
      <c r="O144" s="248">
        <v>1968.43</v>
      </c>
      <c r="P144" s="247" t="s">
        <v>1410</v>
      </c>
      <c r="Q144" s="247" t="s">
        <v>86</v>
      </c>
    </row>
    <row r="145" spans="1:17" x14ac:dyDescent="0.25">
      <c r="A145" s="247" t="s">
        <v>646</v>
      </c>
      <c r="B145" s="247" t="s">
        <v>265</v>
      </c>
      <c r="C145" s="247" t="s">
        <v>1343</v>
      </c>
      <c r="D145" s="247" t="s">
        <v>926</v>
      </c>
      <c r="E145" s="247" t="s">
        <v>1311</v>
      </c>
      <c r="F145" s="247" t="s">
        <v>2154</v>
      </c>
      <c r="G145" s="247" t="s">
        <v>1344</v>
      </c>
      <c r="H145" s="247" t="s">
        <v>2010</v>
      </c>
      <c r="I145" s="247" t="s">
        <v>2155</v>
      </c>
      <c r="J145" s="247">
        <v>87</v>
      </c>
      <c r="K145" s="247">
        <v>87.2</v>
      </c>
      <c r="L145" s="249" t="s">
        <v>789</v>
      </c>
      <c r="M145" s="249" t="s">
        <v>929</v>
      </c>
      <c r="N145" s="248">
        <v>557.55999999999995</v>
      </c>
      <c r="O145" s="248">
        <v>557.55999999999995</v>
      </c>
      <c r="P145" s="247" t="s">
        <v>1410</v>
      </c>
      <c r="Q145" s="247" t="s">
        <v>87</v>
      </c>
    </row>
    <row r="146" spans="1:17" x14ac:dyDescent="0.25">
      <c r="A146" s="247" t="s">
        <v>646</v>
      </c>
      <c r="B146" s="247" t="s">
        <v>265</v>
      </c>
      <c r="C146" s="247" t="s">
        <v>1343</v>
      </c>
      <c r="D146" s="247" t="s">
        <v>926</v>
      </c>
      <c r="E146" s="247" t="s">
        <v>1311</v>
      </c>
      <c r="F146" s="247" t="s">
        <v>2154</v>
      </c>
      <c r="G146" s="247" t="s">
        <v>1344</v>
      </c>
      <c r="H146" s="247" t="s">
        <v>2010</v>
      </c>
      <c r="I146" s="247" t="s">
        <v>2155</v>
      </c>
      <c r="J146" s="247">
        <v>87</v>
      </c>
      <c r="K146" s="247">
        <v>87.2</v>
      </c>
      <c r="L146" s="249" t="s">
        <v>791</v>
      </c>
      <c r="M146" s="249" t="s">
        <v>929</v>
      </c>
      <c r="N146" s="248">
        <v>557.55999999999995</v>
      </c>
      <c r="O146" s="248">
        <v>1115.1199999999999</v>
      </c>
      <c r="P146" s="247" t="s">
        <v>1410</v>
      </c>
      <c r="Q146" s="247" t="s">
        <v>88</v>
      </c>
    </row>
    <row r="147" spans="1:17" x14ac:dyDescent="0.25">
      <c r="A147" s="247" t="s">
        <v>646</v>
      </c>
      <c r="B147" s="247" t="s">
        <v>265</v>
      </c>
      <c r="C147" s="247" t="s">
        <v>1343</v>
      </c>
      <c r="D147" s="247" t="s">
        <v>926</v>
      </c>
      <c r="E147" s="247" t="s">
        <v>1311</v>
      </c>
      <c r="F147" s="247" t="s">
        <v>2154</v>
      </c>
      <c r="G147" s="247" t="s">
        <v>1344</v>
      </c>
      <c r="H147" s="247" t="s">
        <v>2010</v>
      </c>
      <c r="I147" s="247" t="s">
        <v>2155</v>
      </c>
      <c r="J147" s="247">
        <v>87</v>
      </c>
      <c r="K147" s="247">
        <v>87.2</v>
      </c>
      <c r="L147" s="249" t="s">
        <v>935</v>
      </c>
      <c r="M147" s="249" t="s">
        <v>929</v>
      </c>
      <c r="N147" s="248">
        <v>557.55999999999995</v>
      </c>
      <c r="O147" s="248">
        <v>1672.68</v>
      </c>
      <c r="P147" s="247" t="s">
        <v>1410</v>
      </c>
      <c r="Q147" s="247" t="s">
        <v>89</v>
      </c>
    </row>
    <row r="148" spans="1:17" x14ac:dyDescent="0.25">
      <c r="A148" s="247" t="s">
        <v>646</v>
      </c>
      <c r="B148" s="247" t="s">
        <v>265</v>
      </c>
      <c r="C148" s="247" t="s">
        <v>1343</v>
      </c>
      <c r="D148" s="247" t="s">
        <v>926</v>
      </c>
      <c r="E148" s="247" t="s">
        <v>1311</v>
      </c>
      <c r="F148" s="247" t="s">
        <v>2154</v>
      </c>
      <c r="G148" s="247" t="s">
        <v>1344</v>
      </c>
      <c r="H148" s="247" t="s">
        <v>2010</v>
      </c>
      <c r="I148" s="247" t="s">
        <v>2155</v>
      </c>
      <c r="J148" s="247">
        <v>87</v>
      </c>
      <c r="K148" s="247">
        <v>87.2</v>
      </c>
      <c r="L148" s="249" t="s">
        <v>936</v>
      </c>
      <c r="M148" s="249" t="s">
        <v>929</v>
      </c>
      <c r="N148" s="248">
        <v>557.55999999999995</v>
      </c>
      <c r="O148" s="248">
        <v>2230.2399999999998</v>
      </c>
      <c r="P148" s="247" t="s">
        <v>1410</v>
      </c>
      <c r="Q148" s="247" t="s">
        <v>90</v>
      </c>
    </row>
    <row r="149" spans="1:17" x14ac:dyDescent="0.25">
      <c r="A149" s="247" t="s">
        <v>646</v>
      </c>
      <c r="B149" s="247" t="s">
        <v>265</v>
      </c>
      <c r="C149" s="247" t="s">
        <v>1343</v>
      </c>
      <c r="D149" s="247" t="s">
        <v>926</v>
      </c>
      <c r="E149" s="247" t="s">
        <v>1311</v>
      </c>
      <c r="F149" s="247" t="s">
        <v>2154</v>
      </c>
      <c r="G149" s="247" t="s">
        <v>1344</v>
      </c>
      <c r="H149" s="247" t="s">
        <v>2010</v>
      </c>
      <c r="I149" s="247" t="s">
        <v>2155</v>
      </c>
      <c r="J149" s="247">
        <v>87</v>
      </c>
      <c r="K149" s="247">
        <v>87.2</v>
      </c>
      <c r="L149" s="249" t="s">
        <v>937</v>
      </c>
      <c r="M149" s="249" t="s">
        <v>929</v>
      </c>
      <c r="N149" s="248">
        <v>557.55999999999995</v>
      </c>
      <c r="O149" s="248">
        <v>2787.8</v>
      </c>
      <c r="P149" s="247" t="s">
        <v>1410</v>
      </c>
      <c r="Q149" s="247" t="s">
        <v>91</v>
      </c>
    </row>
    <row r="150" spans="1:17" x14ac:dyDescent="0.25">
      <c r="A150" s="247" t="s">
        <v>646</v>
      </c>
      <c r="B150" s="247" t="s">
        <v>265</v>
      </c>
      <c r="C150" s="247" t="s">
        <v>1343</v>
      </c>
      <c r="D150" s="247" t="s">
        <v>926</v>
      </c>
      <c r="E150" s="247" t="s">
        <v>1311</v>
      </c>
      <c r="F150" s="247" t="s">
        <v>2154</v>
      </c>
      <c r="G150" s="247" t="s">
        <v>1344</v>
      </c>
      <c r="H150" s="247" t="s">
        <v>2010</v>
      </c>
      <c r="I150" s="247" t="s">
        <v>2155</v>
      </c>
      <c r="J150" s="247">
        <v>87</v>
      </c>
      <c r="K150" s="247">
        <v>87.2</v>
      </c>
      <c r="L150" s="249" t="s">
        <v>938</v>
      </c>
      <c r="M150" s="249" t="s">
        <v>929</v>
      </c>
      <c r="N150" s="248">
        <v>557.55999999999995</v>
      </c>
      <c r="O150" s="248">
        <v>3345.36</v>
      </c>
      <c r="P150" s="247" t="s">
        <v>1410</v>
      </c>
      <c r="Q150" s="247" t="s">
        <v>92</v>
      </c>
    </row>
    <row r="151" spans="1:17" x14ac:dyDescent="0.25">
      <c r="A151" s="247" t="s">
        <v>646</v>
      </c>
      <c r="B151" s="247" t="s">
        <v>265</v>
      </c>
      <c r="C151" s="247" t="s">
        <v>1343</v>
      </c>
      <c r="D151" s="247" t="s">
        <v>926</v>
      </c>
      <c r="E151" s="247" t="s">
        <v>1311</v>
      </c>
      <c r="F151" s="247" t="s">
        <v>2154</v>
      </c>
      <c r="G151" s="247" t="s">
        <v>1344</v>
      </c>
      <c r="H151" s="247" t="s">
        <v>2010</v>
      </c>
      <c r="I151" s="247" t="s">
        <v>2155</v>
      </c>
      <c r="J151" s="247">
        <v>87</v>
      </c>
      <c r="K151" s="247">
        <v>87.2</v>
      </c>
      <c r="L151" s="249" t="s">
        <v>939</v>
      </c>
      <c r="M151" s="249" t="s">
        <v>929</v>
      </c>
      <c r="N151" s="248">
        <v>557.55999999999995</v>
      </c>
      <c r="O151" s="248">
        <v>3902.92</v>
      </c>
      <c r="P151" s="247" t="s">
        <v>1410</v>
      </c>
      <c r="Q151" s="247" t="s">
        <v>93</v>
      </c>
    </row>
    <row r="152" spans="1:17" x14ac:dyDescent="0.25">
      <c r="A152" s="247" t="s">
        <v>646</v>
      </c>
      <c r="B152" s="247" t="s">
        <v>265</v>
      </c>
      <c r="C152" s="247" t="s">
        <v>1343</v>
      </c>
      <c r="D152" s="247" t="s">
        <v>926</v>
      </c>
      <c r="E152" s="247" t="s">
        <v>1311</v>
      </c>
      <c r="F152" s="247" t="s">
        <v>2154</v>
      </c>
      <c r="G152" s="247" t="s">
        <v>1344</v>
      </c>
      <c r="H152" s="247" t="s">
        <v>2010</v>
      </c>
      <c r="I152" s="247" t="s">
        <v>2155</v>
      </c>
      <c r="J152" s="247">
        <v>87</v>
      </c>
      <c r="K152" s="247">
        <v>87.2</v>
      </c>
      <c r="L152" s="249" t="s">
        <v>940</v>
      </c>
      <c r="M152" s="249" t="s">
        <v>929</v>
      </c>
      <c r="N152" s="248">
        <v>557.55999999999995</v>
      </c>
      <c r="O152" s="248">
        <v>4460.4799999999996</v>
      </c>
      <c r="P152" s="247" t="s">
        <v>1410</v>
      </c>
      <c r="Q152" s="247" t="s">
        <v>94</v>
      </c>
    </row>
    <row r="153" spans="1:17" x14ac:dyDescent="0.25">
      <c r="A153" s="247" t="s">
        <v>646</v>
      </c>
      <c r="B153" s="247" t="s">
        <v>265</v>
      </c>
      <c r="C153" s="247" t="s">
        <v>1343</v>
      </c>
      <c r="D153" s="247" t="s">
        <v>926</v>
      </c>
      <c r="E153" s="247" t="s">
        <v>1311</v>
      </c>
      <c r="F153" s="247" t="s">
        <v>2154</v>
      </c>
      <c r="G153" s="247" t="s">
        <v>1344</v>
      </c>
      <c r="H153" s="247" t="s">
        <v>2010</v>
      </c>
      <c r="I153" s="247" t="s">
        <v>2155</v>
      </c>
      <c r="J153" s="247">
        <v>87</v>
      </c>
      <c r="K153" s="247">
        <v>87.2</v>
      </c>
      <c r="L153" s="249" t="s">
        <v>642</v>
      </c>
      <c r="M153" s="249" t="s">
        <v>929</v>
      </c>
      <c r="N153" s="248">
        <v>557.55999999999995</v>
      </c>
      <c r="O153" s="248">
        <v>5018.04</v>
      </c>
      <c r="P153" s="247" t="s">
        <v>1410</v>
      </c>
      <c r="Q153" s="247" t="s">
        <v>95</v>
      </c>
    </row>
    <row r="154" spans="1:17" x14ac:dyDescent="0.25">
      <c r="A154" s="247" t="s">
        <v>646</v>
      </c>
      <c r="B154" s="247" t="s">
        <v>265</v>
      </c>
      <c r="C154" s="247" t="s">
        <v>1343</v>
      </c>
      <c r="D154" s="247" t="s">
        <v>926</v>
      </c>
      <c r="E154" s="247" t="s">
        <v>1314</v>
      </c>
      <c r="F154" s="247" t="s">
        <v>2172</v>
      </c>
      <c r="G154" s="247" t="s">
        <v>1344</v>
      </c>
      <c r="H154" s="247" t="s">
        <v>2015</v>
      </c>
      <c r="I154" s="247" t="s">
        <v>2173</v>
      </c>
      <c r="J154" s="247">
        <v>87</v>
      </c>
      <c r="K154" s="247">
        <v>87.2</v>
      </c>
      <c r="L154" s="249" t="s">
        <v>646</v>
      </c>
      <c r="M154" s="249" t="s">
        <v>933</v>
      </c>
      <c r="N154" s="248">
        <v>1016.97</v>
      </c>
      <c r="O154" s="248">
        <v>1016.97</v>
      </c>
      <c r="P154" s="247" t="s">
        <v>1419</v>
      </c>
      <c r="Q154" s="247" t="s">
        <v>84</v>
      </c>
    </row>
    <row r="155" spans="1:17" x14ac:dyDescent="0.25">
      <c r="A155" s="247" t="s">
        <v>646</v>
      </c>
      <c r="B155" s="247" t="s">
        <v>265</v>
      </c>
      <c r="C155" s="247" t="s">
        <v>1343</v>
      </c>
      <c r="D155" s="247" t="s">
        <v>926</v>
      </c>
      <c r="E155" s="247" t="s">
        <v>1314</v>
      </c>
      <c r="F155" s="247" t="s">
        <v>2172</v>
      </c>
      <c r="G155" s="247" t="s">
        <v>1344</v>
      </c>
      <c r="H155" s="247" t="s">
        <v>2015</v>
      </c>
      <c r="I155" s="247" t="s">
        <v>2173</v>
      </c>
      <c r="J155" s="247">
        <v>87</v>
      </c>
      <c r="K155" s="247">
        <v>87.2</v>
      </c>
      <c r="L155" s="249" t="s">
        <v>650</v>
      </c>
      <c r="M155" s="249" t="s">
        <v>933</v>
      </c>
      <c r="N155" s="248">
        <v>734.48</v>
      </c>
      <c r="O155" s="248">
        <v>1751.45</v>
      </c>
      <c r="P155" s="247" t="s">
        <v>1419</v>
      </c>
      <c r="Q155" s="247" t="s">
        <v>85</v>
      </c>
    </row>
    <row r="156" spans="1:17" x14ac:dyDescent="0.25">
      <c r="A156" s="247" t="s">
        <v>646</v>
      </c>
      <c r="B156" s="247" t="s">
        <v>265</v>
      </c>
      <c r="C156" s="247" t="s">
        <v>1343</v>
      </c>
      <c r="D156" s="247" t="s">
        <v>926</v>
      </c>
      <c r="E156" s="247" t="s">
        <v>1314</v>
      </c>
      <c r="F156" s="247" t="s">
        <v>2172</v>
      </c>
      <c r="G156" s="247" t="s">
        <v>1344</v>
      </c>
      <c r="H156" s="247" t="s">
        <v>2015</v>
      </c>
      <c r="I156" s="247" t="s">
        <v>2173</v>
      </c>
      <c r="J156" s="247">
        <v>87</v>
      </c>
      <c r="K156" s="247">
        <v>87.2</v>
      </c>
      <c r="L156" s="249" t="s">
        <v>652</v>
      </c>
      <c r="M156" s="249" t="s">
        <v>933</v>
      </c>
      <c r="N156" s="248">
        <v>2185.42</v>
      </c>
      <c r="O156" s="248">
        <v>3936.87</v>
      </c>
      <c r="P156" s="247" t="s">
        <v>1419</v>
      </c>
      <c r="Q156" s="247" t="s">
        <v>86</v>
      </c>
    </row>
    <row r="157" spans="1:17" x14ac:dyDescent="0.25">
      <c r="A157" s="247" t="s">
        <v>646</v>
      </c>
      <c r="B157" s="247" t="s">
        <v>265</v>
      </c>
      <c r="C157" s="247" t="s">
        <v>1343</v>
      </c>
      <c r="D157" s="247" t="s">
        <v>926</v>
      </c>
      <c r="E157" s="247" t="s">
        <v>1314</v>
      </c>
      <c r="F157" s="247" t="s">
        <v>2172</v>
      </c>
      <c r="G157" s="247" t="s">
        <v>1344</v>
      </c>
      <c r="H157" s="247" t="s">
        <v>2015</v>
      </c>
      <c r="I157" s="247" t="s">
        <v>2173</v>
      </c>
      <c r="J157" s="247">
        <v>87</v>
      </c>
      <c r="K157" s="247">
        <v>87.2</v>
      </c>
      <c r="L157" s="249" t="s">
        <v>789</v>
      </c>
      <c r="M157" s="249" t="s">
        <v>929</v>
      </c>
      <c r="N157" s="248">
        <v>1115.1199999999999</v>
      </c>
      <c r="O157" s="248">
        <v>1115.1199999999999</v>
      </c>
      <c r="P157" s="247" t="s">
        <v>1419</v>
      </c>
      <c r="Q157" s="247" t="s">
        <v>87</v>
      </c>
    </row>
    <row r="158" spans="1:17" x14ac:dyDescent="0.25">
      <c r="A158" s="247" t="s">
        <v>646</v>
      </c>
      <c r="B158" s="247" t="s">
        <v>265</v>
      </c>
      <c r="C158" s="247" t="s">
        <v>1343</v>
      </c>
      <c r="D158" s="247" t="s">
        <v>926</v>
      </c>
      <c r="E158" s="247" t="s">
        <v>1314</v>
      </c>
      <c r="F158" s="247" t="s">
        <v>2172</v>
      </c>
      <c r="G158" s="247" t="s">
        <v>1344</v>
      </c>
      <c r="H158" s="247" t="s">
        <v>2015</v>
      </c>
      <c r="I158" s="247" t="s">
        <v>2173</v>
      </c>
      <c r="J158" s="247">
        <v>87</v>
      </c>
      <c r="K158" s="247">
        <v>87.2</v>
      </c>
      <c r="L158" s="249" t="s">
        <v>791</v>
      </c>
      <c r="M158" s="249" t="s">
        <v>929</v>
      </c>
      <c r="N158" s="248">
        <v>1115.1199999999999</v>
      </c>
      <c r="O158" s="248">
        <v>2230.2399999999998</v>
      </c>
      <c r="P158" s="247" t="s">
        <v>1419</v>
      </c>
      <c r="Q158" s="247" t="s">
        <v>88</v>
      </c>
    </row>
    <row r="159" spans="1:17" x14ac:dyDescent="0.25">
      <c r="A159" s="247" t="s">
        <v>646</v>
      </c>
      <c r="B159" s="247" t="s">
        <v>265</v>
      </c>
      <c r="C159" s="247" t="s">
        <v>1343</v>
      </c>
      <c r="D159" s="247" t="s">
        <v>926</v>
      </c>
      <c r="E159" s="247" t="s">
        <v>1314</v>
      </c>
      <c r="F159" s="247" t="s">
        <v>2172</v>
      </c>
      <c r="G159" s="247" t="s">
        <v>1344</v>
      </c>
      <c r="H159" s="247" t="s">
        <v>2015</v>
      </c>
      <c r="I159" s="247" t="s">
        <v>2173</v>
      </c>
      <c r="J159" s="247">
        <v>87</v>
      </c>
      <c r="K159" s="247">
        <v>87.2</v>
      </c>
      <c r="L159" s="249" t="s">
        <v>935</v>
      </c>
      <c r="M159" s="249" t="s">
        <v>929</v>
      </c>
      <c r="N159" s="248">
        <v>1115.1199999999999</v>
      </c>
      <c r="O159" s="248">
        <v>3345.36</v>
      </c>
      <c r="P159" s="247" t="s">
        <v>1419</v>
      </c>
      <c r="Q159" s="247" t="s">
        <v>89</v>
      </c>
    </row>
    <row r="160" spans="1:17" x14ac:dyDescent="0.25">
      <c r="A160" s="247" t="s">
        <v>646</v>
      </c>
      <c r="B160" s="247" t="s">
        <v>265</v>
      </c>
      <c r="C160" s="247" t="s">
        <v>1343</v>
      </c>
      <c r="D160" s="247" t="s">
        <v>926</v>
      </c>
      <c r="E160" s="247" t="s">
        <v>1314</v>
      </c>
      <c r="F160" s="247" t="s">
        <v>2172</v>
      </c>
      <c r="G160" s="247" t="s">
        <v>1344</v>
      </c>
      <c r="H160" s="247" t="s">
        <v>2015</v>
      </c>
      <c r="I160" s="247" t="s">
        <v>2173</v>
      </c>
      <c r="J160" s="247">
        <v>87</v>
      </c>
      <c r="K160" s="247">
        <v>87.2</v>
      </c>
      <c r="L160" s="249" t="s">
        <v>936</v>
      </c>
      <c r="M160" s="249" t="s">
        <v>929</v>
      </c>
      <c r="N160" s="248">
        <v>1115.1199999999999</v>
      </c>
      <c r="O160" s="248">
        <v>4460.4799999999996</v>
      </c>
      <c r="P160" s="247" t="s">
        <v>1419</v>
      </c>
      <c r="Q160" s="247" t="s">
        <v>90</v>
      </c>
    </row>
    <row r="161" spans="1:17" x14ac:dyDescent="0.25">
      <c r="A161" s="247" t="s">
        <v>646</v>
      </c>
      <c r="B161" s="247" t="s">
        <v>265</v>
      </c>
      <c r="C161" s="247" t="s">
        <v>1343</v>
      </c>
      <c r="D161" s="247" t="s">
        <v>926</v>
      </c>
      <c r="E161" s="247" t="s">
        <v>1314</v>
      </c>
      <c r="F161" s="247" t="s">
        <v>2172</v>
      </c>
      <c r="G161" s="247" t="s">
        <v>1344</v>
      </c>
      <c r="H161" s="247" t="s">
        <v>2015</v>
      </c>
      <c r="I161" s="247" t="s">
        <v>2173</v>
      </c>
      <c r="J161" s="247">
        <v>87</v>
      </c>
      <c r="K161" s="247">
        <v>87.2</v>
      </c>
      <c r="L161" s="249" t="s">
        <v>937</v>
      </c>
      <c r="M161" s="249" t="s">
        <v>929</v>
      </c>
      <c r="N161" s="248">
        <v>1115.1199999999999</v>
      </c>
      <c r="O161" s="248">
        <v>5575.6</v>
      </c>
      <c r="P161" s="247" t="s">
        <v>1419</v>
      </c>
      <c r="Q161" s="247" t="s">
        <v>91</v>
      </c>
    </row>
    <row r="162" spans="1:17" x14ac:dyDescent="0.25">
      <c r="A162" s="247" t="s">
        <v>646</v>
      </c>
      <c r="B162" s="247" t="s">
        <v>265</v>
      </c>
      <c r="C162" s="247" t="s">
        <v>1343</v>
      </c>
      <c r="D162" s="247" t="s">
        <v>926</v>
      </c>
      <c r="E162" s="247" t="s">
        <v>1314</v>
      </c>
      <c r="F162" s="247" t="s">
        <v>2172</v>
      </c>
      <c r="G162" s="247" t="s">
        <v>1344</v>
      </c>
      <c r="H162" s="247" t="s">
        <v>2015</v>
      </c>
      <c r="I162" s="247" t="s">
        <v>2173</v>
      </c>
      <c r="J162" s="247">
        <v>87</v>
      </c>
      <c r="K162" s="247">
        <v>87.2</v>
      </c>
      <c r="L162" s="249" t="s">
        <v>938</v>
      </c>
      <c r="M162" s="249" t="s">
        <v>929</v>
      </c>
      <c r="N162" s="248">
        <v>1115.1199999999999</v>
      </c>
      <c r="O162" s="248">
        <v>6690.72</v>
      </c>
      <c r="P162" s="247" t="s">
        <v>1419</v>
      </c>
      <c r="Q162" s="247" t="s">
        <v>92</v>
      </c>
    </row>
    <row r="163" spans="1:17" x14ac:dyDescent="0.25">
      <c r="A163" s="247" t="s">
        <v>646</v>
      </c>
      <c r="B163" s="247" t="s">
        <v>265</v>
      </c>
      <c r="C163" s="247" t="s">
        <v>1343</v>
      </c>
      <c r="D163" s="247" t="s">
        <v>926</v>
      </c>
      <c r="E163" s="247" t="s">
        <v>1314</v>
      </c>
      <c r="F163" s="247" t="s">
        <v>2172</v>
      </c>
      <c r="G163" s="247" t="s">
        <v>1344</v>
      </c>
      <c r="H163" s="247" t="s">
        <v>2015</v>
      </c>
      <c r="I163" s="247" t="s">
        <v>2173</v>
      </c>
      <c r="J163" s="247">
        <v>87</v>
      </c>
      <c r="K163" s="247">
        <v>87.2</v>
      </c>
      <c r="L163" s="249" t="s">
        <v>939</v>
      </c>
      <c r="M163" s="249" t="s">
        <v>929</v>
      </c>
      <c r="N163" s="248">
        <v>1115.1199999999999</v>
      </c>
      <c r="O163" s="248">
        <v>7805.84</v>
      </c>
      <c r="P163" s="247" t="s">
        <v>1419</v>
      </c>
      <c r="Q163" s="247" t="s">
        <v>93</v>
      </c>
    </row>
    <row r="164" spans="1:17" x14ac:dyDescent="0.25">
      <c r="A164" s="247" t="s">
        <v>646</v>
      </c>
      <c r="B164" s="247" t="s">
        <v>265</v>
      </c>
      <c r="C164" s="247" t="s">
        <v>1343</v>
      </c>
      <c r="D164" s="247" t="s">
        <v>926</v>
      </c>
      <c r="E164" s="247" t="s">
        <v>1314</v>
      </c>
      <c r="F164" s="247" t="s">
        <v>2172</v>
      </c>
      <c r="G164" s="247" t="s">
        <v>1344</v>
      </c>
      <c r="H164" s="247" t="s">
        <v>2015</v>
      </c>
      <c r="I164" s="247" t="s">
        <v>2173</v>
      </c>
      <c r="J164" s="247">
        <v>87</v>
      </c>
      <c r="K164" s="247">
        <v>87.2</v>
      </c>
      <c r="L164" s="249" t="s">
        <v>940</v>
      </c>
      <c r="M164" s="249" t="s">
        <v>929</v>
      </c>
      <c r="N164" s="248">
        <v>2415.4299999999998</v>
      </c>
      <c r="O164" s="248">
        <v>10221.27</v>
      </c>
      <c r="P164" s="247" t="s">
        <v>1419</v>
      </c>
      <c r="Q164" s="247" t="s">
        <v>94</v>
      </c>
    </row>
    <row r="165" spans="1:17" x14ac:dyDescent="0.25">
      <c r="A165" s="247" t="s">
        <v>646</v>
      </c>
      <c r="B165" s="247" t="s">
        <v>265</v>
      </c>
      <c r="C165" s="247" t="s">
        <v>1343</v>
      </c>
      <c r="D165" s="247" t="s">
        <v>926</v>
      </c>
      <c r="E165" s="247" t="s">
        <v>1314</v>
      </c>
      <c r="F165" s="247" t="s">
        <v>2172</v>
      </c>
      <c r="G165" s="247" t="s">
        <v>1344</v>
      </c>
      <c r="H165" s="247" t="s">
        <v>2015</v>
      </c>
      <c r="I165" s="247" t="s">
        <v>2173</v>
      </c>
      <c r="J165" s="247">
        <v>87</v>
      </c>
      <c r="K165" s="247">
        <v>87.2</v>
      </c>
      <c r="L165" s="249" t="s">
        <v>642</v>
      </c>
      <c r="M165" s="249" t="s">
        <v>929</v>
      </c>
      <c r="N165" s="426">
        <v>2415.4299999999998</v>
      </c>
      <c r="O165" s="248">
        <v>12636.7</v>
      </c>
      <c r="P165" s="247" t="s">
        <v>1419</v>
      </c>
      <c r="Q165" s="247" t="s">
        <v>95</v>
      </c>
    </row>
    <row r="166" spans="1:17" x14ac:dyDescent="0.25">
      <c r="A166" s="247"/>
      <c r="B166" s="247"/>
      <c r="C166" s="247"/>
      <c r="D166" s="247"/>
      <c r="E166" s="247"/>
      <c r="F166" s="247"/>
      <c r="G166" s="247"/>
      <c r="H166" s="247"/>
      <c r="I166" s="247" t="s">
        <v>3151</v>
      </c>
      <c r="J166" s="247"/>
      <c r="K166" s="247"/>
      <c r="L166" s="249"/>
      <c r="M166" s="249"/>
      <c r="N166" s="248">
        <f>SUM(N142:N165)</f>
        <v>23560.039999999994</v>
      </c>
      <c r="O166" s="248"/>
      <c r="P166" s="247"/>
      <c r="Q166" s="247"/>
    </row>
    <row r="167" spans="1:17" x14ac:dyDescent="0.25">
      <c r="A167" s="247"/>
      <c r="B167" s="247"/>
      <c r="C167" s="247"/>
      <c r="D167" s="247"/>
      <c r="E167" s="247"/>
      <c r="F167" s="247"/>
      <c r="G167" s="247"/>
      <c r="H167" s="247"/>
      <c r="I167" s="247" t="s">
        <v>3152</v>
      </c>
      <c r="J167" s="247"/>
      <c r="K167" s="247"/>
      <c r="L167" s="249"/>
      <c r="M167" s="249"/>
      <c r="N167" s="561">
        <v>0.2379</v>
      </c>
      <c r="O167" s="248"/>
      <c r="P167" s="247"/>
      <c r="Q167" s="247"/>
    </row>
    <row r="168" spans="1:17" x14ac:dyDescent="0.25">
      <c r="A168" s="247"/>
      <c r="B168" s="247"/>
      <c r="C168" s="247"/>
      <c r="D168" s="247"/>
      <c r="E168" s="247"/>
      <c r="F168" s="247"/>
      <c r="G168" s="247"/>
      <c r="H168" s="247"/>
      <c r="I168" s="247" t="s">
        <v>3143</v>
      </c>
      <c r="J168" s="247"/>
      <c r="K168" s="247"/>
      <c r="L168" s="249"/>
      <c r="M168" s="249"/>
      <c r="N168" s="248">
        <f>+N166*N167</f>
        <v>5604.9335159999982</v>
      </c>
      <c r="O168" s="248"/>
      <c r="P168" s="247"/>
      <c r="Q168" s="247"/>
    </row>
    <row r="169" spans="1:17" x14ac:dyDescent="0.25">
      <c r="A169" s="247"/>
      <c r="B169" s="247"/>
      <c r="C169" s="247"/>
      <c r="D169" s="247"/>
      <c r="E169" s="247"/>
      <c r="F169" s="247"/>
      <c r="G169" s="247"/>
      <c r="H169" s="247"/>
      <c r="I169" s="247"/>
      <c r="J169" s="247"/>
      <c r="K169" s="247"/>
      <c r="L169" s="249"/>
      <c r="M169" s="249"/>
      <c r="N169" s="248"/>
      <c r="O169" s="248"/>
      <c r="P169" s="247"/>
      <c r="Q169" s="247"/>
    </row>
    <row r="171" spans="1:17" x14ac:dyDescent="0.25">
      <c r="A171" s="247" t="s">
        <v>646</v>
      </c>
      <c r="B171" s="247" t="s">
        <v>265</v>
      </c>
      <c r="C171" s="247" t="s">
        <v>1343</v>
      </c>
      <c r="D171" s="247" t="s">
        <v>926</v>
      </c>
      <c r="E171" s="247" t="s">
        <v>1320</v>
      </c>
      <c r="F171" s="247" t="s">
        <v>2192</v>
      </c>
      <c r="G171" s="247" t="s">
        <v>1344</v>
      </c>
      <c r="H171" s="247" t="s">
        <v>2022</v>
      </c>
      <c r="I171" s="247" t="s">
        <v>2193</v>
      </c>
      <c r="J171" s="247">
        <v>80</v>
      </c>
      <c r="K171" s="247">
        <v>80</v>
      </c>
      <c r="L171" s="249" t="s">
        <v>646</v>
      </c>
      <c r="M171" s="249" t="s">
        <v>933</v>
      </c>
      <c r="N171" s="248">
        <v>508.48</v>
      </c>
      <c r="O171" s="248">
        <v>5036.08</v>
      </c>
      <c r="P171" s="247" t="s">
        <v>1430</v>
      </c>
      <c r="Q171" s="247" t="s">
        <v>84</v>
      </c>
    </row>
    <row r="172" spans="1:17" x14ac:dyDescent="0.25">
      <c r="A172" s="247" t="s">
        <v>646</v>
      </c>
      <c r="B172" s="247" t="s">
        <v>265</v>
      </c>
      <c r="C172" s="247" t="s">
        <v>1343</v>
      </c>
      <c r="D172" s="247" t="s">
        <v>926</v>
      </c>
      <c r="E172" s="247" t="s">
        <v>1320</v>
      </c>
      <c r="F172" s="247" t="s">
        <v>2192</v>
      </c>
      <c r="G172" s="247" t="s">
        <v>1344</v>
      </c>
      <c r="H172" s="247" t="s">
        <v>2022</v>
      </c>
      <c r="I172" s="247" t="s">
        <v>2193</v>
      </c>
      <c r="J172" s="247">
        <v>80</v>
      </c>
      <c r="K172" s="247">
        <v>80</v>
      </c>
      <c r="L172" s="249" t="s">
        <v>650</v>
      </c>
      <c r="M172" s="249" t="s">
        <v>933</v>
      </c>
      <c r="N172" s="248">
        <v>367.24</v>
      </c>
      <c r="O172" s="248">
        <v>5403.32</v>
      </c>
      <c r="P172" s="247" t="s">
        <v>1430</v>
      </c>
      <c r="Q172" s="247" t="s">
        <v>85</v>
      </c>
    </row>
    <row r="173" spans="1:17" x14ac:dyDescent="0.25">
      <c r="A173" s="247" t="s">
        <v>646</v>
      </c>
      <c r="B173" s="247" t="s">
        <v>265</v>
      </c>
      <c r="C173" s="247" t="s">
        <v>1343</v>
      </c>
      <c r="D173" s="247" t="s">
        <v>926</v>
      </c>
      <c r="E173" s="247" t="s">
        <v>1320</v>
      </c>
      <c r="F173" s="247" t="s">
        <v>2192</v>
      </c>
      <c r="G173" s="247" t="s">
        <v>1344</v>
      </c>
      <c r="H173" s="247" t="s">
        <v>2022</v>
      </c>
      <c r="I173" s="247" t="s">
        <v>2193</v>
      </c>
      <c r="J173" s="247">
        <v>80</v>
      </c>
      <c r="K173" s="247">
        <v>80</v>
      </c>
      <c r="L173" s="249" t="s">
        <v>652</v>
      </c>
      <c r="M173" s="249" t="s">
        <v>933</v>
      </c>
      <c r="N173" s="248">
        <v>1092.71</v>
      </c>
      <c r="O173" s="248">
        <v>6496.03</v>
      </c>
      <c r="P173" s="247" t="s">
        <v>1430</v>
      </c>
      <c r="Q173" s="247" t="s">
        <v>86</v>
      </c>
    </row>
    <row r="174" spans="1:17" x14ac:dyDescent="0.25">
      <c r="A174" s="247" t="s">
        <v>646</v>
      </c>
      <c r="B174" s="247" t="s">
        <v>265</v>
      </c>
      <c r="C174" s="247" t="s">
        <v>1343</v>
      </c>
      <c r="D174" s="247" t="s">
        <v>926</v>
      </c>
      <c r="E174" s="247" t="s">
        <v>1320</v>
      </c>
      <c r="F174" s="247" t="s">
        <v>2192</v>
      </c>
      <c r="G174" s="247" t="s">
        <v>1344</v>
      </c>
      <c r="H174" s="247" t="s">
        <v>2022</v>
      </c>
      <c r="I174" s="247" t="s">
        <v>2193</v>
      </c>
      <c r="J174" s="247">
        <v>80</v>
      </c>
      <c r="K174" s="247">
        <v>80</v>
      </c>
      <c r="L174" s="249" t="s">
        <v>789</v>
      </c>
      <c r="M174" s="249" t="s">
        <v>929</v>
      </c>
      <c r="N174" s="248">
        <v>557.55999999999995</v>
      </c>
      <c r="O174" s="248">
        <v>557.55999999999995</v>
      </c>
      <c r="P174" s="247" t="s">
        <v>1430</v>
      </c>
      <c r="Q174" s="247" t="s">
        <v>87</v>
      </c>
    </row>
    <row r="175" spans="1:17" x14ac:dyDescent="0.25">
      <c r="A175" s="247" t="s">
        <v>646</v>
      </c>
      <c r="B175" s="247" t="s">
        <v>265</v>
      </c>
      <c r="C175" s="247" t="s">
        <v>1343</v>
      </c>
      <c r="D175" s="247" t="s">
        <v>926</v>
      </c>
      <c r="E175" s="247" t="s">
        <v>1320</v>
      </c>
      <c r="F175" s="247" t="s">
        <v>2192</v>
      </c>
      <c r="G175" s="247" t="s">
        <v>1344</v>
      </c>
      <c r="H175" s="247" t="s">
        <v>2022</v>
      </c>
      <c r="I175" s="247" t="s">
        <v>2193</v>
      </c>
      <c r="J175" s="247">
        <v>80</v>
      </c>
      <c r="K175" s="247">
        <v>80</v>
      </c>
      <c r="L175" s="249" t="s">
        <v>791</v>
      </c>
      <c r="M175" s="249" t="s">
        <v>929</v>
      </c>
      <c r="N175" s="248">
        <v>557.55999999999995</v>
      </c>
      <c r="O175" s="248">
        <v>1115.1199999999999</v>
      </c>
      <c r="P175" s="247" t="s">
        <v>1430</v>
      </c>
      <c r="Q175" s="247" t="s">
        <v>88</v>
      </c>
    </row>
    <row r="176" spans="1:17" x14ac:dyDescent="0.25">
      <c r="A176" s="247" t="s">
        <v>646</v>
      </c>
      <c r="B176" s="247" t="s">
        <v>265</v>
      </c>
      <c r="C176" s="247" t="s">
        <v>1343</v>
      </c>
      <c r="D176" s="247" t="s">
        <v>926</v>
      </c>
      <c r="E176" s="247" t="s">
        <v>1320</v>
      </c>
      <c r="F176" s="247" t="s">
        <v>2192</v>
      </c>
      <c r="G176" s="247" t="s">
        <v>1344</v>
      </c>
      <c r="H176" s="247" t="s">
        <v>2022</v>
      </c>
      <c r="I176" s="247" t="s">
        <v>2193</v>
      </c>
      <c r="J176" s="247">
        <v>80</v>
      </c>
      <c r="K176" s="247">
        <v>80</v>
      </c>
      <c r="L176" s="249" t="s">
        <v>935</v>
      </c>
      <c r="M176" s="249" t="s">
        <v>929</v>
      </c>
      <c r="N176" s="248">
        <v>557.55999999999995</v>
      </c>
      <c r="O176" s="248">
        <v>1672.68</v>
      </c>
      <c r="P176" s="247" t="s">
        <v>1430</v>
      </c>
      <c r="Q176" s="247" t="s">
        <v>89</v>
      </c>
    </row>
    <row r="177" spans="1:17" x14ac:dyDescent="0.25">
      <c r="A177" s="247" t="s">
        <v>646</v>
      </c>
      <c r="B177" s="247" t="s">
        <v>265</v>
      </c>
      <c r="C177" s="247" t="s">
        <v>1343</v>
      </c>
      <c r="D177" s="247" t="s">
        <v>926</v>
      </c>
      <c r="E177" s="247" t="s">
        <v>1320</v>
      </c>
      <c r="F177" s="247" t="s">
        <v>2192</v>
      </c>
      <c r="G177" s="247" t="s">
        <v>1344</v>
      </c>
      <c r="H177" s="247" t="s">
        <v>2022</v>
      </c>
      <c r="I177" s="247" t="s">
        <v>2193</v>
      </c>
      <c r="J177" s="247">
        <v>80</v>
      </c>
      <c r="K177" s="247">
        <v>80</v>
      </c>
      <c r="L177" s="249" t="s">
        <v>936</v>
      </c>
      <c r="M177" s="249" t="s">
        <v>929</v>
      </c>
      <c r="N177" s="248">
        <v>557.55999999999995</v>
      </c>
      <c r="O177" s="248">
        <v>2230.2399999999998</v>
      </c>
      <c r="P177" s="247" t="s">
        <v>1430</v>
      </c>
      <c r="Q177" s="247" t="s">
        <v>90</v>
      </c>
    </row>
    <row r="178" spans="1:17" x14ac:dyDescent="0.25">
      <c r="A178" s="247" t="s">
        <v>646</v>
      </c>
      <c r="B178" s="247" t="s">
        <v>265</v>
      </c>
      <c r="C178" s="247" t="s">
        <v>1343</v>
      </c>
      <c r="D178" s="247" t="s">
        <v>926</v>
      </c>
      <c r="E178" s="247" t="s">
        <v>1320</v>
      </c>
      <c r="F178" s="247" t="s">
        <v>2192</v>
      </c>
      <c r="G178" s="247" t="s">
        <v>1344</v>
      </c>
      <c r="H178" s="247" t="s">
        <v>2022</v>
      </c>
      <c r="I178" s="247" t="s">
        <v>2193</v>
      </c>
      <c r="J178" s="247">
        <v>80</v>
      </c>
      <c r="K178" s="247">
        <v>80</v>
      </c>
      <c r="L178" s="249" t="s">
        <v>937</v>
      </c>
      <c r="M178" s="249" t="s">
        <v>929</v>
      </c>
      <c r="N178" s="248">
        <v>557.55999999999995</v>
      </c>
      <c r="O178" s="248">
        <v>2787.8</v>
      </c>
      <c r="P178" s="247" t="s">
        <v>1430</v>
      </c>
      <c r="Q178" s="247" t="s">
        <v>91</v>
      </c>
    </row>
    <row r="179" spans="1:17" x14ac:dyDescent="0.25">
      <c r="A179" s="247" t="s">
        <v>646</v>
      </c>
      <c r="B179" s="247" t="s">
        <v>265</v>
      </c>
      <c r="C179" s="247" t="s">
        <v>1343</v>
      </c>
      <c r="D179" s="247" t="s">
        <v>926</v>
      </c>
      <c r="E179" s="247" t="s">
        <v>1320</v>
      </c>
      <c r="F179" s="247" t="s">
        <v>2192</v>
      </c>
      <c r="G179" s="247" t="s">
        <v>1344</v>
      </c>
      <c r="H179" s="247" t="s">
        <v>2022</v>
      </c>
      <c r="I179" s="247" t="s">
        <v>2193</v>
      </c>
      <c r="J179" s="247">
        <v>80</v>
      </c>
      <c r="K179" s="247">
        <v>80</v>
      </c>
      <c r="L179" s="249" t="s">
        <v>938</v>
      </c>
      <c r="M179" s="249" t="s">
        <v>929</v>
      </c>
      <c r="N179" s="248">
        <v>557.55999999999995</v>
      </c>
      <c r="O179" s="248">
        <v>3345.36</v>
      </c>
      <c r="P179" s="247" t="s">
        <v>1430</v>
      </c>
      <c r="Q179" s="247" t="s">
        <v>92</v>
      </c>
    </row>
    <row r="180" spans="1:17" x14ac:dyDescent="0.25">
      <c r="A180" s="247" t="s">
        <v>646</v>
      </c>
      <c r="B180" s="247" t="s">
        <v>265</v>
      </c>
      <c r="C180" s="247" t="s">
        <v>1343</v>
      </c>
      <c r="D180" s="247" t="s">
        <v>926</v>
      </c>
      <c r="E180" s="247" t="s">
        <v>1320</v>
      </c>
      <c r="F180" s="247" t="s">
        <v>2192</v>
      </c>
      <c r="G180" s="247" t="s">
        <v>1344</v>
      </c>
      <c r="H180" s="247" t="s">
        <v>2022</v>
      </c>
      <c r="I180" s="247" t="s">
        <v>2193</v>
      </c>
      <c r="J180" s="247">
        <v>80</v>
      </c>
      <c r="K180" s="247">
        <v>80</v>
      </c>
      <c r="L180" s="249" t="s">
        <v>939</v>
      </c>
      <c r="M180" s="249" t="s">
        <v>929</v>
      </c>
      <c r="N180" s="248">
        <v>557.55999999999995</v>
      </c>
      <c r="O180" s="248">
        <v>3902.92</v>
      </c>
      <c r="P180" s="247" t="s">
        <v>1430</v>
      </c>
      <c r="Q180" s="247" t="s">
        <v>93</v>
      </c>
    </row>
    <row r="181" spans="1:17" x14ac:dyDescent="0.25">
      <c r="A181" s="247" t="s">
        <v>646</v>
      </c>
      <c r="B181" s="247" t="s">
        <v>265</v>
      </c>
      <c r="C181" s="247" t="s">
        <v>1343</v>
      </c>
      <c r="D181" s="247" t="s">
        <v>926</v>
      </c>
      <c r="E181" s="247" t="s">
        <v>1320</v>
      </c>
      <c r="F181" s="247" t="s">
        <v>2192</v>
      </c>
      <c r="G181" s="247" t="s">
        <v>1344</v>
      </c>
      <c r="H181" s="247" t="s">
        <v>2022</v>
      </c>
      <c r="I181" s="247" t="s">
        <v>2193</v>
      </c>
      <c r="J181" s="247">
        <v>80</v>
      </c>
      <c r="K181" s="247">
        <v>80</v>
      </c>
      <c r="L181" s="249" t="s">
        <v>940</v>
      </c>
      <c r="M181" s="249" t="s">
        <v>929</v>
      </c>
      <c r="N181" s="248">
        <v>557.55999999999995</v>
      </c>
      <c r="O181" s="248">
        <v>4460.4799999999996</v>
      </c>
      <c r="P181" s="247" t="s">
        <v>1430</v>
      </c>
      <c r="Q181" s="247" t="s">
        <v>94</v>
      </c>
    </row>
    <row r="182" spans="1:17" x14ac:dyDescent="0.25">
      <c r="A182" s="247" t="s">
        <v>646</v>
      </c>
      <c r="B182" s="247" t="s">
        <v>265</v>
      </c>
      <c r="C182" s="247" t="s">
        <v>1343</v>
      </c>
      <c r="D182" s="247" t="s">
        <v>926</v>
      </c>
      <c r="E182" s="247" t="s">
        <v>1320</v>
      </c>
      <c r="F182" s="247" t="s">
        <v>2192</v>
      </c>
      <c r="G182" s="247" t="s">
        <v>1344</v>
      </c>
      <c r="H182" s="247" t="s">
        <v>2022</v>
      </c>
      <c r="I182" s="247" t="s">
        <v>2193</v>
      </c>
      <c r="J182" s="247">
        <v>80</v>
      </c>
      <c r="K182" s="247">
        <v>80</v>
      </c>
      <c r="L182" s="249" t="s">
        <v>642</v>
      </c>
      <c r="M182" s="249" t="s">
        <v>929</v>
      </c>
      <c r="N182" s="426">
        <v>557.55999999999995</v>
      </c>
      <c r="O182" s="248">
        <v>5018.04</v>
      </c>
      <c r="P182" s="247" t="s">
        <v>1430</v>
      </c>
      <c r="Q182" s="247" t="s">
        <v>95</v>
      </c>
    </row>
    <row r="183" spans="1:17" x14ac:dyDescent="0.25">
      <c r="I183" s="247" t="s">
        <v>3151</v>
      </c>
      <c r="J183" s="247"/>
      <c r="K183" s="247"/>
      <c r="L183" s="249"/>
      <c r="M183" s="249"/>
      <c r="N183" s="248">
        <f>SUM(N171:N182)</f>
        <v>6986.4699999999975</v>
      </c>
    </row>
    <row r="184" spans="1:17" x14ac:dyDescent="0.25">
      <c r="I184" s="247" t="s">
        <v>3152</v>
      </c>
      <c r="J184" s="247"/>
      <c r="K184" s="247"/>
      <c r="L184" s="249"/>
      <c r="M184" s="249"/>
      <c r="N184" s="561">
        <v>0.2379</v>
      </c>
    </row>
    <row r="185" spans="1:17" x14ac:dyDescent="0.25">
      <c r="I185" s="247" t="s">
        <v>3143</v>
      </c>
      <c r="J185" s="247"/>
      <c r="K185" s="247"/>
      <c r="L185" s="249"/>
      <c r="M185" s="249"/>
      <c r="N185" s="248">
        <f>+N183*N184</f>
        <v>1662.0812129999995</v>
      </c>
    </row>
  </sheetData>
  <pageMargins left="0.25" right="0.25" top="0.75" bottom="0.75" header="0.3" footer="0.3"/>
  <pageSetup scale="60" fitToHeight="0" orientation="landscape" r:id="rId1"/>
  <headerFooter>
    <oddFooter>&amp;L&amp;D&amp;C&amp;A&amp;RPage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"/>
  <sheetViews>
    <sheetView workbookViewId="0">
      <selection activeCell="Q18" sqref="Q18"/>
    </sheetView>
  </sheetViews>
  <sheetFormatPr defaultRowHeight="15.75" x14ac:dyDescent="0.25"/>
  <cols>
    <col min="1" max="1" width="21" customWidth="1"/>
    <col min="2" max="2" width="5.6640625" bestFit="1" customWidth="1"/>
    <col min="3" max="3" width="8.6640625" customWidth="1"/>
    <col min="4" max="4" width="19.21875" customWidth="1"/>
    <col min="6" max="6" width="9.6640625" bestFit="1" customWidth="1"/>
    <col min="7" max="7" width="3.109375" customWidth="1"/>
    <col min="8" max="8" width="8.5546875" customWidth="1"/>
    <col min="9" max="9" width="8" bestFit="1" customWidth="1"/>
    <col min="10" max="10" width="11.109375" customWidth="1"/>
    <col min="11" max="11" width="7.77734375" bestFit="1" customWidth="1"/>
    <col min="12" max="12" width="9" bestFit="1" customWidth="1"/>
    <col min="13" max="13" width="1.77734375" customWidth="1"/>
    <col min="14" max="15" width="9" bestFit="1" customWidth="1"/>
    <col min="16" max="16" width="8.88671875" customWidth="1"/>
    <col min="17" max="19" width="9" bestFit="1" customWidth="1"/>
  </cols>
  <sheetData>
    <row r="1" spans="1:20" x14ac:dyDescent="0.25">
      <c r="A1" s="554" t="s">
        <v>345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427"/>
    </row>
    <row r="2" spans="1:20" x14ac:dyDescent="0.25">
      <c r="A2" s="554" t="s">
        <v>3175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427"/>
    </row>
    <row r="3" spans="1:20" x14ac:dyDescent="0.25">
      <c r="A3" s="427"/>
      <c r="B3" s="427"/>
      <c r="C3" s="427"/>
      <c r="D3" s="427"/>
      <c r="E3" s="427"/>
      <c r="F3" s="427"/>
      <c r="G3" s="427"/>
      <c r="H3" s="594" t="s">
        <v>3176</v>
      </c>
      <c r="I3" s="594"/>
      <c r="J3" s="427"/>
      <c r="K3" s="427"/>
      <c r="L3" s="427"/>
      <c r="M3" s="427"/>
      <c r="N3" s="427"/>
      <c r="O3" s="427"/>
      <c r="P3" s="427"/>
      <c r="Q3" s="427"/>
      <c r="R3" s="427"/>
      <c r="S3" s="427"/>
      <c r="T3" s="427"/>
    </row>
    <row r="4" spans="1:20" ht="63" x14ac:dyDescent="0.25">
      <c r="A4" s="595"/>
      <c r="B4" s="596" t="s">
        <v>3177</v>
      </c>
      <c r="C4" s="596" t="s">
        <v>3178</v>
      </c>
      <c r="D4" s="596" t="s">
        <v>3179</v>
      </c>
      <c r="E4" s="596" t="s">
        <v>3180</v>
      </c>
      <c r="F4" s="596" t="s">
        <v>3181</v>
      </c>
      <c r="G4" s="556"/>
      <c r="H4" s="596" t="s">
        <v>3182</v>
      </c>
      <c r="I4" s="596" t="s">
        <v>3183</v>
      </c>
      <c r="J4" s="594" t="s">
        <v>3184</v>
      </c>
      <c r="K4" s="594"/>
      <c r="L4" s="556" t="s">
        <v>3185</v>
      </c>
      <c r="M4" s="556"/>
      <c r="N4" s="596" t="s">
        <v>3186</v>
      </c>
      <c r="O4" s="556" t="s">
        <v>2015</v>
      </c>
      <c r="P4" s="596" t="s">
        <v>3187</v>
      </c>
      <c r="Q4" s="556" t="s">
        <v>3188</v>
      </c>
      <c r="R4" s="556" t="s">
        <v>3045</v>
      </c>
      <c r="S4" s="556" t="s">
        <v>3189</v>
      </c>
      <c r="T4" s="427"/>
    </row>
    <row r="5" spans="1:20" x14ac:dyDescent="0.25">
      <c r="A5" s="427" t="s">
        <v>3190</v>
      </c>
      <c r="B5" s="427">
        <v>8260</v>
      </c>
      <c r="C5" s="597">
        <v>37440</v>
      </c>
      <c r="D5" s="556" t="s">
        <v>3191</v>
      </c>
      <c r="E5" s="556" t="str">
        <f>INDEX([4]WAGE_SUMMARY!D:D,MATCH(B5,[4]WAGE_SUMMARY!$A:$A,))</f>
        <v>N</v>
      </c>
      <c r="F5" s="591">
        <v>0</v>
      </c>
      <c r="G5" s="427"/>
      <c r="H5" s="598">
        <f>+C5*0.44</f>
        <v>16473.599999999999</v>
      </c>
      <c r="I5" s="598">
        <f>+C5-H5</f>
        <v>20966.400000000001</v>
      </c>
      <c r="J5" s="598"/>
      <c r="K5" s="598"/>
      <c r="L5" s="427"/>
      <c r="M5" s="427"/>
      <c r="N5" s="427"/>
      <c r="O5" s="598">
        <f>+I5</f>
        <v>20966.400000000001</v>
      </c>
      <c r="P5" s="427"/>
      <c r="Q5" s="427"/>
      <c r="R5" s="427"/>
      <c r="S5" s="427"/>
      <c r="T5" s="427"/>
    </row>
    <row r="6" spans="1:20" x14ac:dyDescent="0.25">
      <c r="A6" s="427" t="s">
        <v>3190</v>
      </c>
      <c r="B6" s="427">
        <v>1576</v>
      </c>
      <c r="C6" s="597">
        <v>45032</v>
      </c>
      <c r="D6" s="556" t="s">
        <v>3191</v>
      </c>
      <c r="E6" s="556" t="str">
        <f>INDEX([4]WAGE_SUMMARY!D:D,MATCH(B6,[4]WAGE_SUMMARY!$A:$A,))</f>
        <v>N</v>
      </c>
      <c r="F6" s="591">
        <v>0</v>
      </c>
      <c r="G6" s="427"/>
      <c r="H6" s="598">
        <f>+C6*0.44</f>
        <v>19814.080000000002</v>
      </c>
      <c r="I6" s="598">
        <f>+C6-H6</f>
        <v>25217.919999999998</v>
      </c>
      <c r="J6" s="598"/>
      <c r="K6" s="598"/>
      <c r="L6" s="427"/>
      <c r="M6" s="427"/>
      <c r="N6" s="427"/>
      <c r="O6" s="598">
        <f>+I6</f>
        <v>25217.919999999998</v>
      </c>
      <c r="P6" s="427"/>
      <c r="Q6" s="427"/>
      <c r="R6" s="427"/>
      <c r="S6" s="427"/>
      <c r="T6" s="427"/>
    </row>
    <row r="7" spans="1:20" x14ac:dyDescent="0.25">
      <c r="A7" s="427" t="s">
        <v>3192</v>
      </c>
      <c r="B7" s="427">
        <v>196</v>
      </c>
      <c r="C7" s="597">
        <v>104000</v>
      </c>
      <c r="D7" s="556" t="s">
        <v>3193</v>
      </c>
      <c r="E7" s="556" t="str">
        <f>INDEX([4]WAGE_SUMMARY!D:D,MATCH(B7,[4]WAGE_SUMMARY!$A:$A,))</f>
        <v>Y</v>
      </c>
      <c r="F7" s="591">
        <v>116774.24000000002</v>
      </c>
      <c r="G7" s="427"/>
      <c r="H7" s="598"/>
      <c r="I7" s="598"/>
      <c r="J7" s="598">
        <f>+C7*0.56</f>
        <v>58240.000000000007</v>
      </c>
      <c r="K7" s="598">
        <f>+F7*0.56</f>
        <v>65393.57440000002</v>
      </c>
      <c r="L7" s="598">
        <f>+J7-K7</f>
        <v>-7153.5744000000122</v>
      </c>
      <c r="M7" s="427"/>
      <c r="N7" s="427"/>
      <c r="O7" s="598">
        <f>+L7</f>
        <v>-7153.5744000000122</v>
      </c>
      <c r="P7" s="427"/>
      <c r="Q7" s="427"/>
      <c r="R7" s="427"/>
      <c r="S7" s="427"/>
      <c r="T7" s="427"/>
    </row>
    <row r="8" spans="1:20" x14ac:dyDescent="0.25">
      <c r="A8" s="427" t="s">
        <v>3194</v>
      </c>
      <c r="B8" s="427">
        <v>5426</v>
      </c>
      <c r="C8" s="597">
        <f>26.9*2080</f>
        <v>55952</v>
      </c>
      <c r="D8" s="556" t="s">
        <v>346</v>
      </c>
      <c r="E8" s="556" t="str">
        <f>INDEX([4]WAGE_SUMMARY!D:D,MATCH(B8,[4]WAGE_SUMMARY!$A:$A,))</f>
        <v>Y</v>
      </c>
      <c r="F8" s="591">
        <v>45042.659999999996</v>
      </c>
      <c r="G8" s="427"/>
      <c r="H8" s="598"/>
      <c r="I8" s="598"/>
      <c r="J8" s="598">
        <f>+C8</f>
        <v>55952</v>
      </c>
      <c r="K8" s="598">
        <f>+F8</f>
        <v>45042.659999999996</v>
      </c>
      <c r="L8" s="598">
        <f>+J8-K8</f>
        <v>10909.340000000004</v>
      </c>
      <c r="M8" s="427"/>
      <c r="N8" s="427"/>
      <c r="O8" s="427"/>
      <c r="P8" s="427"/>
      <c r="Q8" s="598">
        <f>+L8</f>
        <v>10909.340000000004</v>
      </c>
      <c r="R8" s="427"/>
      <c r="S8" s="427"/>
      <c r="T8" s="427"/>
    </row>
    <row r="9" spans="1:20" x14ac:dyDescent="0.25">
      <c r="A9" s="427" t="s">
        <v>394</v>
      </c>
      <c r="B9" s="427">
        <v>1554</v>
      </c>
      <c r="C9" s="597">
        <f>17*2080</f>
        <v>35360</v>
      </c>
      <c r="D9" s="556" t="s">
        <v>346</v>
      </c>
      <c r="E9" s="556" t="str">
        <f>INDEX([4]WAGE_SUMMARY!D:D,MATCH(B9,[4]WAGE_SUMMARY!$A:$A,))</f>
        <v>N</v>
      </c>
      <c r="F9" s="591">
        <v>0</v>
      </c>
      <c r="G9" s="427"/>
      <c r="H9" s="598"/>
      <c r="I9" s="598">
        <f>+C9</f>
        <v>35360</v>
      </c>
      <c r="J9" s="598"/>
      <c r="K9" s="598"/>
      <c r="L9" s="427"/>
      <c r="M9" s="427"/>
      <c r="N9" s="427"/>
      <c r="O9" s="427"/>
      <c r="P9" s="598">
        <f>+I9</f>
        <v>35360</v>
      </c>
      <c r="Q9" s="427"/>
      <c r="R9" s="427"/>
      <c r="S9" s="427"/>
      <c r="T9" s="427"/>
    </row>
    <row r="10" spans="1:20" x14ac:dyDescent="0.25">
      <c r="A10" s="427" t="s">
        <v>1982</v>
      </c>
      <c r="B10" s="427">
        <v>5727</v>
      </c>
      <c r="C10" s="597">
        <f>17*2080</f>
        <v>35360</v>
      </c>
      <c r="D10" s="556" t="s">
        <v>346</v>
      </c>
      <c r="E10" s="556" t="str">
        <f>INDEX([4]WAGE_SUMMARY!D:D,MATCH(B10,[4]WAGE_SUMMARY!$A:$A,))</f>
        <v>Y</v>
      </c>
      <c r="F10" s="591">
        <v>0</v>
      </c>
      <c r="G10" s="427"/>
      <c r="H10" s="598"/>
      <c r="I10" s="598">
        <f>+C10</f>
        <v>35360</v>
      </c>
      <c r="J10" s="598"/>
      <c r="K10" s="598"/>
      <c r="L10" s="427"/>
      <c r="M10" s="427"/>
      <c r="N10" s="427"/>
      <c r="O10" s="427"/>
      <c r="P10" s="427"/>
      <c r="Q10" s="427"/>
      <c r="R10" s="598">
        <f>+I10</f>
        <v>35360</v>
      </c>
      <c r="S10" s="427"/>
      <c r="T10" s="427"/>
    </row>
    <row r="11" spans="1:20" x14ac:dyDescent="0.25">
      <c r="A11" s="427" t="s">
        <v>1975</v>
      </c>
      <c r="B11" s="427">
        <v>2232</v>
      </c>
      <c r="C11" s="597">
        <f>13.75*2080</f>
        <v>28600</v>
      </c>
      <c r="D11" s="556" t="s">
        <v>346</v>
      </c>
      <c r="E11" s="556" t="str">
        <f>INDEX([4]WAGE_SUMMARY!D:D,MATCH(B11,[4]WAGE_SUMMARY!$A:$A,))</f>
        <v>N</v>
      </c>
      <c r="F11" s="591">
        <v>0</v>
      </c>
      <c r="G11" s="427"/>
      <c r="H11" s="598"/>
      <c r="I11" s="599">
        <f>+C11</f>
        <v>28600</v>
      </c>
      <c r="J11" s="598"/>
      <c r="K11" s="598"/>
      <c r="L11" s="600"/>
      <c r="M11" s="427"/>
      <c r="N11" s="427"/>
      <c r="O11" s="600"/>
      <c r="P11" s="600"/>
      <c r="Q11" s="600"/>
      <c r="R11" s="600"/>
      <c r="S11" s="599">
        <f>+I11</f>
        <v>28600</v>
      </c>
      <c r="T11" s="427"/>
    </row>
    <row r="12" spans="1:20" x14ac:dyDescent="0.25">
      <c r="A12" s="427" t="s">
        <v>3195</v>
      </c>
      <c r="B12" s="427"/>
      <c r="C12" s="597"/>
      <c r="D12" s="427"/>
      <c r="E12" s="427"/>
      <c r="F12" s="591"/>
      <c r="G12" s="427"/>
      <c r="H12" s="598"/>
      <c r="I12" s="598">
        <f>SUM(I5:I11)</f>
        <v>145504.32000000001</v>
      </c>
      <c r="J12" s="598"/>
      <c r="K12" s="598"/>
      <c r="L12" s="598">
        <f>SUM(L7:L11)</f>
        <v>3755.7655999999915</v>
      </c>
      <c r="M12" s="427"/>
      <c r="N12" s="598">
        <f>+I12+L12</f>
        <v>149260.08559999999</v>
      </c>
      <c r="O12" s="598">
        <f>SUM(O5:O11)</f>
        <v>39030.745599999987</v>
      </c>
      <c r="P12" s="598">
        <f t="shared" ref="P12:S12" si="0">SUM(P5:P11)</f>
        <v>35360</v>
      </c>
      <c r="Q12" s="598">
        <f t="shared" si="0"/>
        <v>10909.340000000004</v>
      </c>
      <c r="R12" s="598">
        <f t="shared" si="0"/>
        <v>35360</v>
      </c>
      <c r="S12" s="598">
        <f t="shared" si="0"/>
        <v>28600</v>
      </c>
      <c r="T12" s="598"/>
    </row>
    <row r="13" spans="1:20" x14ac:dyDescent="0.25">
      <c r="A13" s="427"/>
      <c r="B13" s="427"/>
      <c r="C13" s="597"/>
      <c r="D13" s="427"/>
      <c r="E13" s="427"/>
      <c r="F13" s="591"/>
      <c r="G13" s="427"/>
      <c r="H13" s="598"/>
      <c r="I13" s="598"/>
      <c r="J13" s="598"/>
      <c r="K13" s="598"/>
      <c r="L13" s="598"/>
      <c r="M13" s="427"/>
      <c r="N13" s="598"/>
      <c r="O13" s="598"/>
      <c r="P13" s="598"/>
      <c r="Q13" s="598"/>
      <c r="R13" s="598"/>
      <c r="S13" s="598"/>
      <c r="T13" s="598"/>
    </row>
    <row r="14" spans="1:20" x14ac:dyDescent="0.25">
      <c r="A14" s="427" t="s">
        <v>3196</v>
      </c>
      <c r="B14" s="427"/>
      <c r="C14" s="427"/>
      <c r="D14" s="427"/>
      <c r="E14" s="427"/>
      <c r="F14" s="427"/>
      <c r="G14" s="427"/>
      <c r="H14" s="601"/>
      <c r="I14" s="601"/>
      <c r="J14" s="601"/>
      <c r="K14" s="601"/>
      <c r="L14" s="427"/>
      <c r="M14" s="427"/>
      <c r="N14" s="427"/>
      <c r="O14" s="427"/>
      <c r="P14" s="427"/>
      <c r="Q14" s="427"/>
      <c r="R14" s="427"/>
      <c r="S14" s="427"/>
      <c r="T14" s="427"/>
    </row>
    <row r="15" spans="1:20" x14ac:dyDescent="0.25">
      <c r="A15" s="427" t="s">
        <v>3197</v>
      </c>
      <c r="B15" s="427"/>
      <c r="C15" s="427"/>
      <c r="D15" s="427"/>
      <c r="E15" s="427"/>
      <c r="F15" s="427"/>
      <c r="G15" s="427"/>
      <c r="H15" s="601"/>
      <c r="I15" s="601"/>
      <c r="J15" s="601"/>
      <c r="K15" s="601"/>
      <c r="L15" s="427"/>
      <c r="M15" s="427"/>
      <c r="N15" s="553">
        <f>SUM(O15:S15)</f>
        <v>17911.210272</v>
      </c>
      <c r="O15" s="553">
        <f>+O12*0.12</f>
        <v>4683.6894719999982</v>
      </c>
      <c r="P15" s="553">
        <f>+P12*0.12</f>
        <v>4243.2</v>
      </c>
      <c r="Q15" s="553">
        <f>+Q12*0.12</f>
        <v>1309.1208000000004</v>
      </c>
      <c r="R15" s="553">
        <f>+R12*0.12</f>
        <v>4243.2</v>
      </c>
      <c r="S15" s="553">
        <f>+S12*0.12</f>
        <v>3432</v>
      </c>
      <c r="T15" s="427"/>
    </row>
    <row r="16" spans="1:20" x14ac:dyDescent="0.25">
      <c r="A16" s="427" t="s">
        <v>3198</v>
      </c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553">
        <f t="shared" ref="N16:N18" si="1">SUM(O16:S16)</f>
        <v>7066.8042260800012</v>
      </c>
      <c r="O16" s="553">
        <f>+O12*0.0018</f>
        <v>70.255342079999977</v>
      </c>
      <c r="P16" s="553">
        <f>+P12*0.0018</f>
        <v>63.647999999999996</v>
      </c>
      <c r="Q16" s="553">
        <f>+Q12*0.0926</f>
        <v>1010.2048840000003</v>
      </c>
      <c r="R16" s="553">
        <f>+R12*0.0926</f>
        <v>3274.3360000000002</v>
      </c>
      <c r="S16" s="553">
        <f>+S12*0.0926</f>
        <v>2648.36</v>
      </c>
      <c r="T16" s="427"/>
    </row>
    <row r="17" spans="1:20" x14ac:dyDescent="0.25">
      <c r="A17" s="427" t="s">
        <v>3199</v>
      </c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27"/>
      <c r="N17" s="553">
        <f t="shared" si="1"/>
        <v>5970.4034240000001</v>
      </c>
      <c r="O17" s="553">
        <f>+O12*0.04</f>
        <v>1561.2298239999996</v>
      </c>
      <c r="P17" s="553">
        <f>+P12*0.04</f>
        <v>1414.4</v>
      </c>
      <c r="Q17" s="553">
        <f>+Q12*0.04</f>
        <v>436.37360000000018</v>
      </c>
      <c r="R17" s="553">
        <f>+R12*0.04</f>
        <v>1414.4</v>
      </c>
      <c r="S17" s="553">
        <f>+S12*0.04</f>
        <v>1144</v>
      </c>
      <c r="T17" s="427"/>
    </row>
    <row r="18" spans="1:20" x14ac:dyDescent="0.25">
      <c r="A18" s="427" t="s">
        <v>3200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610">
        <f t="shared" si="1"/>
        <v>12239.3270192</v>
      </c>
      <c r="O18" s="610">
        <f>+O12*0.082</f>
        <v>3200.5211391999992</v>
      </c>
      <c r="P18" s="610">
        <f>+P12*0.082</f>
        <v>2899.52</v>
      </c>
      <c r="Q18" s="610">
        <f>+Q12*0.082</f>
        <v>894.56588000000033</v>
      </c>
      <c r="R18" s="610">
        <f>+R12*0.082</f>
        <v>2899.52</v>
      </c>
      <c r="S18" s="610">
        <f>+S12*0.082</f>
        <v>2345.2000000000003</v>
      </c>
      <c r="T18" s="427"/>
    </row>
    <row r="19" spans="1:20" x14ac:dyDescent="0.25">
      <c r="A19" s="427"/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553">
        <f>SUM(N12:N18)</f>
        <v>192447.83054127998</v>
      </c>
      <c r="O19" s="553">
        <f t="shared" ref="O19:S19" si="2">SUM(O12:O18)</f>
        <v>48546.441377279989</v>
      </c>
      <c r="P19" s="553">
        <f t="shared" si="2"/>
        <v>43980.767999999996</v>
      </c>
      <c r="Q19" s="553">
        <f t="shared" si="2"/>
        <v>14559.605164000006</v>
      </c>
      <c r="R19" s="553">
        <f t="shared" si="2"/>
        <v>47191.455999999998</v>
      </c>
      <c r="S19" s="553">
        <f t="shared" si="2"/>
        <v>38169.56</v>
      </c>
      <c r="T19" s="427"/>
    </row>
    <row r="20" spans="1:20" x14ac:dyDescent="0.25">
      <c r="A20" s="427"/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553"/>
      <c r="P20" s="553"/>
      <c r="Q20" s="553"/>
      <c r="R20" s="553"/>
      <c r="S20" s="553"/>
      <c r="T20" s="427"/>
    </row>
    <row r="21" spans="1:20" x14ac:dyDescent="0.25">
      <c r="A21" s="506" t="s">
        <v>3110</v>
      </c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553"/>
      <c r="P21" s="553"/>
      <c r="Q21" s="553"/>
      <c r="R21" s="553"/>
      <c r="S21" s="553"/>
      <c r="T21" s="427"/>
    </row>
  </sheetData>
  <pageMargins left="0.25" right="0.25" top="0.75" bottom="0.75" header="0.3" footer="0.3"/>
  <pageSetup scale="63" fitToHeight="0" orientation="landscape" r:id="rId1"/>
  <headerFooter>
    <oddFooter>&amp;L&amp;D&amp;C&amp;A&amp;RPage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"/>
  <sheetViews>
    <sheetView workbookViewId="0">
      <selection activeCell="I16" sqref="I16"/>
    </sheetView>
  </sheetViews>
  <sheetFormatPr defaultRowHeight="15.75" x14ac:dyDescent="0.25"/>
  <cols>
    <col min="1" max="1" width="23.33203125" customWidth="1"/>
    <col min="2" max="2" width="13.6640625" customWidth="1"/>
    <col min="3" max="3" width="10.6640625" customWidth="1"/>
    <col min="4" max="4" width="10.33203125" customWidth="1"/>
    <col min="5" max="5" width="8.5546875" customWidth="1"/>
    <col min="6" max="6" width="3.5546875" customWidth="1"/>
    <col min="10" max="10" width="7.77734375" customWidth="1"/>
  </cols>
  <sheetData>
    <row r="1" spans="1:13" x14ac:dyDescent="0.25">
      <c r="A1" s="505" t="s">
        <v>346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6"/>
    </row>
    <row r="2" spans="1:13" x14ac:dyDescent="0.25">
      <c r="A2" s="505" t="s">
        <v>3038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6"/>
    </row>
    <row r="3" spans="1:13" x14ac:dyDescent="0.25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</row>
    <row r="4" spans="1:13" ht="26.25" x14ac:dyDescent="0.25">
      <c r="A4" s="506"/>
      <c r="B4" s="507" t="s">
        <v>3039</v>
      </c>
      <c r="C4" s="507" t="s">
        <v>3040</v>
      </c>
      <c r="D4" s="507" t="s">
        <v>3041</v>
      </c>
      <c r="E4" s="507" t="s">
        <v>3042</v>
      </c>
      <c r="F4" s="508"/>
      <c r="G4" s="508" t="s">
        <v>2788</v>
      </c>
      <c r="H4" s="508" t="s">
        <v>2015</v>
      </c>
      <c r="I4" s="507" t="s">
        <v>3043</v>
      </c>
      <c r="J4" s="507" t="s">
        <v>2769</v>
      </c>
      <c r="K4" s="508" t="s">
        <v>3044</v>
      </c>
      <c r="L4" s="508" t="s">
        <v>3045</v>
      </c>
      <c r="M4" s="508"/>
    </row>
    <row r="5" spans="1:13" x14ac:dyDescent="0.25">
      <c r="A5" s="509" t="s">
        <v>3046</v>
      </c>
      <c r="B5" s="500">
        <v>66619.159999999989</v>
      </c>
      <c r="C5" s="500">
        <v>3572.8899999999994</v>
      </c>
      <c r="D5" s="500">
        <v>70192.049999999988</v>
      </c>
      <c r="E5" s="501">
        <v>5.3631567855253651E-2</v>
      </c>
      <c r="F5" s="506"/>
      <c r="G5" s="500">
        <v>3572.8899999999994</v>
      </c>
      <c r="H5" s="500">
        <v>3572.8899999999994</v>
      </c>
      <c r="I5" s="506"/>
      <c r="J5" s="506"/>
      <c r="K5" s="506"/>
      <c r="L5" s="506"/>
      <c r="M5" s="506"/>
    </row>
    <row r="6" spans="1:13" x14ac:dyDescent="0.25">
      <c r="A6" s="509" t="s">
        <v>3047</v>
      </c>
      <c r="B6" s="500">
        <v>116774.24000000002</v>
      </c>
      <c r="C6" s="500">
        <v>-1209.4400000000169</v>
      </c>
      <c r="D6" s="500">
        <v>115564.8</v>
      </c>
      <c r="E6" s="501">
        <v>-1.035707875298539E-2</v>
      </c>
      <c r="F6" s="506"/>
      <c r="G6" s="500">
        <v>-1209.4400000000169</v>
      </c>
      <c r="H6" s="500">
        <v>-1209.4400000000169</v>
      </c>
      <c r="I6" s="506"/>
      <c r="J6" s="506"/>
      <c r="K6" s="506"/>
      <c r="L6" s="506"/>
      <c r="M6" s="506"/>
    </row>
    <row r="7" spans="1:13" x14ac:dyDescent="0.25">
      <c r="A7" s="510" t="s">
        <v>3048</v>
      </c>
      <c r="B7" s="502">
        <v>522678.96000000025</v>
      </c>
      <c r="C7" s="502">
        <v>-136300.21000000025</v>
      </c>
      <c r="D7" s="502">
        <v>386378.75</v>
      </c>
      <c r="E7" s="501">
        <v>-0.26077232953857599</v>
      </c>
      <c r="F7" s="506"/>
      <c r="G7" s="500">
        <v>11253.75</v>
      </c>
      <c r="H7" s="506"/>
      <c r="I7" s="500">
        <v>11253.75</v>
      </c>
      <c r="J7" s="506"/>
      <c r="K7" s="506"/>
      <c r="L7" s="506"/>
      <c r="M7" s="506"/>
    </row>
    <row r="8" spans="1:13" x14ac:dyDescent="0.25">
      <c r="A8" s="511" t="s">
        <v>391</v>
      </c>
      <c r="B8" s="502">
        <v>139977.52999999997</v>
      </c>
      <c r="C8" s="502">
        <v>100802.95000000001</v>
      </c>
      <c r="D8" s="502">
        <v>240780.47999999998</v>
      </c>
      <c r="E8" s="501">
        <v>0.72013665336143617</v>
      </c>
      <c r="F8" s="506"/>
      <c r="G8" s="500">
        <v>100802.95000000001</v>
      </c>
      <c r="H8" s="500">
        <v>100802.95000000001</v>
      </c>
      <c r="I8" s="506"/>
      <c r="J8" s="506"/>
      <c r="K8" s="506"/>
      <c r="L8" s="506"/>
      <c r="M8" s="506"/>
    </row>
    <row r="9" spans="1:13" x14ac:dyDescent="0.25">
      <c r="A9" s="511" t="s">
        <v>399</v>
      </c>
      <c r="B9" s="502">
        <v>9687.83</v>
      </c>
      <c r="C9" s="502">
        <v>35702.129999999997</v>
      </c>
      <c r="D9" s="502">
        <v>45389.96</v>
      </c>
      <c r="E9" s="501">
        <v>3.6852556248406505</v>
      </c>
      <c r="F9" s="506"/>
      <c r="G9" s="500">
        <v>35702.129999999997</v>
      </c>
      <c r="H9" s="500">
        <v>35702.129999999997</v>
      </c>
      <c r="I9" s="506"/>
      <c r="J9" s="506"/>
      <c r="K9" s="506"/>
      <c r="L9" s="506"/>
      <c r="M9" s="506"/>
    </row>
    <row r="10" spans="1:13" x14ac:dyDescent="0.25">
      <c r="A10" s="506" t="s">
        <v>390</v>
      </c>
      <c r="B10" s="500">
        <v>41844.44</v>
      </c>
      <c r="C10" s="500">
        <v>-4779.2000000000044</v>
      </c>
      <c r="D10" s="500">
        <v>37065.24</v>
      </c>
      <c r="E10" s="501">
        <v>-0.11421350124413193</v>
      </c>
      <c r="F10" s="506"/>
      <c r="G10" s="500">
        <v>-4779.2000000000044</v>
      </c>
      <c r="H10" s="500">
        <v>-4779.2000000000044</v>
      </c>
      <c r="I10" s="506"/>
      <c r="J10" s="506"/>
      <c r="K10" s="506"/>
      <c r="L10" s="506"/>
      <c r="M10" s="506"/>
    </row>
    <row r="11" spans="1:13" x14ac:dyDescent="0.25">
      <c r="A11" s="506" t="s">
        <v>394</v>
      </c>
      <c r="B11" s="500">
        <v>246747.47999999998</v>
      </c>
      <c r="C11" s="500">
        <v>-2586.5499999999884</v>
      </c>
      <c r="D11" s="500">
        <v>244160.93</v>
      </c>
      <c r="E11" s="501">
        <v>-1.0482579193919178E-2</v>
      </c>
      <c r="F11" s="506"/>
      <c r="G11" s="500">
        <v>-2586.5499999999884</v>
      </c>
      <c r="H11" s="506"/>
      <c r="I11" s="506"/>
      <c r="J11" s="500">
        <v>-2586.5499999999884</v>
      </c>
      <c r="K11" s="506"/>
      <c r="L11" s="506"/>
      <c r="M11" s="506"/>
    </row>
    <row r="12" spans="1:13" x14ac:dyDescent="0.25">
      <c r="A12" s="506" t="s">
        <v>395</v>
      </c>
      <c r="B12" s="500">
        <v>48043.029999999992</v>
      </c>
      <c r="C12" s="500">
        <v>4919.5940000000046</v>
      </c>
      <c r="D12" s="500">
        <v>52962.623999999996</v>
      </c>
      <c r="E12" s="501">
        <v>0.10239974456232268</v>
      </c>
      <c r="F12" s="506"/>
      <c r="G12" s="500">
        <v>4919.5940000000046</v>
      </c>
      <c r="H12" s="506"/>
      <c r="I12" s="506"/>
      <c r="J12" s="500">
        <v>4919.5940000000046</v>
      </c>
      <c r="K12" s="506"/>
      <c r="L12" s="506"/>
      <c r="M12" s="506"/>
    </row>
    <row r="13" spans="1:13" x14ac:dyDescent="0.25">
      <c r="A13" s="506" t="s">
        <v>392</v>
      </c>
      <c r="B13" s="500">
        <v>353660.87</v>
      </c>
      <c r="C13" s="500">
        <v>57910.277500000026</v>
      </c>
      <c r="D13" s="500">
        <v>411571.14750000002</v>
      </c>
      <c r="E13" s="501">
        <v>0.16374522151687301</v>
      </c>
      <c r="F13" s="506"/>
      <c r="G13" s="500">
        <v>57910.277500000026</v>
      </c>
      <c r="H13" s="506"/>
      <c r="I13" s="506"/>
      <c r="J13" s="506"/>
      <c r="K13" s="500">
        <v>57910.277500000026</v>
      </c>
      <c r="L13" s="506"/>
      <c r="M13" s="506"/>
    </row>
    <row r="14" spans="1:13" x14ac:dyDescent="0.25">
      <c r="A14" s="506" t="s">
        <v>393</v>
      </c>
      <c r="B14" s="500">
        <v>132610.02000000002</v>
      </c>
      <c r="C14" s="500">
        <v>33383.734499999962</v>
      </c>
      <c r="D14" s="500">
        <v>165993.75449999998</v>
      </c>
      <c r="E14" s="501">
        <v>0.25174368045491552</v>
      </c>
      <c r="F14" s="506"/>
      <c r="G14" s="500">
        <v>33383.734499999962</v>
      </c>
      <c r="H14" s="506"/>
      <c r="I14" s="506"/>
      <c r="J14" s="506"/>
      <c r="K14" s="500">
        <v>33383.734499999962</v>
      </c>
      <c r="L14" s="506"/>
      <c r="M14" s="506"/>
    </row>
    <row r="15" spans="1:13" x14ac:dyDescent="0.25">
      <c r="A15" s="506" t="s">
        <v>397</v>
      </c>
      <c r="B15" s="500">
        <v>212017.07</v>
      </c>
      <c r="C15" s="500">
        <v>27257.59295000002</v>
      </c>
      <c r="D15" s="500">
        <v>239274.66295000003</v>
      </c>
      <c r="E15" s="501">
        <v>0.12856319988763179</v>
      </c>
      <c r="F15" s="506"/>
      <c r="G15" s="500">
        <v>27257.59295000002</v>
      </c>
      <c r="H15" s="506"/>
      <c r="I15" s="506"/>
      <c r="J15" s="506"/>
      <c r="K15" s="500">
        <v>27257.59295000002</v>
      </c>
      <c r="L15" s="506"/>
      <c r="M15" s="506"/>
    </row>
    <row r="16" spans="1:13" x14ac:dyDescent="0.25">
      <c r="A16" s="506" t="s">
        <v>398</v>
      </c>
      <c r="B16" s="500">
        <v>45042.659999999996</v>
      </c>
      <c r="C16" s="500">
        <v>27125.198000000011</v>
      </c>
      <c r="D16" s="500">
        <v>72167.858000000007</v>
      </c>
      <c r="E16" s="501">
        <v>0.60221128148293224</v>
      </c>
      <c r="F16" s="506"/>
      <c r="G16" s="500">
        <v>27125.198000000011</v>
      </c>
      <c r="H16" s="506"/>
      <c r="I16" s="506"/>
      <c r="J16" s="506"/>
      <c r="K16" s="500">
        <v>27125.198000000011</v>
      </c>
      <c r="L16" s="506"/>
      <c r="M16" s="506"/>
    </row>
    <row r="17" spans="1:13" x14ac:dyDescent="0.25">
      <c r="A17" s="506" t="s">
        <v>402</v>
      </c>
      <c r="B17" s="500">
        <v>75204.009999999995</v>
      </c>
      <c r="C17" s="500">
        <v>20779.356499999994</v>
      </c>
      <c r="D17" s="500">
        <v>95983.366499999989</v>
      </c>
      <c r="E17" s="501">
        <v>0.27630649615625547</v>
      </c>
      <c r="F17" s="506"/>
      <c r="G17" s="500">
        <v>20779.356499999994</v>
      </c>
      <c r="H17" s="506"/>
      <c r="I17" s="506"/>
      <c r="J17" s="506"/>
      <c r="K17" s="500">
        <v>20779.356499999994</v>
      </c>
      <c r="L17" s="506"/>
      <c r="M17" s="506"/>
    </row>
    <row r="18" spans="1:13" x14ac:dyDescent="0.25">
      <c r="A18" s="506" t="s">
        <v>403</v>
      </c>
      <c r="B18" s="500">
        <v>360300.98</v>
      </c>
      <c r="C18" s="500">
        <v>73976.058499999985</v>
      </c>
      <c r="D18" s="500">
        <v>434277.03849999997</v>
      </c>
      <c r="E18" s="501">
        <v>0.20531739464044751</v>
      </c>
      <c r="F18" s="506"/>
      <c r="G18" s="500">
        <v>73976.058499999985</v>
      </c>
      <c r="H18" s="506"/>
      <c r="I18" s="506"/>
      <c r="J18" s="506"/>
      <c r="K18" s="500">
        <v>73976.058499999985</v>
      </c>
      <c r="L18" s="506"/>
      <c r="M18" s="506"/>
    </row>
    <row r="19" spans="1:13" x14ac:dyDescent="0.25">
      <c r="A19" s="506" t="s">
        <v>396</v>
      </c>
      <c r="B19" s="500">
        <v>40595.42</v>
      </c>
      <c r="C19" s="500">
        <v>2808.2304000000004</v>
      </c>
      <c r="D19" s="500">
        <v>43403.650399999999</v>
      </c>
      <c r="E19" s="501">
        <v>6.9176040055750149E-2</v>
      </c>
      <c r="F19" s="506"/>
      <c r="G19" s="500">
        <v>2808.2304000000004</v>
      </c>
      <c r="H19" s="506"/>
      <c r="I19" s="506"/>
      <c r="J19" s="506"/>
      <c r="K19" s="500">
        <v>2808.2304000000004</v>
      </c>
      <c r="L19" s="506"/>
      <c r="M19" s="506"/>
    </row>
    <row r="20" spans="1:13" x14ac:dyDescent="0.25">
      <c r="A20" s="506" t="s">
        <v>400</v>
      </c>
      <c r="B20" s="500">
        <v>144580.17999999996</v>
      </c>
      <c r="C20" s="500">
        <v>40251.131250000035</v>
      </c>
      <c r="D20" s="500">
        <v>184831.31125</v>
      </c>
      <c r="E20" s="501">
        <v>0.27840006320368427</v>
      </c>
      <c r="F20" s="506"/>
      <c r="G20" s="500">
        <v>40251.131250000035</v>
      </c>
      <c r="H20" s="506"/>
      <c r="I20" s="506"/>
      <c r="J20" s="506"/>
      <c r="K20" s="506"/>
      <c r="L20" s="500">
        <v>40251.131250000035</v>
      </c>
      <c r="M20" s="506"/>
    </row>
    <row r="21" spans="1:13" x14ac:dyDescent="0.25">
      <c r="A21" s="506" t="s">
        <v>401</v>
      </c>
      <c r="B21" s="500">
        <v>76895.199999999983</v>
      </c>
      <c r="C21" s="500">
        <v>2445.8400000000256</v>
      </c>
      <c r="D21" s="500">
        <v>79341.040000000008</v>
      </c>
      <c r="E21" s="501">
        <v>3.180744701879995E-2</v>
      </c>
      <c r="F21" s="506"/>
      <c r="G21" s="500">
        <v>2445.8400000000256</v>
      </c>
      <c r="H21" s="506"/>
      <c r="I21" s="506"/>
      <c r="J21" s="506"/>
      <c r="K21" s="506"/>
      <c r="L21" s="500">
        <v>2445.8400000000256</v>
      </c>
      <c r="M21" s="506"/>
    </row>
    <row r="22" spans="1:13" x14ac:dyDescent="0.25">
      <c r="A22" s="506" t="s">
        <v>404</v>
      </c>
      <c r="B22" s="503">
        <v>105522.38000000002</v>
      </c>
      <c r="C22" s="503">
        <v>33399.530450000006</v>
      </c>
      <c r="D22" s="503">
        <v>138921.91045000002</v>
      </c>
      <c r="E22" s="504">
        <v>0.31651608360236</v>
      </c>
      <c r="F22" s="512"/>
      <c r="G22" s="503">
        <v>33399.530450000006</v>
      </c>
      <c r="H22" s="513"/>
      <c r="I22" s="513"/>
      <c r="J22" s="513"/>
      <c r="K22" s="513"/>
      <c r="L22" s="503">
        <v>33399.530450000006</v>
      </c>
      <c r="M22" s="506"/>
    </row>
    <row r="23" spans="1:13" x14ac:dyDescent="0.25">
      <c r="A23" s="506" t="s">
        <v>3049</v>
      </c>
      <c r="B23" s="500">
        <v>2738801.4600000004</v>
      </c>
      <c r="C23" s="500">
        <v>319459.11404999904</v>
      </c>
      <c r="D23" s="500">
        <v>3058260.5740499995</v>
      </c>
      <c r="E23" s="501">
        <v>0.11664193944529261</v>
      </c>
      <c r="F23" s="506"/>
      <c r="G23" s="500">
        <v>467013.07405000011</v>
      </c>
      <c r="H23" s="500">
        <v>134089.32999999999</v>
      </c>
      <c r="I23" s="500">
        <v>11253.75</v>
      </c>
      <c r="J23" s="500">
        <v>2333.0440000000162</v>
      </c>
      <c r="K23" s="500">
        <v>243240.44834999999</v>
      </c>
      <c r="L23" s="500">
        <v>76096.501700000066</v>
      </c>
      <c r="M23" s="500"/>
    </row>
    <row r="26" spans="1:13" x14ac:dyDescent="0.25">
      <c r="A26" s="506" t="s">
        <v>3110</v>
      </c>
    </row>
  </sheetData>
  <pageMargins left="0.25" right="0.25" top="0.75" bottom="0.75" header="0.3" footer="0.3"/>
  <pageSetup scale="91" fitToHeight="0" orientation="landscape" r:id="rId1"/>
  <headerFooter>
    <oddFooter>&amp;L&amp;D&amp;C&amp;A&amp;RPage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"/>
  <sheetViews>
    <sheetView workbookViewId="0">
      <selection activeCell="D23" sqref="D23"/>
    </sheetView>
  </sheetViews>
  <sheetFormatPr defaultRowHeight="15.75" x14ac:dyDescent="0.25"/>
  <cols>
    <col min="2" max="2" width="25.33203125" customWidth="1"/>
  </cols>
  <sheetData>
    <row r="1" spans="2:3" x14ac:dyDescent="0.25">
      <c r="B1" s="427" t="s">
        <v>345</v>
      </c>
    </row>
    <row r="3" spans="2:3" x14ac:dyDescent="0.25">
      <c r="B3" s="448" t="s">
        <v>2797</v>
      </c>
    </row>
    <row r="4" spans="2:3" x14ac:dyDescent="0.25">
      <c r="B4" s="449" t="s">
        <v>2610</v>
      </c>
      <c r="C4" s="449" t="s">
        <v>2650</v>
      </c>
    </row>
    <row r="5" spans="2:3" x14ac:dyDescent="0.25">
      <c r="B5" s="449" t="s">
        <v>2798</v>
      </c>
      <c r="C5" s="450">
        <v>505</v>
      </c>
    </row>
    <row r="6" spans="2:3" x14ac:dyDescent="0.25">
      <c r="B6" s="449" t="s">
        <v>2795</v>
      </c>
      <c r="C6" s="450">
        <v>550</v>
      </c>
    </row>
    <row r="7" spans="2:3" x14ac:dyDescent="0.25">
      <c r="B7" s="449" t="s">
        <v>2799</v>
      </c>
      <c r="C7" s="450">
        <v>1095</v>
      </c>
    </row>
    <row r="8" spans="2:3" x14ac:dyDescent="0.25">
      <c r="B8" s="449" t="s">
        <v>2800</v>
      </c>
      <c r="C8" s="450">
        <v>55</v>
      </c>
    </row>
    <row r="9" spans="2:3" x14ac:dyDescent="0.25">
      <c r="B9" s="449" t="s">
        <v>2801</v>
      </c>
      <c r="C9" s="450">
        <v>400</v>
      </c>
    </row>
    <row r="10" spans="2:3" x14ac:dyDescent="0.25">
      <c r="B10" s="449" t="s">
        <v>2802</v>
      </c>
      <c r="C10" s="450">
        <v>161</v>
      </c>
    </row>
    <row r="11" spans="2:3" x14ac:dyDescent="0.25">
      <c r="B11" s="449" t="s">
        <v>2796</v>
      </c>
      <c r="C11" s="450">
        <v>675</v>
      </c>
    </row>
    <row r="12" spans="2:3" x14ac:dyDescent="0.25">
      <c r="B12" s="449" t="s">
        <v>2803</v>
      </c>
      <c r="C12" s="450">
        <v>49</v>
      </c>
    </row>
    <row r="13" spans="2:3" x14ac:dyDescent="0.25">
      <c r="B13" s="449" t="s">
        <v>2804</v>
      </c>
      <c r="C13" s="450">
        <v>220</v>
      </c>
    </row>
    <row r="14" spans="2:3" x14ac:dyDescent="0.25">
      <c r="B14" s="449" t="s">
        <v>2805</v>
      </c>
      <c r="C14" s="450">
        <v>225</v>
      </c>
    </row>
    <row r="15" spans="2:3" x14ac:dyDescent="0.25">
      <c r="B15" s="449" t="s">
        <v>2806</v>
      </c>
      <c r="C15" s="450">
        <v>21480</v>
      </c>
    </row>
    <row r="16" spans="2:3" x14ac:dyDescent="0.25">
      <c r="B16" s="449" t="s">
        <v>2623</v>
      </c>
      <c r="C16" s="450">
        <v>25415</v>
      </c>
    </row>
  </sheetData>
  <pageMargins left="0.7" right="0.7" top="0.75" bottom="0.75" header="0.3" footer="0.3"/>
  <pageSetup orientation="portrait" r:id="rId1"/>
  <headerFooter>
    <oddFooter>&amp;L&amp;D&amp;C&amp;A&amp;RPage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workbookViewId="0">
      <selection activeCell="R35" sqref="R35"/>
    </sheetView>
  </sheetViews>
  <sheetFormatPr defaultRowHeight="15.75" x14ac:dyDescent="0.25"/>
  <sheetData>
    <row r="1" spans="1:15" x14ac:dyDescent="0.25">
      <c r="A1" s="484" t="s">
        <v>345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</row>
    <row r="2" spans="1:15" x14ac:dyDescent="0.25">
      <c r="A2" s="484" t="s">
        <v>3095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</row>
    <row r="3" spans="1:15" x14ac:dyDescent="0.25">
      <c r="A3" s="484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</row>
    <row r="4" spans="1:15" x14ac:dyDescent="0.25">
      <c r="A4" s="484" t="s">
        <v>3097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</row>
    <row r="5" spans="1:15" x14ac:dyDescent="0.25">
      <c r="A5" s="484" t="s">
        <v>3096</v>
      </c>
      <c r="B5" s="484"/>
      <c r="C5" s="484"/>
      <c r="D5" s="484"/>
      <c r="E5" s="485">
        <v>2039</v>
      </c>
      <c r="F5" s="485"/>
      <c r="G5" s="485"/>
      <c r="H5" s="484"/>
      <c r="I5" s="484"/>
      <c r="J5" s="484"/>
      <c r="K5" s="484"/>
      <c r="L5" s="484"/>
      <c r="M5" s="484"/>
      <c r="N5" s="484"/>
      <c r="O5" s="484"/>
    </row>
    <row r="6" spans="1:15" x14ac:dyDescent="0.25">
      <c r="A6" s="484" t="s">
        <v>3098</v>
      </c>
      <c r="B6" s="484"/>
      <c r="C6" s="484"/>
      <c r="D6" s="484"/>
      <c r="E6" s="485">
        <f>87.5+87.5+262.5+131.25+43.75+87.5+87.5+612.5+131.25+175+175</f>
        <v>1881.25</v>
      </c>
      <c r="F6" s="485"/>
      <c r="G6" s="485"/>
      <c r="H6" s="484"/>
      <c r="I6" s="484"/>
      <c r="J6" s="484"/>
      <c r="K6" s="484"/>
      <c r="L6" s="484"/>
      <c r="M6" s="484"/>
      <c r="N6" s="484"/>
      <c r="O6" s="484"/>
    </row>
    <row r="7" spans="1:15" x14ac:dyDescent="0.25">
      <c r="A7" s="484" t="s">
        <v>3099</v>
      </c>
      <c r="B7" s="484"/>
      <c r="C7" s="484"/>
      <c r="D7" s="484"/>
      <c r="E7" s="485">
        <f>6212.5-87.5-437.5-525-875-262.5</f>
        <v>4025</v>
      </c>
      <c r="F7" s="485"/>
      <c r="G7" s="485"/>
      <c r="H7" s="484"/>
      <c r="I7" s="484"/>
      <c r="J7" s="484"/>
      <c r="K7" s="484"/>
      <c r="L7" s="484"/>
      <c r="M7" s="484"/>
      <c r="N7" s="484"/>
      <c r="O7" s="484"/>
    </row>
    <row r="8" spans="1:15" x14ac:dyDescent="0.25">
      <c r="A8" s="484" t="s">
        <v>3100</v>
      </c>
      <c r="B8" s="484"/>
      <c r="C8" s="484"/>
      <c r="D8" s="484"/>
      <c r="E8" s="485">
        <v>3850</v>
      </c>
      <c r="F8" s="485"/>
      <c r="G8" s="485"/>
      <c r="H8" s="484"/>
      <c r="I8" s="484"/>
      <c r="J8" s="484"/>
      <c r="K8" s="484"/>
      <c r="L8" s="484"/>
      <c r="M8" s="484"/>
      <c r="N8" s="484"/>
      <c r="O8" s="484"/>
    </row>
    <row r="9" spans="1:15" x14ac:dyDescent="0.25">
      <c r="A9" s="484" t="s">
        <v>3101</v>
      </c>
      <c r="B9" s="484"/>
      <c r="C9" s="484"/>
      <c r="D9" s="484"/>
      <c r="E9" s="551">
        <f>(1.5+3+4+0.75+2.5+9.5+11+9)*175</f>
        <v>7218.75</v>
      </c>
      <c r="F9" s="485"/>
      <c r="G9" s="485"/>
      <c r="H9" s="484"/>
      <c r="I9" s="484"/>
      <c r="J9" s="484"/>
      <c r="K9" s="484"/>
      <c r="L9" s="484"/>
      <c r="M9" s="484"/>
      <c r="N9" s="484"/>
      <c r="O9" s="484"/>
    </row>
    <row r="10" spans="1:15" x14ac:dyDescent="0.25">
      <c r="A10" s="484" t="s">
        <v>3102</v>
      </c>
      <c r="B10" s="484"/>
      <c r="C10" s="484"/>
      <c r="D10" s="484"/>
      <c r="E10" s="493">
        <f>40*175</f>
        <v>7000</v>
      </c>
      <c r="F10" s="485"/>
      <c r="G10" s="485"/>
      <c r="H10" s="484"/>
      <c r="I10" s="484"/>
      <c r="J10" s="484"/>
      <c r="K10" s="484"/>
      <c r="L10" s="484"/>
      <c r="M10" s="484"/>
      <c r="N10" s="484"/>
      <c r="O10" s="484"/>
    </row>
    <row r="11" spans="1:15" x14ac:dyDescent="0.25">
      <c r="A11" s="484"/>
      <c r="B11" s="484"/>
      <c r="C11" s="484"/>
      <c r="D11" s="484"/>
      <c r="E11" s="485">
        <f>SUM(E5:E10)</f>
        <v>26014</v>
      </c>
      <c r="F11" s="485"/>
      <c r="G11" s="485"/>
      <c r="H11" s="484"/>
      <c r="I11" s="484"/>
      <c r="J11" s="484"/>
      <c r="K11" s="484"/>
      <c r="L11" s="484"/>
      <c r="M11" s="484"/>
      <c r="N11" s="484"/>
      <c r="O11" s="484"/>
    </row>
    <row r="12" spans="1:15" x14ac:dyDescent="0.25">
      <c r="A12" s="484"/>
      <c r="B12" s="484"/>
      <c r="C12" s="484"/>
      <c r="D12" s="484"/>
      <c r="E12" s="485"/>
      <c r="F12" s="485"/>
      <c r="G12" s="485"/>
      <c r="H12" s="484"/>
      <c r="I12" s="484"/>
      <c r="J12" s="484"/>
      <c r="K12" s="484"/>
      <c r="L12" s="484"/>
      <c r="M12" s="484"/>
      <c r="N12" s="484"/>
      <c r="O12" s="484"/>
    </row>
    <row r="13" spans="1:15" x14ac:dyDescent="0.25">
      <c r="A13" s="484" t="s">
        <v>3103</v>
      </c>
      <c r="B13" s="484"/>
      <c r="C13" s="484"/>
      <c r="D13" s="484"/>
      <c r="E13" s="493">
        <f>10875+2475</f>
        <v>13350</v>
      </c>
      <c r="F13" s="485"/>
      <c r="G13" s="485"/>
      <c r="H13" s="484"/>
      <c r="I13" s="484"/>
      <c r="J13" s="484"/>
      <c r="K13" s="484"/>
      <c r="L13" s="484"/>
      <c r="M13" s="484"/>
      <c r="N13" s="484"/>
      <c r="O13" s="484"/>
    </row>
    <row r="14" spans="1:15" x14ac:dyDescent="0.25">
      <c r="A14" s="484" t="s">
        <v>3104</v>
      </c>
      <c r="B14" s="484"/>
      <c r="C14" s="484"/>
      <c r="D14" s="484"/>
      <c r="E14" s="485">
        <f>+E11+E13</f>
        <v>39364</v>
      </c>
      <c r="F14" s="485"/>
      <c r="G14" s="485"/>
      <c r="H14" s="484"/>
      <c r="I14" s="484"/>
      <c r="J14" s="484"/>
      <c r="K14" s="484"/>
      <c r="L14" s="484"/>
      <c r="M14" s="484"/>
      <c r="N14" s="484"/>
      <c r="O14" s="484"/>
    </row>
    <row r="15" spans="1:15" x14ac:dyDescent="0.25">
      <c r="A15" s="484"/>
      <c r="B15" s="484"/>
      <c r="C15" s="484"/>
      <c r="D15" s="484"/>
      <c r="E15" s="485"/>
      <c r="F15" s="485"/>
      <c r="G15" s="485"/>
      <c r="H15" s="484"/>
      <c r="I15" s="484"/>
      <c r="J15" s="484"/>
      <c r="K15" s="484"/>
      <c r="L15" s="484"/>
      <c r="M15" s="484"/>
      <c r="N15" s="484"/>
      <c r="O15" s="484"/>
    </row>
    <row r="16" spans="1:15" x14ac:dyDescent="0.25">
      <c r="A16" s="484" t="s">
        <v>3105</v>
      </c>
      <c r="B16" s="484"/>
      <c r="C16" s="484"/>
      <c r="D16" s="484"/>
      <c r="E16" s="485"/>
      <c r="F16" s="485"/>
      <c r="G16" s="485"/>
      <c r="H16" s="484"/>
      <c r="I16" s="484"/>
      <c r="J16" s="484"/>
      <c r="K16" s="484"/>
      <c r="L16" s="484"/>
      <c r="M16" s="484"/>
      <c r="N16" s="484"/>
      <c r="O16" s="484"/>
    </row>
    <row r="17" spans="1:15" x14ac:dyDescent="0.25">
      <c r="A17" s="484" t="s">
        <v>3106</v>
      </c>
      <c r="B17" s="484"/>
      <c r="C17" s="484"/>
      <c r="D17" s="484"/>
      <c r="E17" s="485">
        <f>6150*0.49</f>
        <v>3013.5</v>
      </c>
      <c r="F17" s="485"/>
      <c r="G17" s="485"/>
      <c r="H17" s="484"/>
      <c r="I17" s="484"/>
      <c r="J17" s="484"/>
      <c r="K17" s="484"/>
      <c r="L17" s="484"/>
      <c r="M17" s="484"/>
      <c r="N17" s="484"/>
      <c r="O17" s="484"/>
    </row>
    <row r="18" spans="1:15" x14ac:dyDescent="0.25">
      <c r="A18" s="484" t="s">
        <v>3107</v>
      </c>
      <c r="B18" s="484"/>
      <c r="C18" s="484"/>
      <c r="D18" s="484"/>
      <c r="E18" s="493">
        <f>6150*0.75</f>
        <v>4612.5</v>
      </c>
      <c r="F18" s="485"/>
      <c r="G18" s="485"/>
      <c r="H18" s="484"/>
      <c r="I18" s="484"/>
      <c r="J18" s="484"/>
      <c r="K18" s="484"/>
      <c r="L18" s="484"/>
      <c r="M18" s="484"/>
      <c r="N18" s="484"/>
      <c r="O18" s="484"/>
    </row>
    <row r="19" spans="1:15" x14ac:dyDescent="0.25">
      <c r="A19" s="484"/>
      <c r="B19" s="484"/>
      <c r="C19" s="484"/>
      <c r="D19" s="484"/>
      <c r="E19" s="485">
        <f>SUM(E17:E18)</f>
        <v>7626</v>
      </c>
      <c r="F19" s="485"/>
      <c r="G19" s="485"/>
      <c r="H19" s="484"/>
      <c r="I19" s="484"/>
      <c r="J19" s="484"/>
      <c r="K19" s="484"/>
      <c r="L19" s="484"/>
      <c r="M19" s="484"/>
      <c r="N19" s="484"/>
      <c r="O19" s="484"/>
    </row>
    <row r="20" spans="1:15" x14ac:dyDescent="0.25">
      <c r="A20" s="484"/>
      <c r="B20" s="484"/>
      <c r="C20" s="484"/>
      <c r="D20" s="484"/>
      <c r="E20" s="485"/>
      <c r="F20" s="485"/>
      <c r="G20" s="485"/>
      <c r="H20" s="484"/>
      <c r="I20" s="484"/>
      <c r="J20" s="484"/>
      <c r="K20" s="484"/>
      <c r="L20" s="484"/>
      <c r="M20" s="484"/>
      <c r="N20" s="484"/>
      <c r="O20" s="484"/>
    </row>
    <row r="21" spans="1:15" x14ac:dyDescent="0.25">
      <c r="A21" s="484" t="s">
        <v>3108</v>
      </c>
      <c r="B21" s="484"/>
      <c r="C21" s="484"/>
      <c r="D21" s="484"/>
      <c r="E21" s="485">
        <f>+E14+E19</f>
        <v>46990</v>
      </c>
      <c r="F21" s="485"/>
      <c r="G21" s="485"/>
      <c r="H21" s="484"/>
      <c r="I21" s="484"/>
      <c r="J21" s="484"/>
      <c r="K21" s="484"/>
      <c r="L21" s="484"/>
      <c r="M21" s="484"/>
      <c r="N21" s="484"/>
      <c r="O21" s="484"/>
    </row>
    <row r="22" spans="1:15" x14ac:dyDescent="0.25">
      <c r="A22" s="484"/>
      <c r="B22" s="484"/>
      <c r="C22" s="484"/>
      <c r="D22" s="484"/>
      <c r="E22" s="485"/>
      <c r="F22" s="485"/>
      <c r="G22" s="485"/>
      <c r="H22" s="484"/>
      <c r="I22" s="484"/>
      <c r="J22" s="484"/>
      <c r="K22" s="484"/>
      <c r="L22" s="484"/>
      <c r="M22" s="484"/>
      <c r="N22" s="484"/>
      <c r="O22" s="484"/>
    </row>
    <row r="23" spans="1:15" x14ac:dyDescent="0.25">
      <c r="A23" s="484"/>
      <c r="B23" s="484"/>
      <c r="C23" s="484"/>
      <c r="D23" s="484"/>
      <c r="E23" s="485"/>
      <c r="F23" s="485"/>
      <c r="G23" s="485"/>
      <c r="H23" s="484"/>
      <c r="I23" s="484"/>
      <c r="J23" s="484"/>
      <c r="K23" s="484"/>
      <c r="L23" s="484"/>
      <c r="M23" s="484"/>
      <c r="N23" s="484"/>
      <c r="O23" s="484"/>
    </row>
    <row r="24" spans="1:15" x14ac:dyDescent="0.25">
      <c r="A24" s="484"/>
      <c r="B24" s="484"/>
      <c r="C24" s="484"/>
      <c r="D24" s="484"/>
      <c r="E24" s="485"/>
      <c r="F24" s="485"/>
      <c r="G24" s="485"/>
      <c r="H24" s="484"/>
      <c r="I24" s="484"/>
      <c r="J24" s="484"/>
      <c r="K24" s="484"/>
      <c r="L24" s="484"/>
      <c r="M24" s="484"/>
      <c r="N24" s="484"/>
      <c r="O24" s="484"/>
    </row>
    <row r="25" spans="1:15" x14ac:dyDescent="0.25">
      <c r="A25" s="484"/>
      <c r="B25" s="484"/>
      <c r="C25" s="484"/>
      <c r="D25" s="484"/>
      <c r="E25" s="485"/>
      <c r="F25" s="485"/>
      <c r="G25" s="485"/>
      <c r="H25" s="484"/>
      <c r="I25" s="484"/>
      <c r="J25" s="484"/>
      <c r="K25" s="484"/>
      <c r="L25" s="484"/>
      <c r="M25" s="484"/>
      <c r="N25" s="484"/>
      <c r="O25" s="484"/>
    </row>
    <row r="26" spans="1:15" x14ac:dyDescent="0.25">
      <c r="A26" s="484"/>
      <c r="B26" s="484"/>
      <c r="C26" s="484"/>
      <c r="D26" s="484"/>
      <c r="E26" s="485"/>
      <c r="F26" s="485"/>
      <c r="G26" s="485"/>
      <c r="H26" s="484"/>
      <c r="I26" s="484"/>
      <c r="J26" s="484"/>
      <c r="K26" s="484"/>
      <c r="L26" s="484"/>
      <c r="M26" s="484"/>
      <c r="N26" s="484"/>
      <c r="O26" s="484"/>
    </row>
    <row r="27" spans="1:15" x14ac:dyDescent="0.25">
      <c r="A27" s="484"/>
      <c r="B27" s="484"/>
      <c r="C27" s="484"/>
      <c r="D27" s="484"/>
      <c r="E27" s="485"/>
      <c r="F27" s="485"/>
      <c r="G27" s="485"/>
      <c r="H27" s="484"/>
      <c r="I27" s="484"/>
      <c r="J27" s="484"/>
      <c r="K27" s="484"/>
      <c r="L27" s="484"/>
      <c r="M27" s="484"/>
      <c r="N27" s="484"/>
      <c r="O27" s="484"/>
    </row>
    <row r="28" spans="1:15" x14ac:dyDescent="0.25">
      <c r="A28" s="484"/>
      <c r="B28" s="484"/>
      <c r="C28" s="484"/>
      <c r="D28" s="484"/>
      <c r="E28" s="485"/>
      <c r="F28" s="485"/>
      <c r="G28" s="485"/>
      <c r="H28" s="484"/>
      <c r="I28" s="484"/>
      <c r="J28" s="484"/>
      <c r="K28" s="484"/>
      <c r="L28" s="484"/>
      <c r="M28" s="484"/>
      <c r="N28" s="484"/>
      <c r="O28" s="484"/>
    </row>
    <row r="29" spans="1:15" x14ac:dyDescent="0.25">
      <c r="A29" s="484"/>
      <c r="B29" s="484"/>
      <c r="C29" s="484"/>
      <c r="D29" s="484"/>
      <c r="E29" s="485"/>
      <c r="F29" s="485"/>
      <c r="G29" s="485"/>
      <c r="H29" s="484"/>
      <c r="I29" s="484"/>
      <c r="J29" s="484"/>
      <c r="K29" s="484"/>
      <c r="L29" s="484"/>
      <c r="M29" s="484"/>
      <c r="N29" s="484"/>
      <c r="O29" s="484"/>
    </row>
    <row r="30" spans="1:15" x14ac:dyDescent="0.25">
      <c r="A30" s="484"/>
      <c r="B30" s="484"/>
      <c r="C30" s="484"/>
      <c r="D30" s="484"/>
      <c r="E30" s="485"/>
      <c r="F30" s="485"/>
      <c r="G30" s="485"/>
      <c r="H30" s="484"/>
      <c r="I30" s="484"/>
      <c r="J30" s="484"/>
      <c r="K30" s="484"/>
      <c r="L30" s="484"/>
      <c r="M30" s="484"/>
      <c r="N30" s="484"/>
      <c r="O30" s="484"/>
    </row>
    <row r="31" spans="1:15" x14ac:dyDescent="0.25">
      <c r="A31" s="484"/>
      <c r="B31" s="484"/>
      <c r="C31" s="484"/>
      <c r="D31" s="484"/>
      <c r="E31" s="485"/>
      <c r="F31" s="485"/>
      <c r="G31" s="485"/>
      <c r="H31" s="484"/>
      <c r="I31" s="484"/>
      <c r="J31" s="484"/>
      <c r="K31" s="484"/>
      <c r="L31" s="484"/>
      <c r="M31" s="484"/>
      <c r="N31" s="484"/>
      <c r="O31" s="484"/>
    </row>
    <row r="32" spans="1:15" x14ac:dyDescent="0.25">
      <c r="A32" s="484"/>
      <c r="B32" s="484"/>
      <c r="C32" s="484"/>
      <c r="D32" s="484"/>
      <c r="E32" s="485"/>
      <c r="F32" s="485"/>
      <c r="G32" s="485"/>
      <c r="H32" s="484"/>
      <c r="I32" s="484"/>
      <c r="J32" s="484"/>
      <c r="K32" s="484"/>
      <c r="L32" s="484"/>
      <c r="M32" s="484"/>
      <c r="N32" s="484"/>
      <c r="O32" s="484"/>
    </row>
    <row r="33" spans="1:15" x14ac:dyDescent="0.25">
      <c r="A33" s="484"/>
      <c r="B33" s="484"/>
      <c r="C33" s="484"/>
      <c r="D33" s="484"/>
      <c r="E33" s="485"/>
      <c r="F33" s="485"/>
      <c r="G33" s="485"/>
      <c r="H33" s="484"/>
      <c r="I33" s="484"/>
      <c r="J33" s="484"/>
      <c r="K33" s="484"/>
      <c r="L33" s="484"/>
      <c r="M33" s="484"/>
      <c r="N33" s="484"/>
      <c r="O33" s="484"/>
    </row>
    <row r="34" spans="1:15" x14ac:dyDescent="0.25">
      <c r="A34" s="484"/>
      <c r="B34" s="484"/>
      <c r="C34" s="484"/>
      <c r="D34" s="484"/>
      <c r="E34" s="485"/>
      <c r="F34" s="485"/>
      <c r="G34" s="485"/>
      <c r="H34" s="484"/>
      <c r="I34" s="484"/>
      <c r="J34" s="484"/>
      <c r="K34" s="484"/>
      <c r="L34" s="484"/>
      <c r="M34" s="484"/>
      <c r="N34" s="484"/>
      <c r="O34" s="484"/>
    </row>
    <row r="35" spans="1:15" x14ac:dyDescent="0.25">
      <c r="A35" s="484"/>
      <c r="B35" s="484"/>
      <c r="C35" s="484"/>
      <c r="D35" s="484"/>
      <c r="E35" s="485"/>
      <c r="F35" s="485"/>
      <c r="G35" s="485"/>
      <c r="H35" s="484"/>
      <c r="I35" s="484"/>
      <c r="J35" s="484"/>
      <c r="K35" s="484"/>
      <c r="L35" s="484"/>
      <c r="M35" s="484"/>
      <c r="N35" s="484"/>
      <c r="O35" s="484"/>
    </row>
    <row r="36" spans="1:15" x14ac:dyDescent="0.25">
      <c r="A36" s="484"/>
      <c r="B36" s="484"/>
      <c r="C36" s="484"/>
      <c r="D36" s="484"/>
      <c r="E36" s="485"/>
      <c r="F36" s="485"/>
      <c r="G36" s="485"/>
      <c r="H36" s="484"/>
      <c r="I36" s="484"/>
      <c r="J36" s="484"/>
      <c r="K36" s="484"/>
      <c r="L36" s="484"/>
      <c r="M36" s="484"/>
      <c r="N36" s="484"/>
      <c r="O36" s="484"/>
    </row>
    <row r="37" spans="1:15" x14ac:dyDescent="0.25">
      <c r="A37" s="484"/>
      <c r="B37" s="484"/>
      <c r="C37" s="484"/>
      <c r="D37" s="484"/>
      <c r="E37" s="485"/>
      <c r="F37" s="485"/>
      <c r="G37" s="485"/>
      <c r="H37" s="484"/>
      <c r="I37" s="484"/>
      <c r="J37" s="484"/>
      <c r="K37" s="484"/>
      <c r="L37" s="484"/>
      <c r="M37" s="484"/>
      <c r="N37" s="484"/>
      <c r="O37" s="484"/>
    </row>
    <row r="38" spans="1:15" x14ac:dyDescent="0.25">
      <c r="A38" s="484"/>
      <c r="B38" s="484"/>
      <c r="C38" s="484"/>
      <c r="D38" s="484"/>
      <c r="E38" s="485"/>
      <c r="F38" s="485"/>
      <c r="G38" s="485"/>
      <c r="H38" s="484"/>
      <c r="I38" s="484"/>
      <c r="J38" s="484"/>
      <c r="K38" s="484"/>
      <c r="L38" s="484"/>
      <c r="M38" s="484"/>
      <c r="N38" s="484"/>
      <c r="O38" s="484"/>
    </row>
    <row r="39" spans="1:15" x14ac:dyDescent="0.25">
      <c r="A39" s="484"/>
      <c r="B39" s="484"/>
      <c r="C39" s="484"/>
      <c r="D39" s="484"/>
      <c r="E39" s="485"/>
      <c r="F39" s="485"/>
      <c r="G39" s="485"/>
      <c r="H39" s="484"/>
      <c r="I39" s="484"/>
      <c r="J39" s="484"/>
      <c r="K39" s="484"/>
      <c r="L39" s="484"/>
      <c r="M39" s="484"/>
      <c r="N39" s="484"/>
      <c r="O39" s="484"/>
    </row>
    <row r="40" spans="1:15" x14ac:dyDescent="0.25">
      <c r="A40" s="484"/>
      <c r="B40" s="484"/>
      <c r="C40" s="484"/>
      <c r="D40" s="484"/>
      <c r="E40" s="485"/>
      <c r="F40" s="485"/>
      <c r="G40" s="485"/>
      <c r="H40" s="484"/>
      <c r="I40" s="484"/>
      <c r="J40" s="484"/>
      <c r="K40" s="484"/>
      <c r="L40" s="484"/>
      <c r="M40" s="484"/>
      <c r="N40" s="484"/>
      <c r="O40" s="484"/>
    </row>
    <row r="41" spans="1:15" x14ac:dyDescent="0.25">
      <c r="A41" s="484"/>
      <c r="B41" s="484"/>
      <c r="C41" s="484"/>
      <c r="D41" s="484"/>
      <c r="E41" s="485"/>
      <c r="F41" s="485"/>
      <c r="G41" s="485"/>
      <c r="H41" s="484"/>
      <c r="I41" s="484"/>
      <c r="J41" s="484"/>
      <c r="K41" s="484"/>
      <c r="L41" s="484"/>
      <c r="M41" s="484"/>
      <c r="N41" s="484"/>
      <c r="O41" s="484"/>
    </row>
    <row r="42" spans="1:15" x14ac:dyDescent="0.25">
      <c r="A42" s="484"/>
      <c r="B42" s="484"/>
      <c r="C42" s="484"/>
      <c r="D42" s="484"/>
      <c r="E42" s="485"/>
      <c r="F42" s="485"/>
      <c r="G42" s="485"/>
      <c r="H42" s="484"/>
      <c r="I42" s="484"/>
      <c r="J42" s="484"/>
      <c r="K42" s="484"/>
      <c r="L42" s="484"/>
      <c r="M42" s="484"/>
      <c r="N42" s="484"/>
      <c r="O42" s="484"/>
    </row>
    <row r="43" spans="1:15" x14ac:dyDescent="0.25">
      <c r="A43" s="484"/>
      <c r="B43" s="484"/>
      <c r="C43" s="484"/>
      <c r="D43" s="484"/>
      <c r="E43" s="485"/>
      <c r="F43" s="485"/>
      <c r="G43" s="485"/>
      <c r="H43" s="484"/>
      <c r="I43" s="484"/>
      <c r="J43" s="484"/>
      <c r="K43" s="484"/>
      <c r="L43" s="484"/>
      <c r="M43" s="484"/>
      <c r="N43" s="484"/>
      <c r="O43" s="484"/>
    </row>
    <row r="44" spans="1:15" x14ac:dyDescent="0.25">
      <c r="A44" s="484"/>
      <c r="B44" s="484"/>
      <c r="C44" s="484"/>
      <c r="D44" s="484"/>
      <c r="E44" s="485"/>
      <c r="F44" s="485"/>
      <c r="G44" s="485"/>
      <c r="H44" s="484"/>
      <c r="I44" s="484"/>
      <c r="J44" s="484"/>
      <c r="K44" s="484"/>
      <c r="L44" s="484"/>
      <c r="M44" s="484"/>
      <c r="N44" s="484"/>
      <c r="O44" s="484"/>
    </row>
    <row r="45" spans="1:15" x14ac:dyDescent="0.25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</row>
    <row r="46" spans="1:15" x14ac:dyDescent="0.25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</row>
    <row r="47" spans="1:15" x14ac:dyDescent="0.25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</row>
    <row r="48" spans="1:15" x14ac:dyDescent="0.25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</row>
    <row r="49" spans="1:15" x14ac:dyDescent="0.25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</row>
    <row r="50" spans="1:15" x14ac:dyDescent="0.25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</row>
    <row r="51" spans="1:15" x14ac:dyDescent="0.25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</row>
    <row r="52" spans="1:15" x14ac:dyDescent="0.25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</row>
    <row r="53" spans="1:15" x14ac:dyDescent="0.25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</row>
    <row r="54" spans="1:15" x14ac:dyDescent="0.25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</row>
    <row r="55" spans="1:15" x14ac:dyDescent="0.25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</row>
    <row r="56" spans="1:15" x14ac:dyDescent="0.25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</row>
    <row r="57" spans="1:15" x14ac:dyDescent="0.25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</row>
    <row r="58" spans="1:15" x14ac:dyDescent="0.25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</row>
    <row r="59" spans="1:15" x14ac:dyDescent="0.25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</row>
    <row r="60" spans="1:15" x14ac:dyDescent="0.25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</row>
    <row r="61" spans="1:15" x14ac:dyDescent="0.25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</row>
    <row r="62" spans="1:15" x14ac:dyDescent="0.25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</row>
    <row r="63" spans="1:15" x14ac:dyDescent="0.25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</row>
    <row r="64" spans="1:15" x14ac:dyDescent="0.25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</row>
    <row r="65" spans="1:15" x14ac:dyDescent="0.25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</row>
    <row r="66" spans="1:15" x14ac:dyDescent="0.25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</row>
    <row r="67" spans="1:15" x14ac:dyDescent="0.25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</row>
    <row r="68" spans="1:15" x14ac:dyDescent="0.25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</row>
    <row r="69" spans="1:15" x14ac:dyDescent="0.25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</row>
    <row r="70" spans="1:15" x14ac:dyDescent="0.25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</row>
    <row r="71" spans="1:15" x14ac:dyDescent="0.25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</row>
    <row r="72" spans="1:15" x14ac:dyDescent="0.25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</row>
    <row r="73" spans="1:15" x14ac:dyDescent="0.25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</row>
    <row r="74" spans="1:15" x14ac:dyDescent="0.25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</row>
    <row r="75" spans="1:15" x14ac:dyDescent="0.25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</row>
    <row r="76" spans="1:15" x14ac:dyDescent="0.25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</row>
    <row r="77" spans="1:15" x14ac:dyDescent="0.25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</row>
    <row r="78" spans="1:15" x14ac:dyDescent="0.25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</row>
    <row r="79" spans="1:15" x14ac:dyDescent="0.25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</row>
    <row r="80" spans="1:15" x14ac:dyDescent="0.25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</row>
    <row r="81" spans="1:15" x14ac:dyDescent="0.25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</row>
    <row r="82" spans="1:15" x14ac:dyDescent="0.25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</row>
    <row r="83" spans="1:15" x14ac:dyDescent="0.25">
      <c r="A83" s="484"/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</row>
    <row r="84" spans="1:15" x14ac:dyDescent="0.25">
      <c r="A84" s="484"/>
      <c r="B84" s="484"/>
      <c r="C84" s="484"/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</row>
    <row r="85" spans="1:15" x14ac:dyDescent="0.25">
      <c r="A85" s="484"/>
      <c r="B85" s="484"/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</row>
    <row r="86" spans="1:15" x14ac:dyDescent="0.25">
      <c r="A86" s="484"/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484"/>
    </row>
    <row r="87" spans="1:15" x14ac:dyDescent="0.25">
      <c r="A87" s="484"/>
      <c r="B87" s="484"/>
      <c r="C87" s="484"/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484"/>
    </row>
    <row r="88" spans="1:15" x14ac:dyDescent="0.25">
      <c r="A88" s="484"/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</row>
    <row r="89" spans="1:15" x14ac:dyDescent="0.25">
      <c r="A89" s="484"/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</row>
    <row r="90" spans="1:15" x14ac:dyDescent="0.25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</row>
    <row r="91" spans="1:15" x14ac:dyDescent="0.25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</row>
    <row r="92" spans="1:15" x14ac:dyDescent="0.25">
      <c r="A92" s="484"/>
      <c r="B92" s="484"/>
      <c r="C92" s="484"/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</row>
    <row r="93" spans="1:15" x14ac:dyDescent="0.25">
      <c r="A93" s="484"/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</row>
    <row r="94" spans="1:15" x14ac:dyDescent="0.25">
      <c r="A94" s="484"/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</row>
    <row r="95" spans="1:15" x14ac:dyDescent="0.25">
      <c r="A95" s="484"/>
      <c r="B95" s="484"/>
      <c r="C95" s="484"/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484"/>
    </row>
    <row r="96" spans="1:15" x14ac:dyDescent="0.25">
      <c r="A96" s="484"/>
      <c r="B96" s="484"/>
      <c r="C96" s="484"/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484"/>
    </row>
    <row r="97" spans="1:15" x14ac:dyDescent="0.25">
      <c r="A97" s="484"/>
      <c r="B97" s="484"/>
      <c r="C97" s="484"/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484"/>
    </row>
    <row r="98" spans="1:15" x14ac:dyDescent="0.25">
      <c r="A98" s="484"/>
      <c r="B98" s="484"/>
      <c r="C98" s="484"/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484"/>
    </row>
    <row r="99" spans="1:15" x14ac:dyDescent="0.25">
      <c r="A99" s="484"/>
      <c r="B99" s="484"/>
      <c r="C99" s="484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</row>
    <row r="100" spans="1:15" x14ac:dyDescent="0.25">
      <c r="A100" s="484"/>
      <c r="B100" s="484"/>
      <c r="C100" s="484"/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</row>
    <row r="101" spans="1:15" x14ac:dyDescent="0.25">
      <c r="A101" s="484"/>
      <c r="B101" s="484"/>
      <c r="C101" s="484"/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484"/>
    </row>
    <row r="102" spans="1:15" x14ac:dyDescent="0.25">
      <c r="A102" s="484"/>
      <c r="B102" s="484"/>
      <c r="C102" s="484"/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484"/>
    </row>
    <row r="103" spans="1:15" x14ac:dyDescent="0.25">
      <c r="A103" s="484"/>
      <c r="B103" s="484"/>
      <c r="C103" s="484"/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484"/>
    </row>
    <row r="104" spans="1:15" x14ac:dyDescent="0.25">
      <c r="A104" s="484"/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</row>
    <row r="105" spans="1:15" x14ac:dyDescent="0.25">
      <c r="A105" s="484"/>
      <c r="B105" s="484"/>
      <c r="C105" s="484"/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484"/>
    </row>
    <row r="106" spans="1:15" x14ac:dyDescent="0.25">
      <c r="A106" s="484"/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</row>
    <row r="107" spans="1:15" x14ac:dyDescent="0.25">
      <c r="A107" s="484"/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</row>
    <row r="108" spans="1:15" x14ac:dyDescent="0.25">
      <c r="A108" s="484"/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</row>
    <row r="109" spans="1:15" x14ac:dyDescent="0.25">
      <c r="A109" s="484"/>
      <c r="B109" s="484"/>
      <c r="C109" s="484"/>
      <c r="D109" s="484"/>
      <c r="E109" s="484"/>
      <c r="F109" s="484"/>
      <c r="G109" s="484"/>
      <c r="H109" s="484"/>
      <c r="I109" s="484"/>
      <c r="J109" s="484"/>
      <c r="K109" s="484"/>
      <c r="L109" s="484"/>
      <c r="M109" s="484"/>
      <c r="N109" s="484"/>
      <c r="O109" s="484"/>
    </row>
    <row r="110" spans="1:15" x14ac:dyDescent="0.25">
      <c r="A110" s="484"/>
      <c r="B110" s="484"/>
      <c r="C110" s="484"/>
      <c r="D110" s="484"/>
      <c r="E110" s="484"/>
      <c r="F110" s="484"/>
      <c r="G110" s="484"/>
      <c r="H110" s="484"/>
      <c r="I110" s="484"/>
      <c r="J110" s="484"/>
      <c r="K110" s="484"/>
      <c r="L110" s="484"/>
      <c r="M110" s="484"/>
      <c r="N110" s="484"/>
      <c r="O110" s="484"/>
    </row>
    <row r="111" spans="1:15" x14ac:dyDescent="0.25">
      <c r="A111" s="484"/>
      <c r="B111" s="484"/>
      <c r="C111" s="484"/>
      <c r="D111" s="484"/>
      <c r="E111" s="484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</row>
    <row r="112" spans="1:15" x14ac:dyDescent="0.25">
      <c r="A112" s="484"/>
      <c r="B112" s="484"/>
      <c r="C112" s="484"/>
      <c r="D112" s="484"/>
      <c r="E112" s="484"/>
      <c r="F112" s="484"/>
      <c r="G112" s="484"/>
      <c r="H112" s="484"/>
      <c r="I112" s="484"/>
      <c r="J112" s="484"/>
      <c r="K112" s="484"/>
      <c r="L112" s="484"/>
      <c r="M112" s="484"/>
      <c r="N112" s="484"/>
      <c r="O112" s="484"/>
    </row>
    <row r="113" spans="1:15" x14ac:dyDescent="0.25">
      <c r="A113" s="484"/>
      <c r="B113" s="484"/>
      <c r="C113" s="484"/>
      <c r="D113" s="484"/>
      <c r="E113" s="484"/>
      <c r="F113" s="484"/>
      <c r="G113" s="484"/>
      <c r="H113" s="484"/>
      <c r="I113" s="484"/>
      <c r="J113" s="484"/>
      <c r="K113" s="484"/>
      <c r="L113" s="484"/>
      <c r="M113" s="484"/>
      <c r="N113" s="484"/>
      <c r="O113" s="484"/>
    </row>
    <row r="114" spans="1:15" x14ac:dyDescent="0.25">
      <c r="A114" s="484"/>
      <c r="B114" s="484"/>
      <c r="C114" s="484"/>
      <c r="D114" s="484"/>
      <c r="E114" s="484"/>
      <c r="F114" s="484"/>
      <c r="G114" s="484"/>
      <c r="H114" s="484"/>
      <c r="I114" s="484"/>
      <c r="J114" s="484"/>
      <c r="K114" s="484"/>
      <c r="L114" s="484"/>
      <c r="M114" s="484"/>
      <c r="N114" s="484"/>
      <c r="O114" s="484"/>
    </row>
    <row r="115" spans="1:15" x14ac:dyDescent="0.25">
      <c r="A115" s="484"/>
      <c r="B115" s="484"/>
      <c r="C115" s="484"/>
      <c r="D115" s="484"/>
      <c r="E115" s="484"/>
      <c r="F115" s="484"/>
      <c r="G115" s="484"/>
      <c r="H115" s="484"/>
      <c r="I115" s="484"/>
      <c r="J115" s="484"/>
      <c r="K115" s="484"/>
      <c r="L115" s="484"/>
      <c r="M115" s="484"/>
      <c r="N115" s="484"/>
      <c r="O115" s="484"/>
    </row>
    <row r="116" spans="1:15" x14ac:dyDescent="0.25">
      <c r="A116" s="484"/>
      <c r="B116" s="484"/>
      <c r="C116" s="484"/>
      <c r="D116" s="484"/>
      <c r="E116" s="484"/>
      <c r="F116" s="484"/>
      <c r="G116" s="484"/>
      <c r="H116" s="484"/>
      <c r="I116" s="484"/>
      <c r="J116" s="484"/>
      <c r="K116" s="484"/>
      <c r="L116" s="484"/>
      <c r="M116" s="484"/>
      <c r="N116" s="484"/>
      <c r="O116" s="484"/>
    </row>
    <row r="117" spans="1:15" x14ac:dyDescent="0.25">
      <c r="A117" s="484"/>
      <c r="B117" s="484"/>
      <c r="C117" s="484"/>
      <c r="D117" s="484"/>
      <c r="E117" s="484"/>
      <c r="F117" s="484"/>
      <c r="G117" s="484"/>
      <c r="H117" s="484"/>
      <c r="I117" s="484"/>
      <c r="J117" s="484"/>
      <c r="K117" s="484"/>
      <c r="L117" s="484"/>
      <c r="M117" s="484"/>
      <c r="N117" s="484"/>
      <c r="O117" s="484"/>
    </row>
    <row r="118" spans="1:15" x14ac:dyDescent="0.25">
      <c r="A118" s="484"/>
      <c r="B118" s="484"/>
      <c r="C118" s="484"/>
      <c r="D118" s="484"/>
      <c r="E118" s="484"/>
      <c r="F118" s="484"/>
      <c r="G118" s="484"/>
      <c r="H118" s="484"/>
      <c r="I118" s="484"/>
      <c r="J118" s="484"/>
      <c r="K118" s="484"/>
      <c r="L118" s="484"/>
      <c r="M118" s="484"/>
      <c r="N118" s="484"/>
      <c r="O118" s="484"/>
    </row>
  </sheetData>
  <pageMargins left="0.7" right="0.7" top="0.75" bottom="0.75" header="0.3" footer="0.3"/>
  <pageSetup orientation="portrait" r:id="rId1"/>
  <headerFooter>
    <oddFooter>&amp;L&amp;D&amp;C&amp;A&amp;RPage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D7" sqref="D7"/>
    </sheetView>
  </sheetViews>
  <sheetFormatPr defaultRowHeight="15.75" x14ac:dyDescent="0.25"/>
  <cols>
    <col min="1" max="1" width="11.21875" bestFit="1" customWidth="1"/>
    <col min="2" max="3" width="10.6640625" customWidth="1"/>
    <col min="4" max="4" width="9.5546875" customWidth="1"/>
  </cols>
  <sheetData>
    <row r="1" spans="1:4" x14ac:dyDescent="0.25">
      <c r="A1" s="385" t="s">
        <v>345</v>
      </c>
      <c r="B1" s="385"/>
      <c r="C1" s="385"/>
      <c r="D1" s="385"/>
    </row>
    <row r="2" spans="1:4" x14ac:dyDescent="0.25">
      <c r="A2" s="385" t="s">
        <v>3208</v>
      </c>
      <c r="B2" s="385"/>
      <c r="C2" s="385"/>
      <c r="D2" s="385"/>
    </row>
    <row r="3" spans="1:4" x14ac:dyDescent="0.25">
      <c r="A3" s="385"/>
      <c r="B3" s="385"/>
      <c r="C3" s="385"/>
      <c r="D3" s="385"/>
    </row>
    <row r="4" spans="1:4" x14ac:dyDescent="0.25">
      <c r="A4" s="385"/>
      <c r="B4" s="385"/>
      <c r="C4" s="385"/>
      <c r="D4" s="385"/>
    </row>
    <row r="5" spans="1:4" x14ac:dyDescent="0.25">
      <c r="A5" s="385"/>
      <c r="B5" s="385" t="s">
        <v>3209</v>
      </c>
      <c r="C5" s="385" t="s">
        <v>2022</v>
      </c>
      <c r="D5" s="385"/>
    </row>
    <row r="6" spans="1:4" x14ac:dyDescent="0.25">
      <c r="A6" s="385" t="s">
        <v>3210</v>
      </c>
      <c r="B6" s="605">
        <v>2350235</v>
      </c>
      <c r="C6" s="605">
        <v>511603</v>
      </c>
      <c r="D6" s="605">
        <f>SUM(B6:C6)</f>
        <v>2861838</v>
      </c>
    </row>
    <row r="7" spans="1:4" x14ac:dyDescent="0.25">
      <c r="A7" s="385" t="s">
        <v>3211</v>
      </c>
      <c r="B7" s="605">
        <v>104438</v>
      </c>
      <c r="C7" s="605">
        <v>8096</v>
      </c>
      <c r="D7" s="605">
        <f>SUM(B7:C7)</f>
        <v>112534</v>
      </c>
    </row>
    <row r="8" spans="1:4" x14ac:dyDescent="0.25">
      <c r="A8" s="385"/>
      <c r="B8" s="385"/>
      <c r="C8" s="385"/>
      <c r="D8" s="385"/>
    </row>
    <row r="9" spans="1:4" x14ac:dyDescent="0.25">
      <c r="A9" s="385" t="s">
        <v>3212</v>
      </c>
      <c r="B9" s="606">
        <f t="shared" ref="B9:C9" si="0">B7/B6</f>
        <v>4.4437258401819391E-2</v>
      </c>
      <c r="C9" s="606">
        <f t="shared" si="0"/>
        <v>1.5824770378594338E-2</v>
      </c>
      <c r="D9" s="606">
        <f>D7/D6</f>
        <v>3.9322281694491444E-2</v>
      </c>
    </row>
    <row r="10" spans="1:4" x14ac:dyDescent="0.25">
      <c r="A10" s="385"/>
      <c r="B10" s="385"/>
      <c r="C10" s="385"/>
      <c r="D10" s="385"/>
    </row>
    <row r="11" spans="1:4" x14ac:dyDescent="0.25">
      <c r="A11" s="385" t="s">
        <v>3212</v>
      </c>
      <c r="B11" s="385"/>
      <c r="C11" s="385"/>
      <c r="D11" s="385"/>
    </row>
    <row r="12" spans="1:4" x14ac:dyDescent="0.25">
      <c r="A12" s="385" t="s">
        <v>3213</v>
      </c>
      <c r="B12" s="607">
        <f>+B6*0.05</f>
        <v>117511.75</v>
      </c>
      <c r="C12" s="607">
        <f>+C7</f>
        <v>8096</v>
      </c>
      <c r="D12" s="608">
        <f>SUM(B12:C12)</f>
        <v>125607.75</v>
      </c>
    </row>
    <row r="13" spans="1:4" x14ac:dyDescent="0.25">
      <c r="A13" s="385" t="s">
        <v>3214</v>
      </c>
      <c r="B13" s="607"/>
      <c r="C13" s="607"/>
      <c r="D13" s="607">
        <f>+D12-D7</f>
        <v>13073.75</v>
      </c>
    </row>
    <row r="14" spans="1:4" x14ac:dyDescent="0.25">
      <c r="A14" s="385"/>
      <c r="B14" s="385"/>
      <c r="C14" s="385"/>
      <c r="D14" s="385"/>
    </row>
    <row r="15" spans="1:4" x14ac:dyDescent="0.25">
      <c r="A15" s="385" t="s">
        <v>3215</v>
      </c>
    </row>
  </sheetData>
  <pageMargins left="0.7" right="0.7" top="0.75" bottom="0.75" header="0.3" footer="0.3"/>
  <pageSetup orientation="portrait" r:id="rId1"/>
  <headerFooter>
    <oddFooter>&amp;L&amp;D&amp;C&amp;A&amp;RPage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topLeftCell="A16" workbookViewId="0">
      <selection activeCell="J41" sqref="J41"/>
    </sheetView>
  </sheetViews>
  <sheetFormatPr defaultRowHeight="15.75" x14ac:dyDescent="0.25"/>
  <cols>
    <col min="2" max="2" width="7.5546875" bestFit="1" customWidth="1"/>
    <col min="3" max="3" width="11.5546875" bestFit="1" customWidth="1"/>
    <col min="4" max="4" width="10.5546875" bestFit="1" customWidth="1"/>
    <col min="5" max="10" width="12" bestFit="1" customWidth="1"/>
  </cols>
  <sheetData>
    <row r="1" spans="1:10" x14ac:dyDescent="0.25">
      <c r="A1" s="614" t="s">
        <v>345</v>
      </c>
      <c r="B1" s="614"/>
      <c r="C1" s="614"/>
      <c r="D1" s="614"/>
      <c r="E1" s="614"/>
      <c r="F1" s="614"/>
      <c r="G1" s="614"/>
      <c r="H1" s="614"/>
      <c r="I1" s="614"/>
      <c r="J1" s="614"/>
    </row>
    <row r="2" spans="1:10" x14ac:dyDescent="0.25">
      <c r="A2" s="614" t="s">
        <v>3275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0" x14ac:dyDescent="0.25">
      <c r="A3" s="614" t="s">
        <v>3276</v>
      </c>
      <c r="B3" s="614"/>
      <c r="C3" s="614"/>
      <c r="D3" s="614"/>
      <c r="E3" s="614"/>
      <c r="F3" s="614"/>
      <c r="G3" s="614"/>
      <c r="H3" s="614"/>
      <c r="I3" s="614"/>
      <c r="J3" s="614"/>
    </row>
    <row r="5" spans="1:10" x14ac:dyDescent="0.25">
      <c r="A5" s="427" t="s">
        <v>3216</v>
      </c>
      <c r="B5" s="427"/>
      <c r="C5" s="427"/>
      <c r="D5" s="427"/>
      <c r="E5" s="427"/>
      <c r="F5" s="427"/>
      <c r="G5" s="427"/>
      <c r="H5" s="427"/>
      <c r="I5" s="427"/>
      <c r="J5" s="427"/>
    </row>
    <row r="6" spans="1:10" x14ac:dyDescent="0.25">
      <c r="A6" s="427"/>
      <c r="B6" s="427"/>
      <c r="C6" s="427"/>
      <c r="D6" s="427"/>
      <c r="E6" s="427" t="s">
        <v>3252</v>
      </c>
      <c r="F6" s="595"/>
      <c r="G6" s="595"/>
      <c r="H6" s="595"/>
      <c r="I6" s="595"/>
      <c r="J6" s="595"/>
    </row>
    <row r="7" spans="1:10" x14ac:dyDescent="0.25">
      <c r="A7" s="427"/>
      <c r="B7" s="427"/>
      <c r="C7" s="427"/>
      <c r="D7" s="427"/>
      <c r="E7" s="427" t="s">
        <v>3253</v>
      </c>
      <c r="F7" s="427" t="s">
        <v>3254</v>
      </c>
      <c r="G7" s="427" t="s">
        <v>3255</v>
      </c>
      <c r="H7" s="427" t="s">
        <v>3256</v>
      </c>
      <c r="I7" s="427" t="s">
        <v>3257</v>
      </c>
      <c r="J7" s="427" t="s">
        <v>3258</v>
      </c>
    </row>
    <row r="8" spans="1:10" x14ac:dyDescent="0.25">
      <c r="A8" s="427"/>
      <c r="B8" s="427"/>
      <c r="C8" s="427" t="s">
        <v>3259</v>
      </c>
      <c r="D8" s="427" t="s">
        <v>3260</v>
      </c>
      <c r="E8" s="427" t="s">
        <v>346</v>
      </c>
      <c r="F8" s="427" t="s">
        <v>3261</v>
      </c>
      <c r="G8" s="427" t="s">
        <v>3262</v>
      </c>
      <c r="H8" s="427" t="s">
        <v>3263</v>
      </c>
      <c r="I8" s="427" t="s">
        <v>3264</v>
      </c>
      <c r="J8" s="427" t="s">
        <v>3265</v>
      </c>
    </row>
    <row r="9" spans="1:10" x14ac:dyDescent="0.25">
      <c r="A9" s="427"/>
      <c r="B9" s="427" t="s">
        <v>3217</v>
      </c>
      <c r="C9" s="427" t="s">
        <v>3266</v>
      </c>
      <c r="D9" s="611">
        <f>SUM(E9:J9)</f>
        <v>19281.366363636364</v>
      </c>
      <c r="E9" s="611">
        <v>6528.6706507272729</v>
      </c>
      <c r="F9" s="611">
        <v>8639.9802675454539</v>
      </c>
      <c r="G9" s="611">
        <v>545.66266809090905</v>
      </c>
      <c r="H9" s="611">
        <v>2103.5970702727273</v>
      </c>
      <c r="I9" s="611">
        <v>1463.4557069999998</v>
      </c>
      <c r="J9" s="611">
        <v>0</v>
      </c>
    </row>
    <row r="10" spans="1:10" x14ac:dyDescent="0.25">
      <c r="A10" s="427"/>
      <c r="B10" s="427" t="s">
        <v>3218</v>
      </c>
      <c r="C10" s="427" t="s">
        <v>3266</v>
      </c>
      <c r="D10" s="611">
        <f t="shared" ref="D10:D25" si="0">SUM(E10:J10)</f>
        <v>20116.491363636364</v>
      </c>
      <c r="E10" s="611">
        <v>6811.4439757272739</v>
      </c>
      <c r="F10" s="611">
        <v>9014.1997800454537</v>
      </c>
      <c r="G10" s="611">
        <v>569.29670559090903</v>
      </c>
      <c r="H10" s="611">
        <v>2194.7092077727275</v>
      </c>
      <c r="I10" s="611">
        <v>1526.8416944999999</v>
      </c>
      <c r="J10" s="611">
        <v>0</v>
      </c>
    </row>
    <row r="11" spans="1:10" x14ac:dyDescent="0.25">
      <c r="A11" s="427"/>
      <c r="B11" s="427" t="s">
        <v>3219</v>
      </c>
      <c r="C11" s="427" t="s">
        <v>3266</v>
      </c>
      <c r="D11" s="611">
        <f t="shared" si="0"/>
        <v>19674.348506493501</v>
      </c>
      <c r="E11" s="611">
        <v>6661.7344042987006</v>
      </c>
      <c r="F11" s="611">
        <v>8816.0755657597383</v>
      </c>
      <c r="G11" s="611">
        <v>556.78406273376606</v>
      </c>
      <c r="H11" s="611">
        <v>2146.471422058441</v>
      </c>
      <c r="I11" s="611">
        <v>1493.2830516428567</v>
      </c>
      <c r="J11" s="611">
        <v>0</v>
      </c>
    </row>
    <row r="12" spans="1:10" x14ac:dyDescent="0.25">
      <c r="A12" s="427"/>
      <c r="B12" s="427" t="s">
        <v>3220</v>
      </c>
      <c r="C12" s="427" t="s">
        <v>3266</v>
      </c>
      <c r="D12" s="611">
        <f t="shared" si="0"/>
        <v>20110.681590909087</v>
      </c>
      <c r="E12" s="611">
        <v>6809.4767866818156</v>
      </c>
      <c r="F12" s="611">
        <v>9011.5964208863606</v>
      </c>
      <c r="G12" s="611">
        <v>569.13228902272704</v>
      </c>
      <c r="H12" s="611">
        <v>2194.0753615681811</v>
      </c>
      <c r="I12" s="611">
        <v>1526.4007327499994</v>
      </c>
      <c r="J12" s="611">
        <v>0</v>
      </c>
    </row>
    <row r="13" spans="1:10" x14ac:dyDescent="0.25">
      <c r="A13" s="427"/>
      <c r="B13" s="427" t="s">
        <v>3221</v>
      </c>
      <c r="C13" s="427" t="s">
        <v>3266</v>
      </c>
      <c r="D13" s="611">
        <f t="shared" si="0"/>
        <v>20294.281909090903</v>
      </c>
      <c r="E13" s="611">
        <v>6871.6438544181801</v>
      </c>
      <c r="F13" s="611">
        <v>9093.8677234636343</v>
      </c>
      <c r="G13" s="611">
        <v>574.32817802727254</v>
      </c>
      <c r="H13" s="611">
        <v>2214.1061562818177</v>
      </c>
      <c r="I13" s="611">
        <v>1540.3359968999994</v>
      </c>
      <c r="J13" s="611">
        <v>0</v>
      </c>
    </row>
    <row r="14" spans="1:10" x14ac:dyDescent="0.25">
      <c r="A14" s="427"/>
      <c r="B14" s="427" t="s">
        <v>3222</v>
      </c>
      <c r="C14" s="427" t="s">
        <v>3266</v>
      </c>
      <c r="D14" s="611">
        <f t="shared" si="0"/>
        <v>20618.807386363631</v>
      </c>
      <c r="E14" s="611">
        <v>6981.5281810227261</v>
      </c>
      <c r="F14" s="611">
        <v>9239.2875898295424</v>
      </c>
      <c r="G14" s="611">
        <v>583.5122490340907</v>
      </c>
      <c r="H14" s="611">
        <v>2249.5118858522724</v>
      </c>
      <c r="I14" s="611">
        <v>1564.9674806249996</v>
      </c>
      <c r="J14" s="611">
        <v>0</v>
      </c>
    </row>
    <row r="15" spans="1:10" x14ac:dyDescent="0.25">
      <c r="A15" s="427"/>
      <c r="B15" s="427" t="s">
        <v>3223</v>
      </c>
      <c r="C15" s="427" t="s">
        <v>3266</v>
      </c>
      <c r="D15" s="611">
        <f t="shared" si="0"/>
        <v>20618.807386363631</v>
      </c>
      <c r="E15" s="611">
        <v>6981.5281810227261</v>
      </c>
      <c r="F15" s="611">
        <v>9239.2875898295424</v>
      </c>
      <c r="G15" s="611">
        <v>583.5122490340907</v>
      </c>
      <c r="H15" s="611">
        <v>2249.5118858522724</v>
      </c>
      <c r="I15" s="611">
        <v>1564.9674806249996</v>
      </c>
      <c r="J15" s="611">
        <v>0</v>
      </c>
    </row>
    <row r="16" spans="1:10" x14ac:dyDescent="0.25">
      <c r="A16" s="427"/>
      <c r="B16" s="427" t="s">
        <v>3224</v>
      </c>
      <c r="C16" s="427" t="s">
        <v>3266</v>
      </c>
      <c r="D16" s="611">
        <f t="shared" si="0"/>
        <v>21162.804772727268</v>
      </c>
      <c r="E16" s="611">
        <v>7165.7256960454524</v>
      </c>
      <c r="F16" s="611">
        <v>9483.0528186590873</v>
      </c>
      <c r="G16" s="611">
        <v>598.90737506818152</v>
      </c>
      <c r="H16" s="611">
        <v>2308.8620007045447</v>
      </c>
      <c r="I16" s="611">
        <v>1606.2568822499993</v>
      </c>
      <c r="J16" s="611">
        <v>0</v>
      </c>
    </row>
    <row r="17" spans="1:10" x14ac:dyDescent="0.25">
      <c r="A17" s="427"/>
      <c r="B17" s="427" t="s">
        <v>3225</v>
      </c>
      <c r="C17" s="427" t="s">
        <v>3266</v>
      </c>
      <c r="D17" s="611">
        <f t="shared" si="0"/>
        <v>21276.80954545454</v>
      </c>
      <c r="E17" s="611">
        <v>7204.3277120909079</v>
      </c>
      <c r="F17" s="611">
        <v>9534.1383573181793</v>
      </c>
      <c r="G17" s="611">
        <v>602.13371013636345</v>
      </c>
      <c r="H17" s="611">
        <v>2321.2999214090905</v>
      </c>
      <c r="I17" s="611">
        <v>1614.9098444999995</v>
      </c>
      <c r="J17" s="611">
        <v>0</v>
      </c>
    </row>
    <row r="18" spans="1:10" x14ac:dyDescent="0.25">
      <c r="A18" s="427"/>
      <c r="B18" s="427" t="s">
        <v>3226</v>
      </c>
      <c r="C18" s="427" t="s">
        <v>3266</v>
      </c>
      <c r="D18" s="611">
        <f t="shared" si="0"/>
        <v>20949.246666666662</v>
      </c>
      <c r="E18" s="611">
        <v>8463.5154790332399</v>
      </c>
      <c r="F18" s="611">
        <v>6825.0092556452164</v>
      </c>
      <c r="G18" s="611">
        <v>1055.0774200879698</v>
      </c>
      <c r="H18" s="611">
        <v>2079.8101643765217</v>
      </c>
      <c r="I18" s="611">
        <v>2019.5300444077666</v>
      </c>
      <c r="J18" s="611">
        <v>506.30430311595086</v>
      </c>
    </row>
    <row r="19" spans="1:10" x14ac:dyDescent="0.25">
      <c r="A19" s="427"/>
      <c r="B19" s="427" t="s">
        <v>3227</v>
      </c>
      <c r="C19" s="427" t="s">
        <v>3266</v>
      </c>
      <c r="D19" s="611">
        <f t="shared" si="0"/>
        <v>20952.3</v>
      </c>
      <c r="E19" s="611">
        <v>8465.6299999999974</v>
      </c>
      <c r="F19" s="611">
        <v>6825.52</v>
      </c>
      <c r="G19" s="611">
        <v>1055.1600000000001</v>
      </c>
      <c r="H19" s="611">
        <v>2079.9699999999998</v>
      </c>
      <c r="I19" s="611">
        <v>2019.68</v>
      </c>
      <c r="J19" s="611">
        <v>506.34</v>
      </c>
    </row>
    <row r="20" spans="1:10" x14ac:dyDescent="0.25">
      <c r="A20" s="427"/>
      <c r="B20" s="427" t="s">
        <v>3228</v>
      </c>
      <c r="C20" s="427" t="s">
        <v>3266</v>
      </c>
      <c r="D20" s="611">
        <f t="shared" si="0"/>
        <v>20950.82</v>
      </c>
      <c r="E20" s="611">
        <v>8464.1499999999978</v>
      </c>
      <c r="F20" s="611">
        <v>5916.77</v>
      </c>
      <c r="G20" s="611">
        <v>1055.1600000000001</v>
      </c>
      <c r="H20" s="611">
        <v>2079.9699999999998</v>
      </c>
      <c r="I20" s="611">
        <v>2019.68</v>
      </c>
      <c r="J20" s="611">
        <v>1415.09</v>
      </c>
    </row>
    <row r="21" spans="1:10" x14ac:dyDescent="0.25">
      <c r="A21" s="427"/>
      <c r="B21" s="427" t="s">
        <v>3229</v>
      </c>
      <c r="C21" s="427" t="s">
        <v>3266</v>
      </c>
      <c r="D21" s="611">
        <f t="shared" si="0"/>
        <v>21133.87</v>
      </c>
      <c r="E21" s="611">
        <v>8538.1</v>
      </c>
      <c r="F21" s="611">
        <v>5968.47</v>
      </c>
      <c r="G21" s="611">
        <v>1064.3800000000001</v>
      </c>
      <c r="H21" s="611">
        <v>2098.14</v>
      </c>
      <c r="I21" s="611">
        <v>2037.33</v>
      </c>
      <c r="J21" s="611">
        <v>1427.45</v>
      </c>
    </row>
    <row r="22" spans="1:10" x14ac:dyDescent="0.25">
      <c r="A22" s="427"/>
      <c r="B22" s="427" t="s">
        <v>3230</v>
      </c>
      <c r="C22" s="427" t="s">
        <v>3267</v>
      </c>
      <c r="D22" s="611">
        <f t="shared" si="0"/>
        <v>22262.81</v>
      </c>
      <c r="E22" s="611">
        <v>8994.2000000000007</v>
      </c>
      <c r="F22" s="611">
        <v>6287.3</v>
      </c>
      <c r="G22" s="611">
        <v>1121.23</v>
      </c>
      <c r="H22" s="611">
        <v>2210.2199999999998</v>
      </c>
      <c r="I22" s="611">
        <v>2146.16</v>
      </c>
      <c r="J22" s="611">
        <v>1503.7</v>
      </c>
    </row>
    <row r="23" spans="1:10" x14ac:dyDescent="0.25">
      <c r="A23" s="427"/>
      <c r="B23" s="427" t="s">
        <v>3231</v>
      </c>
      <c r="C23" s="427" t="s">
        <v>3267</v>
      </c>
      <c r="D23" s="611">
        <f t="shared" si="0"/>
        <v>21058.81</v>
      </c>
      <c r="E23" s="611">
        <v>8507.7800000000007</v>
      </c>
      <c r="F23" s="611">
        <v>5947.27</v>
      </c>
      <c r="G23" s="611">
        <v>1060.5999999999999</v>
      </c>
      <c r="H23" s="611">
        <v>2090.69</v>
      </c>
      <c r="I23" s="611">
        <v>2030.09</v>
      </c>
      <c r="J23" s="611">
        <v>1422.3799999999999</v>
      </c>
    </row>
    <row r="24" spans="1:10" x14ac:dyDescent="0.25">
      <c r="A24" s="427"/>
      <c r="B24" s="427" t="s">
        <v>3232</v>
      </c>
      <c r="C24" s="427" t="s">
        <v>3267</v>
      </c>
      <c r="D24" s="611">
        <f t="shared" si="0"/>
        <v>21058.82</v>
      </c>
      <c r="E24" s="611">
        <v>12622.589999999998</v>
      </c>
      <c r="F24" s="611">
        <v>0</v>
      </c>
      <c r="G24" s="611">
        <v>1582.92</v>
      </c>
      <c r="H24" s="611">
        <v>3111.28</v>
      </c>
      <c r="I24" s="611">
        <v>3001.72</v>
      </c>
      <c r="J24" s="611">
        <v>740.31</v>
      </c>
    </row>
    <row r="25" spans="1:10" x14ac:dyDescent="0.25">
      <c r="A25" s="427"/>
      <c r="B25" s="427" t="s">
        <v>3233</v>
      </c>
      <c r="C25" s="427" t="s">
        <v>3267</v>
      </c>
      <c r="D25" s="611">
        <f t="shared" si="0"/>
        <v>21058.82</v>
      </c>
      <c r="E25" s="611">
        <v>12622.589999999998</v>
      </c>
      <c r="F25" s="611">
        <v>0</v>
      </c>
      <c r="G25" s="611">
        <v>1582.92</v>
      </c>
      <c r="H25" s="611">
        <v>3111.28</v>
      </c>
      <c r="I25" s="611">
        <v>3001.72</v>
      </c>
      <c r="J25" s="611">
        <v>740.31</v>
      </c>
    </row>
    <row r="26" spans="1:10" x14ac:dyDescent="0.25">
      <c r="A26" s="427"/>
      <c r="B26" s="427" t="s">
        <v>3234</v>
      </c>
      <c r="C26" s="427" t="s">
        <v>3172</v>
      </c>
      <c r="D26" s="612">
        <f>D25</f>
        <v>21058.82</v>
      </c>
      <c r="E26" s="611">
        <v>12622.589999999998</v>
      </c>
      <c r="F26" s="611">
        <v>0</v>
      </c>
      <c r="G26" s="611">
        <v>1582.9199999999998</v>
      </c>
      <c r="H26" s="611">
        <v>3111.28</v>
      </c>
      <c r="I26" s="611">
        <v>3001.72</v>
      </c>
      <c r="J26" s="611">
        <v>740.31</v>
      </c>
    </row>
    <row r="27" spans="1:10" x14ac:dyDescent="0.25">
      <c r="A27" s="427"/>
      <c r="B27" s="427" t="s">
        <v>3235</v>
      </c>
      <c r="C27" s="427" t="s">
        <v>3172</v>
      </c>
      <c r="D27" s="612">
        <f t="shared" ref="D27:D29" si="1">D26</f>
        <v>21058.82</v>
      </c>
      <c r="E27" s="611">
        <v>12622.589999999998</v>
      </c>
      <c r="F27" s="611">
        <v>0</v>
      </c>
      <c r="G27" s="611">
        <v>1582.9199999999998</v>
      </c>
      <c r="H27" s="611">
        <v>3111.28</v>
      </c>
      <c r="I27" s="611">
        <v>3001.72</v>
      </c>
      <c r="J27" s="611">
        <v>740.31</v>
      </c>
    </row>
    <row r="28" spans="1:10" x14ac:dyDescent="0.25">
      <c r="A28" s="427"/>
      <c r="B28" s="427" t="s">
        <v>3236</v>
      </c>
      <c r="C28" s="427" t="s">
        <v>3172</v>
      </c>
      <c r="D28" s="612">
        <f t="shared" si="1"/>
        <v>21058.82</v>
      </c>
      <c r="E28" s="611">
        <v>12622.589999999998</v>
      </c>
      <c r="F28" s="611">
        <v>0</v>
      </c>
      <c r="G28" s="611">
        <v>1582.9199999999998</v>
      </c>
      <c r="H28" s="611">
        <v>3111.28</v>
      </c>
      <c r="I28" s="611">
        <v>3001.72</v>
      </c>
      <c r="J28" s="611">
        <v>740.31</v>
      </c>
    </row>
    <row r="29" spans="1:10" x14ac:dyDescent="0.25">
      <c r="A29" s="427"/>
      <c r="B29" s="427" t="s">
        <v>3237</v>
      </c>
      <c r="C29" s="427" t="s">
        <v>3172</v>
      </c>
      <c r="D29" s="612">
        <f t="shared" si="1"/>
        <v>21058.82</v>
      </c>
      <c r="E29" s="611">
        <v>12622.589999999998</v>
      </c>
      <c r="F29" s="611">
        <v>0</v>
      </c>
      <c r="G29" s="611">
        <v>1582.9199999999998</v>
      </c>
      <c r="H29" s="611">
        <v>3111.28</v>
      </c>
      <c r="I29" s="611">
        <v>3001.72</v>
      </c>
      <c r="J29" s="611">
        <v>740.31</v>
      </c>
    </row>
    <row r="30" spans="1:10" x14ac:dyDescent="0.25">
      <c r="A30" s="427"/>
      <c r="B30" s="427" t="s">
        <v>3268</v>
      </c>
      <c r="C30" s="427" t="s">
        <v>3172</v>
      </c>
      <c r="D30" s="613">
        <f>D29</f>
        <v>21058.82</v>
      </c>
      <c r="E30" s="613">
        <v>12622.589999999998</v>
      </c>
      <c r="F30" s="613">
        <v>0</v>
      </c>
      <c r="G30" s="613">
        <v>1582.9199999999998</v>
      </c>
      <c r="H30" s="613">
        <v>3111.28</v>
      </c>
      <c r="I30" s="613">
        <v>3001.72</v>
      </c>
      <c r="J30" s="613">
        <v>740.31</v>
      </c>
    </row>
    <row r="31" spans="1:10" x14ac:dyDescent="0.25">
      <c r="A31" s="427"/>
      <c r="B31" s="427" t="s">
        <v>3269</v>
      </c>
      <c r="C31" s="427" t="s">
        <v>3172</v>
      </c>
      <c r="D31" s="613">
        <f t="shared" ref="D31:D35" si="2">D30</f>
        <v>21058.82</v>
      </c>
      <c r="E31" s="613">
        <v>12622.589999999998</v>
      </c>
      <c r="F31" s="613">
        <v>0</v>
      </c>
      <c r="G31" s="613">
        <v>1582.9199999999998</v>
      </c>
      <c r="H31" s="613">
        <v>3111.28</v>
      </c>
      <c r="I31" s="613">
        <v>3001.72</v>
      </c>
      <c r="J31" s="613">
        <v>740.31</v>
      </c>
    </row>
    <row r="32" spans="1:10" x14ac:dyDescent="0.25">
      <c r="A32" s="427"/>
      <c r="B32" s="427" t="s">
        <v>3270</v>
      </c>
      <c r="C32" s="427" t="s">
        <v>3172</v>
      </c>
      <c r="D32" s="613">
        <f t="shared" si="2"/>
        <v>21058.82</v>
      </c>
      <c r="E32" s="613">
        <v>12622.589999999998</v>
      </c>
      <c r="F32" s="613">
        <v>0</v>
      </c>
      <c r="G32" s="613">
        <v>1582.9199999999998</v>
      </c>
      <c r="H32" s="613">
        <v>3111.28</v>
      </c>
      <c r="I32" s="613">
        <v>3001.72</v>
      </c>
      <c r="J32" s="613">
        <v>740.31</v>
      </c>
    </row>
    <row r="33" spans="1:10" x14ac:dyDescent="0.25">
      <c r="A33" s="427"/>
      <c r="B33" s="427" t="s">
        <v>3271</v>
      </c>
      <c r="C33" s="427" t="s">
        <v>3172</v>
      </c>
      <c r="D33" s="613">
        <f t="shared" si="2"/>
        <v>21058.82</v>
      </c>
      <c r="E33" s="613">
        <v>12622.589999999998</v>
      </c>
      <c r="F33" s="613">
        <v>0</v>
      </c>
      <c r="G33" s="613">
        <v>1582.9199999999998</v>
      </c>
      <c r="H33" s="613">
        <v>3111.28</v>
      </c>
      <c r="I33" s="613">
        <v>3001.72</v>
      </c>
      <c r="J33" s="613">
        <v>740.31</v>
      </c>
    </row>
    <row r="34" spans="1:10" x14ac:dyDescent="0.25">
      <c r="A34" s="427"/>
      <c r="B34" s="427" t="s">
        <v>3272</v>
      </c>
      <c r="C34" s="427" t="s">
        <v>3172</v>
      </c>
      <c r="D34" s="613">
        <f t="shared" si="2"/>
        <v>21058.82</v>
      </c>
      <c r="E34" s="613">
        <v>12622.589999999998</v>
      </c>
      <c r="F34" s="613">
        <v>0</v>
      </c>
      <c r="G34" s="613">
        <v>1582.9199999999998</v>
      </c>
      <c r="H34" s="613">
        <v>3111.28</v>
      </c>
      <c r="I34" s="613">
        <v>3001.72</v>
      </c>
      <c r="J34" s="613">
        <v>740.31</v>
      </c>
    </row>
    <row r="35" spans="1:10" x14ac:dyDescent="0.25">
      <c r="A35" s="427"/>
      <c r="B35" s="427" t="s">
        <v>3273</v>
      </c>
      <c r="C35" s="427" t="s">
        <v>3172</v>
      </c>
      <c r="D35" s="613">
        <f t="shared" si="2"/>
        <v>21058.82</v>
      </c>
      <c r="E35" s="613">
        <v>12622.589999999998</v>
      </c>
      <c r="F35" s="613">
        <v>0</v>
      </c>
      <c r="G35" s="613">
        <v>1582.9199999999998</v>
      </c>
      <c r="H35" s="613">
        <v>3111.28</v>
      </c>
      <c r="I35" s="613">
        <v>3001.72</v>
      </c>
      <c r="J35" s="613">
        <v>740.31</v>
      </c>
    </row>
    <row r="36" spans="1:10" x14ac:dyDescent="0.25">
      <c r="A36" s="427"/>
      <c r="B36" s="427"/>
      <c r="C36" s="427"/>
      <c r="D36" s="427"/>
      <c r="E36" s="427"/>
      <c r="F36" s="427"/>
      <c r="G36" s="427"/>
      <c r="H36" s="427"/>
      <c r="I36" s="427"/>
      <c r="J36" s="427"/>
    </row>
    <row r="37" spans="1:10" x14ac:dyDescent="0.25">
      <c r="A37" s="427"/>
      <c r="B37" s="427"/>
      <c r="C37" s="427" t="s">
        <v>3274</v>
      </c>
      <c r="D37" s="611">
        <f t="shared" ref="D37:J37" si="3">+SUM(D9:D21)</f>
        <v>267140.63549134199</v>
      </c>
      <c r="E37" s="611">
        <f t="shared" si="3"/>
        <v>95947.474921068293</v>
      </c>
      <c r="F37" s="611">
        <f t="shared" si="3"/>
        <v>107607.25536898221</v>
      </c>
      <c r="G37" s="611">
        <f t="shared" si="3"/>
        <v>9413.0469068262792</v>
      </c>
      <c r="H37" s="611">
        <f t="shared" si="3"/>
        <v>28320.035076148601</v>
      </c>
      <c r="I37" s="611">
        <f t="shared" si="3"/>
        <v>21997.638915200623</v>
      </c>
      <c r="J37" s="611">
        <f t="shared" si="3"/>
        <v>3855.1843031159506</v>
      </c>
    </row>
    <row r="38" spans="1:10" x14ac:dyDescent="0.25">
      <c r="A38" s="427"/>
      <c r="B38" s="427"/>
      <c r="C38" s="427"/>
      <c r="D38" s="611"/>
      <c r="E38" s="611"/>
      <c r="F38" s="611"/>
      <c r="G38" s="611"/>
      <c r="H38" s="611"/>
      <c r="I38" s="611"/>
      <c r="J38" s="611"/>
    </row>
    <row r="39" spans="1:10" x14ac:dyDescent="0.25">
      <c r="A39" s="427" t="s">
        <v>3277</v>
      </c>
      <c r="B39" s="427"/>
      <c r="C39" s="427"/>
      <c r="D39" s="611"/>
      <c r="E39" s="611">
        <f>+'12 Month Operating Statement'!O73</f>
        <v>67044.19</v>
      </c>
      <c r="F39" s="611"/>
      <c r="G39" s="611"/>
      <c r="H39" s="611"/>
      <c r="I39" s="611"/>
      <c r="J39" s="611"/>
    </row>
    <row r="40" spans="1:10" x14ac:dyDescent="0.25">
      <c r="A40" s="427" t="s">
        <v>3278</v>
      </c>
      <c r="B40" s="427"/>
      <c r="C40" s="427"/>
      <c r="D40" s="427"/>
      <c r="E40" s="615">
        <f>+'12 Month Operating Statement'!O120</f>
        <v>20365.160000000003</v>
      </c>
      <c r="F40" s="427"/>
      <c r="G40" s="427"/>
      <c r="H40" s="427"/>
      <c r="I40" s="427"/>
      <c r="J40" s="427"/>
    </row>
    <row r="41" spans="1:10" x14ac:dyDescent="0.25">
      <c r="A41" s="427"/>
      <c r="B41" s="427"/>
      <c r="C41" s="427"/>
      <c r="D41" s="427"/>
      <c r="E41" s="591">
        <f>SUM(E39:E40)</f>
        <v>87409.35</v>
      </c>
      <c r="F41" s="427"/>
      <c r="G41" s="427"/>
      <c r="H41" s="427"/>
      <c r="I41" s="427"/>
      <c r="J41" s="427"/>
    </row>
    <row r="42" spans="1:10" x14ac:dyDescent="0.25">
      <c r="A42" s="427" t="s">
        <v>3279</v>
      </c>
      <c r="B42" s="427"/>
      <c r="C42" s="427"/>
      <c r="D42" s="427"/>
      <c r="E42" s="616">
        <f>+E37</f>
        <v>95947.474921068293</v>
      </c>
      <c r="F42" s="427"/>
    </row>
    <row r="43" spans="1:10" x14ac:dyDescent="0.25">
      <c r="A43" s="427" t="s">
        <v>3280</v>
      </c>
      <c r="B43" s="427"/>
      <c r="C43" s="427"/>
      <c r="D43" s="427"/>
      <c r="E43" s="591">
        <f>+E42-E41</f>
        <v>8538.1249210682872</v>
      </c>
      <c r="F43" s="427"/>
    </row>
    <row r="44" spans="1:10" x14ac:dyDescent="0.25">
      <c r="A44" s="427"/>
      <c r="B44" s="427"/>
      <c r="C44" s="427"/>
      <c r="D44" s="427"/>
      <c r="E44" s="591"/>
      <c r="F44" s="427"/>
    </row>
    <row r="45" spans="1:10" x14ac:dyDescent="0.25">
      <c r="A45" s="427" t="s">
        <v>3281</v>
      </c>
      <c r="B45" s="427"/>
      <c r="C45" s="427"/>
      <c r="D45" s="427"/>
      <c r="E45" s="427"/>
      <c r="F45" s="427"/>
    </row>
    <row r="46" spans="1:10" x14ac:dyDescent="0.25">
      <c r="A46" s="427"/>
      <c r="B46" s="427"/>
      <c r="C46" s="427"/>
      <c r="D46" s="427"/>
      <c r="E46" s="427"/>
      <c r="F46" s="427"/>
    </row>
    <row r="47" spans="1:10" x14ac:dyDescent="0.25">
      <c r="A47" s="427" t="s">
        <v>3282</v>
      </c>
      <c r="B47" s="427"/>
      <c r="C47" s="427"/>
      <c r="D47" s="427"/>
      <c r="E47" s="427"/>
      <c r="F47" s="427"/>
    </row>
  </sheetData>
  <pageMargins left="0.25" right="0.25" top="0.75" bottom="0.75" header="0.3" footer="0.3"/>
  <pageSetup scale="71" fitToHeight="0" orientation="portrait" r:id="rId1"/>
  <headerFooter>
    <oddFooter>&amp;L&amp;D&amp;C&amp;A&amp;RPage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55"/>
  <sheetViews>
    <sheetView tabSelected="1" workbookViewId="0">
      <selection activeCell="J16" sqref="J16"/>
    </sheetView>
  </sheetViews>
  <sheetFormatPr defaultRowHeight="15.75" x14ac:dyDescent="0.25"/>
  <cols>
    <col min="1" max="1" width="21.109375" customWidth="1"/>
    <col min="2" max="2" width="14.44140625" customWidth="1"/>
    <col min="3" max="3" width="11.44140625" customWidth="1"/>
    <col min="4" max="4" width="10.77734375" customWidth="1"/>
    <col min="5" max="5" width="10.21875" customWidth="1"/>
    <col min="6" max="6" width="9.44140625" customWidth="1"/>
    <col min="7" max="7" width="11.77734375" customWidth="1"/>
    <col min="8" max="8" width="10.77734375" customWidth="1"/>
    <col min="9" max="9" width="10.44140625" customWidth="1"/>
    <col min="10" max="10" width="9.21875" customWidth="1"/>
    <col min="11" max="11" width="10.5546875" customWidth="1"/>
    <col min="12" max="12" width="9.77734375"/>
    <col min="13" max="13" width="26.44140625" bestFit="1" customWidth="1"/>
    <col min="14" max="14" width="1.21875" customWidth="1"/>
    <col min="15" max="15" width="8.109375" customWidth="1"/>
    <col min="16" max="16" width="10.44140625" customWidth="1"/>
    <col min="17" max="19" width="13.21875" customWidth="1"/>
    <col min="20" max="20" width="8.88671875" customWidth="1"/>
    <col min="21" max="21" width="9.6640625" customWidth="1"/>
    <col min="22" max="22" width="22.6640625" bestFit="1" customWidth="1"/>
    <col min="23" max="23" width="4.33203125" customWidth="1"/>
    <col min="24" max="24" width="26.44140625" bestFit="1" customWidth="1"/>
    <col min="25" max="25" width="1.77734375" customWidth="1"/>
    <col min="26" max="26" width="10.44140625" bestFit="1" customWidth="1"/>
    <col min="27" max="27" width="10.44140625" customWidth="1"/>
    <col min="28" max="28" width="9.88671875" bestFit="1" customWidth="1"/>
    <col min="29" max="29" width="7.77734375" customWidth="1"/>
    <col min="30" max="31" width="9" customWidth="1"/>
    <col min="32" max="33" width="9.5546875" customWidth="1"/>
    <col min="34" max="36" width="9" customWidth="1"/>
    <col min="37" max="37" width="7.21875" bestFit="1" customWidth="1"/>
    <col min="38" max="38" width="9.77734375"/>
    <col min="39" max="39" width="32.88671875" bestFit="1" customWidth="1"/>
  </cols>
  <sheetData>
    <row r="1" spans="1:23" ht="16.5" x14ac:dyDescent="0.25">
      <c r="A1" s="95" t="s">
        <v>230</v>
      </c>
      <c r="B1" s="96"/>
      <c r="C1" s="97"/>
      <c r="D1" s="98"/>
      <c r="E1" s="98"/>
      <c r="F1" s="98"/>
      <c r="G1" s="98"/>
      <c r="H1" s="98"/>
      <c r="I1" s="98"/>
      <c r="J1" s="98"/>
      <c r="K1" s="98"/>
      <c r="L1" s="98"/>
      <c r="W1" s="98"/>
    </row>
    <row r="2" spans="1:23" x14ac:dyDescent="0.25">
      <c r="A2" s="98" t="s">
        <v>233</v>
      </c>
      <c r="B2" s="96"/>
      <c r="C2" s="97"/>
      <c r="D2" s="98"/>
      <c r="E2" s="98"/>
      <c r="F2" s="98"/>
      <c r="G2" s="98"/>
      <c r="H2" s="98"/>
      <c r="I2" s="98"/>
      <c r="J2" s="98"/>
      <c r="K2" s="98"/>
      <c r="L2" s="98"/>
      <c r="W2" s="98"/>
    </row>
    <row r="3" spans="1:23" x14ac:dyDescent="0.25">
      <c r="A3" s="100"/>
      <c r="B3" s="101" t="s">
        <v>234</v>
      </c>
      <c r="C3" s="102" t="s">
        <v>235</v>
      </c>
      <c r="D3" s="103" t="s">
        <v>236</v>
      </c>
      <c r="E3" s="103" t="s">
        <v>235</v>
      </c>
      <c r="F3" s="103" t="s">
        <v>237</v>
      </c>
      <c r="G3" s="103" t="s">
        <v>238</v>
      </c>
      <c r="H3" s="103" t="s">
        <v>239</v>
      </c>
      <c r="I3" s="103" t="s">
        <v>240</v>
      </c>
      <c r="J3" s="103" t="s">
        <v>241</v>
      </c>
      <c r="K3" s="103" t="s">
        <v>242</v>
      </c>
      <c r="L3" s="98"/>
      <c r="W3" s="98"/>
    </row>
    <row r="4" spans="1:23" x14ac:dyDescent="0.25">
      <c r="A4" s="98"/>
      <c r="B4" s="105" t="s">
        <v>253</v>
      </c>
      <c r="C4" s="102"/>
      <c r="D4" s="103" t="s">
        <v>254</v>
      </c>
      <c r="E4" s="103" t="s">
        <v>255</v>
      </c>
      <c r="F4" s="103" t="s">
        <v>254</v>
      </c>
      <c r="G4" s="103" t="s">
        <v>256</v>
      </c>
      <c r="H4" s="103" t="s">
        <v>257</v>
      </c>
      <c r="I4" s="103" t="s">
        <v>258</v>
      </c>
      <c r="J4" s="103" t="s">
        <v>259</v>
      </c>
      <c r="K4" s="103" t="s">
        <v>260</v>
      </c>
      <c r="L4" s="98"/>
      <c r="W4" s="98"/>
    </row>
    <row r="5" spans="1:23" x14ac:dyDescent="0.25">
      <c r="A5" s="106" t="s">
        <v>25</v>
      </c>
      <c r="B5" s="107"/>
      <c r="C5" s="108"/>
      <c r="D5" s="109"/>
      <c r="E5" s="109"/>
      <c r="F5" s="109"/>
      <c r="G5" s="109"/>
      <c r="H5" s="109"/>
      <c r="I5" s="109"/>
      <c r="J5" s="109"/>
      <c r="K5" s="109"/>
      <c r="L5" s="98"/>
      <c r="W5" s="98"/>
    </row>
    <row r="6" spans="1:23" x14ac:dyDescent="0.25">
      <c r="A6" s="98" t="s">
        <v>266</v>
      </c>
      <c r="B6" s="96">
        <v>1</v>
      </c>
      <c r="C6" s="97">
        <f>+'12 Month Operating Statement'!O9</f>
        <v>1193448.2999999998</v>
      </c>
      <c r="D6" s="110">
        <f>'Restating Adjustments'!I7</f>
        <v>106600</v>
      </c>
      <c r="E6" s="111">
        <f t="shared" ref="E6:E12" si="0">D6+C6</f>
        <v>1300048.2999999998</v>
      </c>
      <c r="F6" s="111">
        <f>'Pro Forma Adjustments'!O7</f>
        <v>58615</v>
      </c>
      <c r="G6" s="111">
        <f t="shared" ref="G6:G13" si="1">F6+E6</f>
        <v>1358663.2999999998</v>
      </c>
      <c r="H6" s="112"/>
      <c r="I6" s="111">
        <f t="shared" ref="I6:I13" si="2">G6-H6</f>
        <v>1358663.2999999998</v>
      </c>
      <c r="J6" s="113"/>
      <c r="K6" s="114">
        <f t="shared" ref="K6:K12" si="3">J6+I6</f>
        <v>1358663.2999999998</v>
      </c>
      <c r="L6" s="111"/>
      <c r="W6" s="98"/>
    </row>
    <row r="7" spans="1:23" x14ac:dyDescent="0.25">
      <c r="A7" s="98" t="s">
        <v>267</v>
      </c>
      <c r="B7" s="96">
        <v>2</v>
      </c>
      <c r="C7" s="97">
        <f>+'12 Month Operating Statement'!O10</f>
        <v>859563.34999999986</v>
      </c>
      <c r="D7" s="110">
        <f>'Restating Adjustments'!I8</f>
        <v>0</v>
      </c>
      <c r="E7" s="117">
        <f t="shared" si="0"/>
        <v>859563.34999999986</v>
      </c>
      <c r="F7" s="111">
        <f>'Pro Forma Adjustments'!O8</f>
        <v>44408</v>
      </c>
      <c r="G7" s="117">
        <f t="shared" si="1"/>
        <v>903971.34999999986</v>
      </c>
      <c r="H7" s="116"/>
      <c r="I7" s="117">
        <f t="shared" si="2"/>
        <v>903971.34999999986</v>
      </c>
      <c r="J7" s="113"/>
      <c r="K7" s="117">
        <f t="shared" si="3"/>
        <v>903971.34999999986</v>
      </c>
      <c r="L7" s="98"/>
      <c r="W7" s="98"/>
    </row>
    <row r="8" spans="1:23" x14ac:dyDescent="0.25">
      <c r="A8" s="98" t="s">
        <v>268</v>
      </c>
      <c r="B8" s="96">
        <v>3</v>
      </c>
      <c r="C8" s="97">
        <f>+'12 Month Operating Statement'!O11</f>
        <v>943807.81000000017</v>
      </c>
      <c r="D8" s="110">
        <f>'Restating Adjustments'!I9</f>
        <v>0</v>
      </c>
      <c r="E8" s="117">
        <f t="shared" si="0"/>
        <v>943807.81000000017</v>
      </c>
      <c r="F8" s="111">
        <f>'Pro Forma Adjustments'!O9</f>
        <v>0</v>
      </c>
      <c r="G8" s="117">
        <f t="shared" si="1"/>
        <v>943807.81000000017</v>
      </c>
      <c r="H8" s="116"/>
      <c r="I8" s="117">
        <f t="shared" si="2"/>
        <v>943807.81000000017</v>
      </c>
      <c r="J8" s="113"/>
      <c r="K8" s="118">
        <f t="shared" si="3"/>
        <v>943807.81000000017</v>
      </c>
      <c r="L8" s="100"/>
      <c r="W8" s="98"/>
    </row>
    <row r="9" spans="1:23" x14ac:dyDescent="0.25">
      <c r="A9" s="98" t="s">
        <v>269</v>
      </c>
      <c r="B9" s="96">
        <v>4</v>
      </c>
      <c r="C9" s="97">
        <f>+'12 Month Operating Statement'!O12</f>
        <v>749219.8899999999</v>
      </c>
      <c r="D9" s="110">
        <f>'Restating Adjustments'!I10</f>
        <v>0</v>
      </c>
      <c r="E9" s="117">
        <f t="shared" si="0"/>
        <v>749219.8899999999</v>
      </c>
      <c r="F9" s="111">
        <f>'Pro Forma Adjustments'!O10</f>
        <v>148363</v>
      </c>
      <c r="G9" s="117">
        <f t="shared" si="1"/>
        <v>897582.8899999999</v>
      </c>
      <c r="H9" s="116"/>
      <c r="I9" s="117">
        <f t="shared" si="2"/>
        <v>897582.8899999999</v>
      </c>
      <c r="J9" s="113"/>
      <c r="K9" s="118">
        <f t="shared" si="3"/>
        <v>897582.8899999999</v>
      </c>
      <c r="L9" s="100"/>
      <c r="W9" s="98"/>
    </row>
    <row r="10" spans="1:23" x14ac:dyDescent="0.25">
      <c r="A10" s="98" t="s">
        <v>270</v>
      </c>
      <c r="B10" s="96">
        <v>5</v>
      </c>
      <c r="C10" s="97">
        <f>+'12 Month Operating Statement'!O13</f>
        <v>9491.4600000000009</v>
      </c>
      <c r="D10" s="110">
        <f>'Restating Adjustments'!I11</f>
        <v>0</v>
      </c>
      <c r="E10" s="117">
        <f t="shared" si="0"/>
        <v>9491.4600000000009</v>
      </c>
      <c r="F10" s="111">
        <f>'Pro Forma Adjustments'!O11</f>
        <v>0</v>
      </c>
      <c r="G10" s="117">
        <f t="shared" si="1"/>
        <v>9491.4600000000009</v>
      </c>
      <c r="H10" s="119"/>
      <c r="I10" s="117">
        <f t="shared" si="2"/>
        <v>9491.4600000000009</v>
      </c>
      <c r="J10" s="116"/>
      <c r="K10" s="118">
        <f t="shared" si="3"/>
        <v>9491.4600000000009</v>
      </c>
      <c r="L10" s="100"/>
      <c r="W10" s="98"/>
    </row>
    <row r="11" spans="1:23" x14ac:dyDescent="0.25">
      <c r="A11" s="98" t="s">
        <v>271</v>
      </c>
      <c r="B11" s="96" t="s">
        <v>272</v>
      </c>
      <c r="C11" s="120">
        <f>+SUM('12 Month Operating Statement'!O17:O29)</f>
        <v>10723829.600000001</v>
      </c>
      <c r="D11" s="110">
        <f>'Restating Adjustments'!I12</f>
        <v>0</v>
      </c>
      <c r="E11" s="117">
        <f t="shared" si="0"/>
        <v>10723829.600000001</v>
      </c>
      <c r="F11" s="111">
        <f>'Pro Forma Adjustments'!O12</f>
        <v>0</v>
      </c>
      <c r="G11" s="117">
        <f t="shared" si="1"/>
        <v>10723829.600000001</v>
      </c>
      <c r="H11" s="119">
        <f>+G11</f>
        <v>10723829.600000001</v>
      </c>
      <c r="I11" s="117">
        <f t="shared" si="2"/>
        <v>0</v>
      </c>
      <c r="J11" s="116"/>
      <c r="K11" s="118">
        <f t="shared" si="3"/>
        <v>0</v>
      </c>
      <c r="L11" s="100"/>
      <c r="W11" s="98"/>
    </row>
    <row r="12" spans="1:23" x14ac:dyDescent="0.25">
      <c r="A12" s="98" t="s">
        <v>273</v>
      </c>
      <c r="B12" s="96" t="s">
        <v>2546</v>
      </c>
      <c r="C12" s="121">
        <f>+'12 Month Operating Statement'!O32+'12 Month Operating Statement'!O33+'12 Month Operating Statement'!O34</f>
        <v>112123.71</v>
      </c>
      <c r="D12" s="122">
        <f>'Restating Adjustments'!I13</f>
        <v>0</v>
      </c>
      <c r="E12" s="123">
        <f t="shared" si="0"/>
        <v>112123.71</v>
      </c>
      <c r="F12" s="123">
        <f>'Pro Forma Adjustments'!O13</f>
        <v>0</v>
      </c>
      <c r="G12" s="123">
        <f t="shared" si="1"/>
        <v>112123.71</v>
      </c>
      <c r="H12" s="124">
        <f>+G12</f>
        <v>112123.71</v>
      </c>
      <c r="I12" s="125">
        <f t="shared" si="2"/>
        <v>0</v>
      </c>
      <c r="J12" s="124"/>
      <c r="K12" s="125">
        <f t="shared" si="3"/>
        <v>0</v>
      </c>
      <c r="L12" s="100"/>
      <c r="W12" s="98"/>
    </row>
    <row r="13" spans="1:23" x14ac:dyDescent="0.25">
      <c r="A13" s="98" t="s">
        <v>274</v>
      </c>
      <c r="B13" s="96"/>
      <c r="C13" s="97">
        <f>SUM(C6:C12)</f>
        <v>14591484.120000001</v>
      </c>
      <c r="D13" s="117">
        <f>'Restating Adjustments'!I14</f>
        <v>106600</v>
      </c>
      <c r="E13" s="117">
        <f>SUM(E6:E12)</f>
        <v>14698084.120000001</v>
      </c>
      <c r="F13" s="117">
        <f>'Pro Forma Adjustments'!O14</f>
        <v>251386</v>
      </c>
      <c r="G13" s="117">
        <f t="shared" si="1"/>
        <v>14949470.120000001</v>
      </c>
      <c r="H13" s="118">
        <f>SUM(H6:H12)</f>
        <v>10835953.310000002</v>
      </c>
      <c r="I13" s="118">
        <f t="shared" si="2"/>
        <v>4113516.8099999987</v>
      </c>
      <c r="J13" s="118">
        <f>SUM(J6:J12)</f>
        <v>0</v>
      </c>
      <c r="K13" s="118">
        <f>SUM(K6:K12)</f>
        <v>4113516.8099999996</v>
      </c>
      <c r="L13" s="100"/>
      <c r="W13" s="98"/>
    </row>
    <row r="14" spans="1:23" x14ac:dyDescent="0.25">
      <c r="A14" s="126" t="s">
        <v>30</v>
      </c>
      <c r="B14" s="127"/>
      <c r="C14" s="128"/>
      <c r="D14" s="129"/>
      <c r="E14" s="129"/>
      <c r="F14" s="129"/>
      <c r="G14" s="129"/>
      <c r="H14" s="100"/>
      <c r="I14" s="118"/>
      <c r="J14" s="118"/>
      <c r="K14" s="130">
        <f>+K13/I13-1</f>
        <v>0</v>
      </c>
      <c r="L14" s="100"/>
      <c r="W14" s="98"/>
    </row>
    <row r="15" spans="1:23" x14ac:dyDescent="0.25">
      <c r="A15" s="98" t="s">
        <v>275</v>
      </c>
      <c r="B15" s="96" t="s">
        <v>276</v>
      </c>
      <c r="C15" s="131">
        <f>+'12 Month Operating Statement'!O40+'12 Month Operating Statement'!O41+'12 Month Operating Statement'!O42</f>
        <v>4483654.68</v>
      </c>
      <c r="D15" s="117">
        <f>+'Restating Adjustments'!I16</f>
        <v>0</v>
      </c>
      <c r="E15" s="117">
        <f>D15+C15</f>
        <v>4483654.68</v>
      </c>
      <c r="F15" s="117">
        <f>+'Pro Forma Adjustments'!O16</f>
        <v>762144.49</v>
      </c>
      <c r="G15" s="117">
        <f>F15+E15</f>
        <v>5245799.17</v>
      </c>
      <c r="H15" s="118">
        <f>-SUM('Allocation Matrix'!I20:T20)</f>
        <v>-3788911.7822586005</v>
      </c>
      <c r="I15" s="118">
        <f>SUM(G15:H15)</f>
        <v>1456887.3877413995</v>
      </c>
      <c r="J15" s="100"/>
      <c r="K15" s="118">
        <f>J15+I15</f>
        <v>1456887.3877413995</v>
      </c>
      <c r="L15" s="100"/>
      <c r="W15" s="98"/>
    </row>
    <row r="16" spans="1:23" x14ac:dyDescent="0.25">
      <c r="A16" s="104"/>
      <c r="B16" s="96"/>
      <c r="C16" s="131"/>
      <c r="D16" s="98"/>
      <c r="E16" s="98"/>
      <c r="F16" s="98"/>
      <c r="G16" s="98"/>
      <c r="H16" s="100"/>
      <c r="I16" s="132"/>
      <c r="J16" s="133"/>
      <c r="K16" s="134" t="s">
        <v>277</v>
      </c>
      <c r="L16" s="100"/>
      <c r="W16" s="98"/>
    </row>
    <row r="17" spans="1:23" x14ac:dyDescent="0.25">
      <c r="A17" s="98" t="s">
        <v>278</v>
      </c>
      <c r="B17" s="96" t="s">
        <v>279</v>
      </c>
      <c r="C17" s="131">
        <f>+'12 Month Operating Statement'!O50+'12 Month Operating Statement'!O51+'12 Month Operating Statement'!O52+'12 Month Operating Statement'!O53+'12 Month Operating Statement'!O62+'12 Month Operating Statement'!O63+'12 Month Operating Statement'!O64</f>
        <v>1553098.18</v>
      </c>
      <c r="D17" s="117">
        <f>'Restating Adjustments'!I18</f>
        <v>0</v>
      </c>
      <c r="E17" s="117">
        <f t="shared" ref="E17:E26" si="4">D17+C17</f>
        <v>1553098.18</v>
      </c>
      <c r="F17" s="117">
        <f>'Pro Forma Adjustments'!O18</f>
        <v>254149.78834999999</v>
      </c>
      <c r="G17" s="117">
        <f t="shared" ref="G17:G26" si="5">F17+E17</f>
        <v>1807247.96835</v>
      </c>
      <c r="H17" s="118">
        <f>-SUM('Allocation Matrix'!I22:T22)</f>
        <v>-1200707.9927647223</v>
      </c>
      <c r="I17" s="118">
        <f t="shared" ref="I17:I26" si="6">SUM(G17:H17)</f>
        <v>606539.97558527766</v>
      </c>
      <c r="J17" s="132">
        <f>J13-J16</f>
        <v>0</v>
      </c>
      <c r="K17" s="118">
        <f t="shared" ref="K17:K26" si="7">J17+I17</f>
        <v>606539.97558527766</v>
      </c>
      <c r="L17" s="100"/>
      <c r="W17" s="98"/>
    </row>
    <row r="18" spans="1:23" x14ac:dyDescent="0.25">
      <c r="A18" s="98" t="s">
        <v>280</v>
      </c>
      <c r="B18" s="96" t="s">
        <v>2547</v>
      </c>
      <c r="C18" s="131">
        <f>+'12 Month Operating Statement'!O56+'12 Month Operating Statement'!O57+'12 Month Operating Statement'!O67+'12 Month Operating Statement'!O68</f>
        <v>233131.68</v>
      </c>
      <c r="D18" s="117">
        <f>'Restating Adjustments'!I19</f>
        <v>0</v>
      </c>
      <c r="E18" s="117">
        <f t="shared" si="4"/>
        <v>233131.68</v>
      </c>
      <c r="F18" s="117">
        <f>'Pro Forma Adjustments'!O19</f>
        <v>15230.729384999997</v>
      </c>
      <c r="G18" s="117">
        <f t="shared" si="5"/>
        <v>248362.40938499998</v>
      </c>
      <c r="H18" s="118">
        <f>-SUM('Allocation Matrix'!I23:T23)</f>
        <v>-165008.19769803752</v>
      </c>
      <c r="I18" s="118">
        <f t="shared" si="6"/>
        <v>83354.211686962459</v>
      </c>
      <c r="J18" s="132"/>
      <c r="K18" s="118">
        <f t="shared" si="7"/>
        <v>83354.211686962459</v>
      </c>
      <c r="L18" s="100"/>
      <c r="W18" s="98"/>
    </row>
    <row r="19" spans="1:23" x14ac:dyDescent="0.25">
      <c r="A19" s="98" t="s">
        <v>281</v>
      </c>
      <c r="B19" s="96" t="s">
        <v>282</v>
      </c>
      <c r="C19" s="131">
        <f>+'12 Month Operating Statement'!O55+'12 Month Operating Statement'!O66</f>
        <v>64366.69</v>
      </c>
      <c r="D19" s="117">
        <f>'Restating Adjustments'!I20</f>
        <v>0</v>
      </c>
      <c r="E19" s="117">
        <f t="shared" si="4"/>
        <v>64366.69</v>
      </c>
      <c r="F19" s="117">
        <f>'Pro Forma Adjustments'!O20</f>
        <v>13510.123600000001</v>
      </c>
      <c r="G19" s="117">
        <f t="shared" si="5"/>
        <v>77876.813600000009</v>
      </c>
      <c r="H19" s="118">
        <f>-SUM('Allocation Matrix'!I24:T24)</f>
        <v>-51740.167469071617</v>
      </c>
      <c r="I19" s="118">
        <f t="shared" si="6"/>
        <v>26136.646130928391</v>
      </c>
      <c r="J19" s="137"/>
      <c r="K19" s="118">
        <f t="shared" si="7"/>
        <v>26136.646130928391</v>
      </c>
      <c r="L19" s="100"/>
      <c r="W19" s="98"/>
    </row>
    <row r="20" spans="1:23" x14ac:dyDescent="0.25">
      <c r="A20" s="98" t="s">
        <v>283</v>
      </c>
      <c r="B20" s="96" t="s">
        <v>284</v>
      </c>
      <c r="C20" s="131">
        <f>+'12 Month Operating Statement'!O54+'12 Month Operating Statement'!O65</f>
        <v>205396.58000000002</v>
      </c>
      <c r="D20" s="117">
        <f>'Restating Adjustments'!I21</f>
        <v>0</v>
      </c>
      <c r="E20" s="117">
        <f t="shared" si="4"/>
        <v>205396.58000000002</v>
      </c>
      <c r="F20" s="117">
        <f>'Pro Forma Adjustments'!O21</f>
        <v>55644.546128999973</v>
      </c>
      <c r="G20" s="117">
        <f t="shared" si="5"/>
        <v>261041.12612899998</v>
      </c>
      <c r="H20" s="118">
        <f>-SUM('Allocation Matrix'!I25:T25)</f>
        <v>-173431.74377424069</v>
      </c>
      <c r="I20" s="118">
        <f t="shared" si="6"/>
        <v>87609.382354759291</v>
      </c>
      <c r="J20" s="137"/>
      <c r="K20" s="118">
        <f t="shared" si="7"/>
        <v>87609.382354759291</v>
      </c>
      <c r="L20" s="100"/>
      <c r="W20" s="98"/>
    </row>
    <row r="21" spans="1:23" x14ac:dyDescent="0.25">
      <c r="A21" s="98" t="s">
        <v>285</v>
      </c>
      <c r="B21" s="96" t="s">
        <v>286</v>
      </c>
      <c r="C21" s="131">
        <f>+'12 Month Operating Statement'!O58+'12 Month Operating Statement'!O69</f>
        <v>57736</v>
      </c>
      <c r="D21" s="117">
        <f>'Restating Adjustments'!I22</f>
        <v>0</v>
      </c>
      <c r="E21" s="117">
        <f t="shared" si="4"/>
        <v>57736</v>
      </c>
      <c r="F21" s="117">
        <f>'Pro Forma Adjustments'!O22</f>
        <v>0</v>
      </c>
      <c r="G21" s="117">
        <f t="shared" si="5"/>
        <v>57736</v>
      </c>
      <c r="H21" s="118">
        <f>-SUM('Allocation Matrix'!I26:T26)</f>
        <v>-38358.91802581813</v>
      </c>
      <c r="I21" s="118">
        <f t="shared" si="6"/>
        <v>19377.08197418187</v>
      </c>
      <c r="J21" s="139"/>
      <c r="K21" s="118">
        <f t="shared" si="7"/>
        <v>19377.08197418187</v>
      </c>
      <c r="L21" s="98"/>
      <c r="W21" s="98"/>
    </row>
    <row r="22" spans="1:23" x14ac:dyDescent="0.25">
      <c r="A22" s="98" t="s">
        <v>287</v>
      </c>
      <c r="B22" s="96">
        <v>42</v>
      </c>
      <c r="C22" s="131">
        <f>+'12 Month Operating Statement'!O73</f>
        <v>67044.19</v>
      </c>
      <c r="D22" s="117">
        <f>'Restating Adjustments'!I23</f>
        <v>0</v>
      </c>
      <c r="E22" s="117">
        <f t="shared" si="4"/>
        <v>67044.19</v>
      </c>
      <c r="F22" s="117">
        <f>'Pro Forma Adjustments'!O23</f>
        <v>0</v>
      </c>
      <c r="G22" s="117">
        <f t="shared" si="5"/>
        <v>67044.19</v>
      </c>
      <c r="H22" s="118">
        <f>-SUM('Allocation Matrix'!I27:T27)</f>
        <v>-44543.137528013278</v>
      </c>
      <c r="I22" s="118">
        <f t="shared" si="6"/>
        <v>22501.052471986724</v>
      </c>
      <c r="J22" s="98"/>
      <c r="K22" s="118">
        <f t="shared" si="7"/>
        <v>22501.052471986724</v>
      </c>
      <c r="L22" s="98"/>
      <c r="W22" s="98"/>
    </row>
    <row r="23" spans="1:23" x14ac:dyDescent="0.25">
      <c r="A23" s="98" t="s">
        <v>288</v>
      </c>
      <c r="B23" s="96">
        <v>43</v>
      </c>
      <c r="C23" s="131">
        <f>+'12 Month Operating Statement'!O74</f>
        <v>655591.08000000007</v>
      </c>
      <c r="D23" s="117">
        <f>'Restating Adjustments'!I24</f>
        <v>-102213</v>
      </c>
      <c r="E23" s="117">
        <f t="shared" si="4"/>
        <v>553378.08000000007</v>
      </c>
      <c r="F23" s="117">
        <f>'Pro Forma Adjustments'!O24</f>
        <v>0</v>
      </c>
      <c r="G23" s="117">
        <f t="shared" si="5"/>
        <v>553378.08000000007</v>
      </c>
      <c r="H23" s="118">
        <f>-SUM('Allocation Matrix'!I28:T28)</f>
        <v>-367655.95829299971</v>
      </c>
      <c r="I23" s="118">
        <f t="shared" si="6"/>
        <v>185722.12170700036</v>
      </c>
      <c r="J23" s="98"/>
      <c r="K23" s="118">
        <f t="shared" si="7"/>
        <v>185722.12170700036</v>
      </c>
      <c r="L23" s="98"/>
      <c r="W23" s="98"/>
    </row>
    <row r="24" spans="1:23" x14ac:dyDescent="0.25">
      <c r="A24" s="98" t="s">
        <v>289</v>
      </c>
      <c r="B24" s="96">
        <v>45</v>
      </c>
      <c r="C24" s="131">
        <f>+'12 Month Operating Statement'!O76</f>
        <v>153900</v>
      </c>
      <c r="D24" s="117">
        <f>'Restating Adjustments'!I25</f>
        <v>0</v>
      </c>
      <c r="E24" s="117">
        <f t="shared" si="4"/>
        <v>153900</v>
      </c>
      <c r="F24" s="117">
        <f>'Pro Forma Adjustments'!O25</f>
        <v>0</v>
      </c>
      <c r="G24" s="117">
        <f t="shared" si="5"/>
        <v>153900</v>
      </c>
      <c r="H24" s="118">
        <f>-SUM('Allocation Matrix'!I29:T29)</f>
        <v>-102248.81329107333</v>
      </c>
      <c r="I24" s="118">
        <f t="shared" si="6"/>
        <v>51651.186708926674</v>
      </c>
      <c r="J24" s="98"/>
      <c r="K24" s="118">
        <f t="shared" si="7"/>
        <v>51651.186708926674</v>
      </c>
      <c r="L24" s="98"/>
      <c r="W24" s="98"/>
    </row>
    <row r="25" spans="1:23" x14ac:dyDescent="0.25">
      <c r="A25" s="98" t="s">
        <v>290</v>
      </c>
      <c r="B25" s="96">
        <v>44</v>
      </c>
      <c r="C25" s="131">
        <f>+'12 Month Operating Statement'!O75</f>
        <v>13570.95</v>
      </c>
      <c r="D25" s="117">
        <f>'Restating Adjustments'!I26</f>
        <v>-846</v>
      </c>
      <c r="E25" s="117">
        <f t="shared" si="4"/>
        <v>12724.95</v>
      </c>
      <c r="F25" s="117">
        <f>'Pro Forma Adjustments'!O26</f>
        <v>0</v>
      </c>
      <c r="G25" s="117">
        <f t="shared" si="5"/>
        <v>12724.95</v>
      </c>
      <c r="H25" s="118">
        <f>-SUM('Allocation Matrix'!I30:T30)</f>
        <v>-8454.2627465123041</v>
      </c>
      <c r="I25" s="118">
        <f t="shared" si="6"/>
        <v>4270.6872534876966</v>
      </c>
      <c r="J25" s="98"/>
      <c r="K25" s="118">
        <f t="shared" si="7"/>
        <v>4270.6872534876966</v>
      </c>
      <c r="L25" s="98"/>
      <c r="W25" s="98"/>
    </row>
    <row r="26" spans="1:23" x14ac:dyDescent="0.25">
      <c r="A26" s="98" t="s">
        <v>291</v>
      </c>
      <c r="B26" s="96">
        <v>47</v>
      </c>
      <c r="C26" s="131">
        <f>+'12 Month Operating Statement'!O78</f>
        <v>44048.74</v>
      </c>
      <c r="D26" s="117">
        <f>'Restating Adjustments'!I27</f>
        <v>0</v>
      </c>
      <c r="E26" s="117">
        <f t="shared" si="4"/>
        <v>44048.74</v>
      </c>
      <c r="F26" s="117">
        <f>'Pro Forma Adjustments'!O27</f>
        <v>0</v>
      </c>
      <c r="G26" s="117">
        <f t="shared" si="5"/>
        <v>44048.74</v>
      </c>
      <c r="H26" s="118">
        <f>-SUM('Allocation Matrix'!I31:T31)</f>
        <v>-29265.311188869611</v>
      </c>
      <c r="I26" s="118">
        <f t="shared" si="6"/>
        <v>14783.428811130387</v>
      </c>
      <c r="J26" s="98"/>
      <c r="K26" s="118">
        <f t="shared" si="7"/>
        <v>14783.428811130387</v>
      </c>
      <c r="L26" s="98"/>
      <c r="W26" s="98"/>
    </row>
    <row r="27" spans="1:23" x14ac:dyDescent="0.25">
      <c r="A27" s="98"/>
      <c r="B27" s="96"/>
      <c r="C27" s="131"/>
      <c r="D27" s="117"/>
      <c r="E27" s="117"/>
      <c r="F27" s="117"/>
      <c r="G27" s="117"/>
      <c r="H27" s="117"/>
      <c r="I27" s="98"/>
      <c r="J27" s="98"/>
      <c r="K27" s="98"/>
      <c r="L27" s="98"/>
      <c r="W27" s="98"/>
    </row>
    <row r="28" spans="1:23" x14ac:dyDescent="0.25">
      <c r="A28" s="98" t="s">
        <v>292</v>
      </c>
      <c r="B28" s="96" t="s">
        <v>293</v>
      </c>
      <c r="C28" s="131">
        <f>+'12 Month Operating Statement'!O82+'12 Month Operating Statement'!O83+'12 Month Operating Statement'!O84+'12 Month Operating Statement'!O85</f>
        <v>295713.44</v>
      </c>
      <c r="D28" s="117">
        <f>'Restating Adjustments'!I29</f>
        <v>0</v>
      </c>
      <c r="E28" s="117">
        <f t="shared" ref="E28:E40" si="8">D28+C28</f>
        <v>295713.44</v>
      </c>
      <c r="F28" s="117">
        <f>'Pro Forma Adjustments'!O29</f>
        <v>111456.50170000007</v>
      </c>
      <c r="G28" s="117">
        <f t="shared" ref="G28:G40" si="9">F28+E28</f>
        <v>407169.94170000008</v>
      </c>
      <c r="H28" s="118">
        <f>-SUM('Allocation Matrix'!I33:T33)</f>
        <v>-270517.50062781363</v>
      </c>
      <c r="I28" s="118">
        <f t="shared" ref="I28:I40" si="10">SUM(G28:H28)</f>
        <v>136652.44107218646</v>
      </c>
      <c r="J28" s="98"/>
      <c r="K28" s="118">
        <f t="shared" ref="K28:K91" si="11">J28+I28</f>
        <v>136652.44107218646</v>
      </c>
      <c r="L28" s="98"/>
      <c r="W28" s="98"/>
    </row>
    <row r="29" spans="1:23" x14ac:dyDescent="0.25">
      <c r="A29" s="98" t="s">
        <v>280</v>
      </c>
      <c r="B29" s="96" t="s">
        <v>294</v>
      </c>
      <c r="C29" s="131">
        <f>+'12 Month Operating Statement'!O88+'12 Month Operating Statement'!O89</f>
        <v>56602.55</v>
      </c>
      <c r="D29" s="117">
        <f>'Restating Adjustments'!I30</f>
        <v>0</v>
      </c>
      <c r="E29" s="117">
        <f t="shared" si="8"/>
        <v>56602.55</v>
      </c>
      <c r="F29" s="117">
        <f>'Pro Forma Adjustments'!O30</f>
        <v>8022.9876929999991</v>
      </c>
      <c r="G29" s="117">
        <f t="shared" si="9"/>
        <v>64625.537693000006</v>
      </c>
      <c r="H29" s="118">
        <f>-SUM('Allocation Matrix'!I34:T34)</f>
        <v>-42936.221815508645</v>
      </c>
      <c r="I29" s="118">
        <f t="shared" si="10"/>
        <v>21689.315877491361</v>
      </c>
      <c r="J29" s="98"/>
      <c r="K29" s="118">
        <f t="shared" si="11"/>
        <v>21689.315877491361</v>
      </c>
      <c r="L29" s="98"/>
      <c r="W29" s="98"/>
    </row>
    <row r="30" spans="1:23" x14ac:dyDescent="0.25">
      <c r="A30" s="98" t="s">
        <v>281</v>
      </c>
      <c r="B30" s="96">
        <v>53</v>
      </c>
      <c r="C30" s="131">
        <f>+'12 Month Operating Statement'!O87</f>
        <v>18308.759999999998</v>
      </c>
      <c r="D30" s="117">
        <f>'Restating Adjustments'!I31</f>
        <v>0</v>
      </c>
      <c r="E30" s="117">
        <f t="shared" si="8"/>
        <v>18308.759999999998</v>
      </c>
      <c r="F30" s="117">
        <f>'Pro Forma Adjustments'!O31</f>
        <v>2997.9409069999997</v>
      </c>
      <c r="G30" s="117">
        <f t="shared" si="9"/>
        <v>21306.700906999999</v>
      </c>
      <c r="H30" s="118">
        <f>-SUM('Allocation Matrix'!I35:T35)</f>
        <v>-14155.847192258516</v>
      </c>
      <c r="I30" s="118">
        <f t="shared" si="10"/>
        <v>7150.8537147414827</v>
      </c>
      <c r="J30" s="98"/>
      <c r="K30" s="118">
        <f t="shared" si="11"/>
        <v>7150.8537147414827</v>
      </c>
      <c r="L30" s="98"/>
      <c r="W30" s="98"/>
    </row>
    <row r="31" spans="1:23" x14ac:dyDescent="0.25">
      <c r="A31" s="98" t="s">
        <v>283</v>
      </c>
      <c r="B31" s="96">
        <v>52</v>
      </c>
      <c r="C31" s="131">
        <f>+'12 Month Operating Statement'!O86</f>
        <v>38679.279999999999</v>
      </c>
      <c r="D31" s="117">
        <f>'Restating Adjustments'!I32</f>
        <v>0</v>
      </c>
      <c r="E31" s="117">
        <f t="shared" si="8"/>
        <v>38679.279999999999</v>
      </c>
      <c r="F31" s="117">
        <f>'Pro Forma Adjustments'!O32</f>
        <v>4243.2</v>
      </c>
      <c r="G31" s="117">
        <f t="shared" si="9"/>
        <v>42922.479999999996</v>
      </c>
      <c r="H31" s="118">
        <f>-SUM('Allocation Matrix'!I36:T36)</f>
        <v>-28517.041218387447</v>
      </c>
      <c r="I31" s="118">
        <f t="shared" si="10"/>
        <v>14405.438781612549</v>
      </c>
      <c r="J31" s="98"/>
      <c r="K31" s="118">
        <f t="shared" si="11"/>
        <v>14405.438781612549</v>
      </c>
      <c r="L31" s="98"/>
      <c r="W31" s="98"/>
    </row>
    <row r="32" spans="1:23" x14ac:dyDescent="0.25">
      <c r="A32" s="98" t="s">
        <v>285</v>
      </c>
      <c r="B32" s="96">
        <v>56</v>
      </c>
      <c r="C32" s="131">
        <f>+'12 Month Operating Statement'!O90</f>
        <v>5287.75</v>
      </c>
      <c r="D32" s="117">
        <f>'Restating Adjustments'!I33</f>
        <v>0</v>
      </c>
      <c r="E32" s="117">
        <f t="shared" si="8"/>
        <v>5287.75</v>
      </c>
      <c r="F32" s="117">
        <f>'Pro Forma Adjustments'!O33</f>
        <v>0</v>
      </c>
      <c r="G32" s="117">
        <f t="shared" si="9"/>
        <v>5287.75</v>
      </c>
      <c r="H32" s="118">
        <f>-SUM('Allocation Matrix'!I37:T37)</f>
        <v>-3513.1004709543399</v>
      </c>
      <c r="I32" s="118">
        <f t="shared" si="10"/>
        <v>1774.6495290456601</v>
      </c>
      <c r="J32" s="98"/>
      <c r="K32" s="118">
        <f t="shared" si="11"/>
        <v>1774.6495290456601</v>
      </c>
      <c r="L32" s="98"/>
      <c r="W32" s="98"/>
    </row>
    <row r="33" spans="1:23" x14ac:dyDescent="0.25">
      <c r="A33" s="98" t="s">
        <v>295</v>
      </c>
      <c r="B33" s="96">
        <v>58</v>
      </c>
      <c r="C33" s="131">
        <f>+'12 Month Operating Statement'!O95</f>
        <v>323631.65000000002</v>
      </c>
      <c r="D33" s="117">
        <f>'Restating Adjustments'!I34</f>
        <v>0</v>
      </c>
      <c r="E33" s="117">
        <f t="shared" si="8"/>
        <v>323631.65000000002</v>
      </c>
      <c r="F33" s="117">
        <f>'Pro Forma Adjustments'!O34</f>
        <v>0</v>
      </c>
      <c r="G33" s="117">
        <f t="shared" si="9"/>
        <v>323631.65000000002</v>
      </c>
      <c r="H33" s="118">
        <f>-SUM('Allocation Matrix'!I38:T38)</f>
        <v>-215015.93343685506</v>
      </c>
      <c r="I33" s="118">
        <f t="shared" si="10"/>
        <v>108615.71656314496</v>
      </c>
      <c r="J33" s="98"/>
      <c r="K33" s="118">
        <f t="shared" si="11"/>
        <v>108615.71656314496</v>
      </c>
      <c r="L33" s="98"/>
      <c r="W33" s="98"/>
    </row>
    <row r="34" spans="1:23" x14ac:dyDescent="0.25">
      <c r="A34" s="98" t="s">
        <v>296</v>
      </c>
      <c r="B34" s="96">
        <v>61</v>
      </c>
      <c r="C34" s="131">
        <f>+'12 Month Operating Statement'!O98</f>
        <v>61778.2</v>
      </c>
      <c r="D34" s="117">
        <f>'Restating Adjustments'!I35</f>
        <v>0</v>
      </c>
      <c r="E34" s="117">
        <f t="shared" si="8"/>
        <v>61778.2</v>
      </c>
      <c r="F34" s="117">
        <f>'Pro Forma Adjustments'!O35</f>
        <v>0</v>
      </c>
      <c r="G34" s="117">
        <f t="shared" si="9"/>
        <v>61778.2</v>
      </c>
      <c r="H34" s="118">
        <f>-SUM('Allocation Matrix'!I39:T39)</f>
        <v>-41044.49406925658</v>
      </c>
      <c r="I34" s="118">
        <f t="shared" si="10"/>
        <v>20733.705930743417</v>
      </c>
      <c r="J34" s="98"/>
      <c r="K34" s="118">
        <f t="shared" si="11"/>
        <v>20733.705930743417</v>
      </c>
      <c r="L34" s="98"/>
      <c r="W34" s="98"/>
    </row>
    <row r="35" spans="1:23" x14ac:dyDescent="0.25">
      <c r="A35" s="98" t="s">
        <v>297</v>
      </c>
      <c r="B35" s="96">
        <v>59</v>
      </c>
      <c r="C35" s="131">
        <f>+'12 Month Operating Statement'!O96</f>
        <v>74699.649999999994</v>
      </c>
      <c r="D35" s="117">
        <f>'Restating Adjustments'!I36</f>
        <v>0</v>
      </c>
      <c r="E35" s="117">
        <f t="shared" si="8"/>
        <v>74699.649999999994</v>
      </c>
      <c r="F35" s="117">
        <f>'Pro Forma Adjustments'!O36</f>
        <v>0</v>
      </c>
      <c r="G35" s="117">
        <f t="shared" si="9"/>
        <v>74699.649999999994</v>
      </c>
      <c r="H35" s="118">
        <f>-SUM('Allocation Matrix'!I40:T40)</f>
        <v>-49629.308419483597</v>
      </c>
      <c r="I35" s="118">
        <f t="shared" si="10"/>
        <v>25070.341580516397</v>
      </c>
      <c r="J35" s="98"/>
      <c r="K35" s="118">
        <f t="shared" si="11"/>
        <v>25070.341580516397</v>
      </c>
      <c r="L35" s="98"/>
      <c r="W35" s="98"/>
    </row>
    <row r="36" spans="1:23" x14ac:dyDescent="0.25">
      <c r="A36" s="98" t="s">
        <v>298</v>
      </c>
      <c r="B36" s="96">
        <v>65</v>
      </c>
      <c r="C36" s="131">
        <f>+'12 Month Operating Statement'!O102</f>
        <v>683965.16999999993</v>
      </c>
      <c r="D36" s="117">
        <f>'Restating Adjustments'!I37</f>
        <v>0</v>
      </c>
      <c r="E36" s="117">
        <f t="shared" si="8"/>
        <v>683965.16999999993</v>
      </c>
      <c r="F36" s="117">
        <f>'Pro Forma Adjustments'!O37</f>
        <v>0</v>
      </c>
      <c r="G36" s="117">
        <f t="shared" si="9"/>
        <v>683965.16999999993</v>
      </c>
      <c r="H36" s="118">
        <f>-SUM('Allocation Matrix'!I41:T41)</f>
        <v>-454416.0296616453</v>
      </c>
      <c r="I36" s="118">
        <f t="shared" si="10"/>
        <v>229549.14033835463</v>
      </c>
      <c r="J36" s="98"/>
      <c r="K36" s="118">
        <f t="shared" si="11"/>
        <v>229549.14033835463</v>
      </c>
      <c r="L36" s="98"/>
      <c r="W36" s="98"/>
    </row>
    <row r="37" spans="1:23" x14ac:dyDescent="0.25">
      <c r="A37" s="98" t="s">
        <v>299</v>
      </c>
      <c r="B37" s="96">
        <v>60</v>
      </c>
      <c r="C37" s="131">
        <f>+'12 Month Operating Statement'!O97</f>
        <v>267425.55000000005</v>
      </c>
      <c r="D37" s="117">
        <f>'Restating Adjustments'!I38</f>
        <v>0</v>
      </c>
      <c r="E37" s="117">
        <f t="shared" si="8"/>
        <v>267425.55000000005</v>
      </c>
      <c r="F37" s="117">
        <f>'Pro Forma Adjustments'!O38</f>
        <v>0</v>
      </c>
      <c r="G37" s="117">
        <f t="shared" si="9"/>
        <v>267425.55000000005</v>
      </c>
      <c r="H37" s="118">
        <f>-SUM('Allocation Matrix'!I42:T42)</f>
        <v>-177673.45764270693</v>
      </c>
      <c r="I37" s="118">
        <f t="shared" si="10"/>
        <v>89752.092357293121</v>
      </c>
      <c r="J37" s="98"/>
      <c r="K37" s="118">
        <f t="shared" si="11"/>
        <v>89752.092357293121</v>
      </c>
      <c r="L37" s="98"/>
      <c r="W37" s="98"/>
    </row>
    <row r="38" spans="1:23" x14ac:dyDescent="0.25">
      <c r="A38" s="98" t="s">
        <v>300</v>
      </c>
      <c r="B38" s="96">
        <v>63</v>
      </c>
      <c r="C38" s="131">
        <f>+'12 Month Operating Statement'!O100</f>
        <v>57762.090000000004</v>
      </c>
      <c r="D38" s="117">
        <f>'Restating Adjustments'!I39</f>
        <v>0</v>
      </c>
      <c r="E38" s="117">
        <f t="shared" si="8"/>
        <v>57762.090000000004</v>
      </c>
      <c r="F38" s="117">
        <f>'Pro Forma Adjustments'!O39</f>
        <v>0</v>
      </c>
      <c r="G38" s="117">
        <f t="shared" si="9"/>
        <v>57762.090000000004</v>
      </c>
      <c r="H38" s="118">
        <f>-SUM('Allocation Matrix'!I43:T43)</f>
        <v>-38376.251823990729</v>
      </c>
      <c r="I38" s="118">
        <f t="shared" si="10"/>
        <v>19385.838176009274</v>
      </c>
      <c r="J38" s="98"/>
      <c r="K38" s="118">
        <f t="shared" si="11"/>
        <v>19385.838176009274</v>
      </c>
      <c r="L38" s="98"/>
      <c r="W38" s="98"/>
    </row>
    <row r="39" spans="1:23" x14ac:dyDescent="0.25">
      <c r="A39" s="98" t="s">
        <v>301</v>
      </c>
      <c r="B39" s="96">
        <v>64</v>
      </c>
      <c r="C39" s="131">
        <f>+'12 Month Operating Statement'!O101</f>
        <v>30146.46</v>
      </c>
      <c r="D39" s="117">
        <f>'Restating Adjustments'!I40</f>
        <v>0</v>
      </c>
      <c r="E39" s="117">
        <f t="shared" si="8"/>
        <v>30146.46</v>
      </c>
      <c r="F39" s="117">
        <f>'Pro Forma Adjustments'!O40</f>
        <v>0</v>
      </c>
      <c r="G39" s="117">
        <f t="shared" si="9"/>
        <v>30146.46</v>
      </c>
      <c r="H39" s="118">
        <f>-SUM('Allocation Matrix'!I44:T44)</f>
        <v>-20028.848342604353</v>
      </c>
      <c r="I39" s="118">
        <f t="shared" si="10"/>
        <v>10117.611657395646</v>
      </c>
      <c r="J39" s="98"/>
      <c r="K39" s="118">
        <f t="shared" si="11"/>
        <v>10117.611657395646</v>
      </c>
      <c r="L39" s="98"/>
      <c r="W39" s="98"/>
    </row>
    <row r="40" spans="1:23" x14ac:dyDescent="0.25">
      <c r="A40" s="98" t="s">
        <v>302</v>
      </c>
      <c r="B40" s="96">
        <v>62</v>
      </c>
      <c r="C40" s="131">
        <f>+'12 Month Operating Statement'!O99</f>
        <v>12337.01</v>
      </c>
      <c r="D40" s="117">
        <f>'Restating Adjustments'!I41</f>
        <v>0</v>
      </c>
      <c r="E40" s="117">
        <f t="shared" si="8"/>
        <v>12337.01</v>
      </c>
      <c r="F40" s="117">
        <f>'Pro Forma Adjustments'!O41</f>
        <v>0</v>
      </c>
      <c r="G40" s="117">
        <f t="shared" si="9"/>
        <v>12337.01</v>
      </c>
      <c r="H40" s="118">
        <f>-SUM('Allocation Matrix'!I45:T45)</f>
        <v>-9604.8807050272462</v>
      </c>
      <c r="I40" s="118">
        <f t="shared" si="10"/>
        <v>2732.129294972754</v>
      </c>
      <c r="J40" s="98"/>
      <c r="K40" s="118">
        <f t="shared" si="11"/>
        <v>2732.129294972754</v>
      </c>
      <c r="L40" s="98"/>
      <c r="W40" s="98"/>
    </row>
    <row r="41" spans="1:23" x14ac:dyDescent="0.25">
      <c r="A41" s="98"/>
      <c r="B41" s="96"/>
      <c r="C41" s="131"/>
      <c r="D41" s="117"/>
      <c r="E41" s="117"/>
      <c r="F41" s="117"/>
      <c r="G41" s="117"/>
      <c r="H41" s="117"/>
      <c r="I41" s="98"/>
      <c r="J41" s="98"/>
      <c r="K41" s="118"/>
      <c r="L41" s="98"/>
      <c r="W41" s="98"/>
    </row>
    <row r="42" spans="1:23" x14ac:dyDescent="0.25">
      <c r="A42" s="98" t="s">
        <v>303</v>
      </c>
      <c r="B42" s="96">
        <v>69</v>
      </c>
      <c r="C42" s="131">
        <f>+'12 Month Operating Statement'!O111</f>
        <v>68380.209999999992</v>
      </c>
      <c r="D42" s="117">
        <f>'Restating Adjustments'!I43</f>
        <v>0</v>
      </c>
      <c r="E42" s="117">
        <f t="shared" ref="E42:E51" si="12">D42+C42</f>
        <v>68380.209999999992</v>
      </c>
      <c r="F42" s="117">
        <f>'Pro Forma Adjustments'!O43</f>
        <v>28600</v>
      </c>
      <c r="G42" s="117">
        <f t="shared" ref="G42:G51" si="13">F42+E42</f>
        <v>96980.209999999992</v>
      </c>
      <c r="H42" s="118">
        <f>-SUM('Allocation Matrix'!I47:T47)</f>
        <v>-75503.168741736474</v>
      </c>
      <c r="I42" s="118">
        <f t="shared" ref="I42:I51" si="14">SUM(G42:H42)</f>
        <v>21477.041258263518</v>
      </c>
      <c r="J42" s="98"/>
      <c r="K42" s="118">
        <f t="shared" si="11"/>
        <v>21477.041258263518</v>
      </c>
      <c r="L42" s="98"/>
      <c r="W42" s="98"/>
    </row>
    <row r="43" spans="1:23" x14ac:dyDescent="0.25">
      <c r="A43" s="98" t="s">
        <v>280</v>
      </c>
      <c r="B43" s="96" t="s">
        <v>304</v>
      </c>
      <c r="C43" s="131">
        <f>+'12 Month Operating Statement'!O114+'12 Month Operating Statement'!O115</f>
        <v>12639.829999999998</v>
      </c>
      <c r="D43" s="117">
        <f>'Restating Adjustments'!I44</f>
        <v>0</v>
      </c>
      <c r="E43" s="117">
        <f t="shared" si="12"/>
        <v>12639.829999999998</v>
      </c>
      <c r="F43" s="117">
        <f>'Pro Forma Adjustments'!O44</f>
        <v>6174.7566750000005</v>
      </c>
      <c r="G43" s="117">
        <f t="shared" si="13"/>
        <v>18814.586674999999</v>
      </c>
      <c r="H43" s="118">
        <f>-SUM('Allocation Matrix'!I48:T48)</f>
        <v>-14647.946344192816</v>
      </c>
      <c r="I43" s="118">
        <f t="shared" si="14"/>
        <v>4166.6403308071822</v>
      </c>
      <c r="J43" s="98"/>
      <c r="K43" s="118">
        <f t="shared" si="11"/>
        <v>4166.6403308071822</v>
      </c>
      <c r="L43" s="98"/>
      <c r="W43" s="98"/>
    </row>
    <row r="44" spans="1:23" x14ac:dyDescent="0.25">
      <c r="A44" s="98" t="s">
        <v>281</v>
      </c>
      <c r="B44" s="96" t="s">
        <v>172</v>
      </c>
      <c r="C44" s="131">
        <f>+'12 Month Operating Statement'!O113</f>
        <v>1044.73</v>
      </c>
      <c r="D44" s="117">
        <f>'Restating Adjustments'!I45</f>
        <v>0</v>
      </c>
      <c r="E44" s="117">
        <f t="shared" si="12"/>
        <v>1044.73</v>
      </c>
      <c r="F44" s="117">
        <f>'Pro Forma Adjustments'!O45</f>
        <v>3335.6704030000001</v>
      </c>
      <c r="G44" s="117">
        <f t="shared" si="13"/>
        <v>4380.4004029999996</v>
      </c>
      <c r="H44" s="118">
        <f>-SUM('Allocation Matrix'!I49:T49)</f>
        <v>-3410.3257848594008</v>
      </c>
      <c r="I44" s="118">
        <f t="shared" si="14"/>
        <v>970.07461814059889</v>
      </c>
      <c r="J44" s="98"/>
      <c r="K44" s="118">
        <f t="shared" si="11"/>
        <v>970.07461814059889</v>
      </c>
      <c r="L44" s="98"/>
      <c r="W44" s="98"/>
    </row>
    <row r="45" spans="1:23" x14ac:dyDescent="0.25">
      <c r="A45" s="98" t="s">
        <v>283</v>
      </c>
      <c r="B45" s="96" t="s">
        <v>171</v>
      </c>
      <c r="C45" s="131">
        <f>+'12 Month Operating Statement'!O112</f>
        <v>13703.73</v>
      </c>
      <c r="D45" s="117">
        <f>'Restating Adjustments'!I46</f>
        <v>0</v>
      </c>
      <c r="E45" s="117">
        <f t="shared" si="12"/>
        <v>13703.73</v>
      </c>
      <c r="F45" s="117">
        <f>'Pro Forma Adjustments'!O46</f>
        <v>3432</v>
      </c>
      <c r="G45" s="117">
        <f t="shared" si="13"/>
        <v>17135.73</v>
      </c>
      <c r="H45" s="118">
        <f>-SUM('Allocation Matrix'!I50:T50)</f>
        <v>-13340.885874580355</v>
      </c>
      <c r="I45" s="118">
        <f t="shared" si="14"/>
        <v>3794.8441254196441</v>
      </c>
      <c r="J45" s="98"/>
      <c r="K45" s="118">
        <f t="shared" si="11"/>
        <v>3794.8441254196441</v>
      </c>
      <c r="L45" s="98"/>
      <c r="W45" s="98"/>
    </row>
    <row r="46" spans="1:23" x14ac:dyDescent="0.25">
      <c r="A46" s="98" t="s">
        <v>305</v>
      </c>
      <c r="B46" s="96">
        <v>57</v>
      </c>
      <c r="C46" s="131">
        <f>+'12 Month Operating Statement'!O91</f>
        <v>118236.45999999999</v>
      </c>
      <c r="D46" s="117">
        <f>'Restating Adjustments'!I47</f>
        <v>0</v>
      </c>
      <c r="E46" s="117">
        <f t="shared" si="12"/>
        <v>118236.45999999999</v>
      </c>
      <c r="F46" s="117">
        <f>'Pro Forma Adjustments'!O47</f>
        <v>0</v>
      </c>
      <c r="G46" s="118">
        <f t="shared" si="13"/>
        <v>118236.45999999999</v>
      </c>
      <c r="H46" s="118">
        <f>-SUM('Allocation Matrix'!I51:T51)</f>
        <v>-92052.052586868769</v>
      </c>
      <c r="I46" s="118">
        <f t="shared" si="14"/>
        <v>26184.407413131223</v>
      </c>
      <c r="J46" s="98"/>
      <c r="K46" s="118">
        <f t="shared" si="11"/>
        <v>26184.407413131223</v>
      </c>
      <c r="L46" s="98"/>
      <c r="W46" s="98"/>
    </row>
    <row r="47" spans="1:23" x14ac:dyDescent="0.25">
      <c r="A47" s="98" t="s">
        <v>306</v>
      </c>
      <c r="B47" s="96">
        <v>66</v>
      </c>
      <c r="C47" s="131">
        <f>+'12 Month Operating Statement'!O106</f>
        <v>694876.00000000012</v>
      </c>
      <c r="D47" s="117">
        <f>'Restating Adjustments'!I48</f>
        <v>0</v>
      </c>
      <c r="E47" s="117">
        <f t="shared" si="12"/>
        <v>694876.00000000012</v>
      </c>
      <c r="F47" s="117">
        <f>'Pro Forma Adjustments'!O48</f>
        <v>0</v>
      </c>
      <c r="G47" s="117">
        <f t="shared" si="13"/>
        <v>694876.00000000012</v>
      </c>
      <c r="H47" s="118">
        <f>-SUM('Allocation Matrix'!I52:T52)</f>
        <v>-587010.2374091465</v>
      </c>
      <c r="I47" s="118">
        <f t="shared" si="14"/>
        <v>107865.76259085361</v>
      </c>
      <c r="J47" s="98"/>
      <c r="K47" s="118">
        <f t="shared" si="11"/>
        <v>107865.76259085361</v>
      </c>
      <c r="L47" s="98"/>
      <c r="W47" s="98"/>
    </row>
    <row r="48" spans="1:23" x14ac:dyDescent="0.25">
      <c r="A48" s="98" t="s">
        <v>307</v>
      </c>
      <c r="B48" s="96">
        <v>67</v>
      </c>
      <c r="C48" s="131">
        <f>+'12 Month Operating Statement'!O107</f>
        <v>46165.960000000006</v>
      </c>
      <c r="D48" s="117">
        <f>'Restating Adjustments'!I49</f>
        <v>82999</v>
      </c>
      <c r="E48" s="117">
        <f t="shared" si="12"/>
        <v>129164.96</v>
      </c>
      <c r="F48" s="117">
        <f>'Pro Forma Adjustments'!O49</f>
        <v>0</v>
      </c>
      <c r="G48" s="117">
        <f t="shared" si="13"/>
        <v>129164.96</v>
      </c>
      <c r="H48" s="118">
        <f>-SUM('Allocation Matrix'!I53:T53)</f>
        <v>-100560.34906915178</v>
      </c>
      <c r="I48" s="118">
        <f t="shared" si="14"/>
        <v>28604.610930848226</v>
      </c>
      <c r="J48" s="98"/>
      <c r="K48" s="118">
        <f t="shared" si="11"/>
        <v>28604.610930848226</v>
      </c>
      <c r="L48" s="98"/>
      <c r="W48" s="98"/>
    </row>
    <row r="49" spans="1:23" x14ac:dyDescent="0.25">
      <c r="A49" s="98" t="s">
        <v>308</v>
      </c>
      <c r="B49" s="96">
        <v>70</v>
      </c>
      <c r="C49" s="131">
        <f>+'12 Month Operating Statement'!O116</f>
        <v>25429.640000000003</v>
      </c>
      <c r="D49" s="117">
        <f>'Restating Adjustments'!I50</f>
        <v>0</v>
      </c>
      <c r="E49" s="117">
        <f t="shared" si="12"/>
        <v>25429.640000000003</v>
      </c>
      <c r="F49" s="117">
        <f>'Pro Forma Adjustments'!O50</f>
        <v>0</v>
      </c>
      <c r="G49" s="117">
        <f t="shared" si="13"/>
        <v>25429.640000000003</v>
      </c>
      <c r="H49" s="118">
        <f>-SUM('Allocation Matrix'!I54:T54)</f>
        <v>-19798.043332362475</v>
      </c>
      <c r="I49" s="118">
        <f t="shared" si="14"/>
        <v>5631.5966676375283</v>
      </c>
      <c r="J49" s="98"/>
      <c r="K49" s="118">
        <f t="shared" si="11"/>
        <v>5631.5966676375283</v>
      </c>
      <c r="L49" s="98"/>
      <c r="W49" s="98"/>
    </row>
    <row r="50" spans="1:23" x14ac:dyDescent="0.25">
      <c r="A50" s="98" t="s">
        <v>309</v>
      </c>
      <c r="B50" s="96">
        <v>68</v>
      </c>
      <c r="C50" s="131">
        <f>+'12 Month Operating Statement'!O108</f>
        <v>9913.58</v>
      </c>
      <c r="D50" s="117">
        <f>'Restating Adjustments'!I51</f>
        <v>0</v>
      </c>
      <c r="E50" s="117">
        <f t="shared" si="12"/>
        <v>9913.58</v>
      </c>
      <c r="F50" s="117">
        <f>'Pro Forma Adjustments'!O51</f>
        <v>0</v>
      </c>
      <c r="G50" s="117">
        <f t="shared" si="13"/>
        <v>9913.58</v>
      </c>
      <c r="H50" s="118">
        <f>-SUM('Allocation Matrix'!I55:T55)</f>
        <v>-7718.1386137924837</v>
      </c>
      <c r="I50" s="118">
        <f t="shared" si="14"/>
        <v>2195.4413862075162</v>
      </c>
      <c r="J50" s="98"/>
      <c r="K50" s="118">
        <f t="shared" si="11"/>
        <v>2195.4413862075162</v>
      </c>
      <c r="L50" s="98"/>
      <c r="W50" s="98"/>
    </row>
    <row r="51" spans="1:23" x14ac:dyDescent="0.25">
      <c r="A51" s="98" t="s">
        <v>310</v>
      </c>
      <c r="B51" s="96" t="s">
        <v>311</v>
      </c>
      <c r="C51" s="131">
        <f>+'12 Month Operating Statement'!O120+'12 Month Operating Statement'!O121+'12 Month Operating Statement'!O122</f>
        <v>41081.600000000006</v>
      </c>
      <c r="D51" s="117">
        <f>'Restating Adjustments'!I52</f>
        <v>0</v>
      </c>
      <c r="E51" s="117">
        <f t="shared" si="12"/>
        <v>41081.600000000006</v>
      </c>
      <c r="F51" s="117">
        <f>'Pro Forma Adjustments'!O52</f>
        <v>8538.1249210682872</v>
      </c>
      <c r="G51" s="117">
        <f t="shared" si="13"/>
        <v>49619.724921068293</v>
      </c>
      <c r="H51" s="118">
        <f>-SUM('Allocation Matrix'!I56:T56)</f>
        <v>-38631.040947776535</v>
      </c>
      <c r="I51" s="118">
        <f t="shared" si="14"/>
        <v>10988.683973291758</v>
      </c>
      <c r="J51" s="98"/>
      <c r="K51" s="118">
        <f t="shared" si="11"/>
        <v>10988.683973291758</v>
      </c>
      <c r="L51" s="98"/>
      <c r="W51" s="98"/>
    </row>
    <row r="52" spans="1:23" x14ac:dyDescent="0.25">
      <c r="A52" s="98"/>
      <c r="B52" s="96"/>
      <c r="C52" s="131"/>
      <c r="D52" s="117"/>
      <c r="E52" s="117"/>
      <c r="F52" s="117"/>
      <c r="G52" s="117"/>
      <c r="H52" s="117"/>
      <c r="I52" s="98"/>
      <c r="J52" s="98"/>
      <c r="K52" s="118"/>
      <c r="L52" s="98"/>
      <c r="W52" s="98"/>
    </row>
    <row r="53" spans="1:23" x14ac:dyDescent="0.25">
      <c r="A53" s="139" t="s">
        <v>312</v>
      </c>
      <c r="B53" s="141" t="s">
        <v>313</v>
      </c>
      <c r="C53" s="142">
        <f>+'12 Month Operating Statement'!O138+'12 Month Operating Statement'!O139</f>
        <v>375124.56</v>
      </c>
      <c r="D53" s="117">
        <f>'Restating Adjustments'!I54</f>
        <v>0</v>
      </c>
      <c r="E53" s="117">
        <f>D53+C53</f>
        <v>375124.56</v>
      </c>
      <c r="F53" s="117">
        <f>'Pro Forma Adjustments'!O54</f>
        <v>11253.75</v>
      </c>
      <c r="G53" s="117">
        <f>F53+E53</f>
        <v>386378.31</v>
      </c>
      <c r="H53" s="118">
        <f>-SUM('Allocation Matrix'!I58:T58)</f>
        <v>-267423.98446104967</v>
      </c>
      <c r="I53" s="118">
        <f>SUM(G53:H53)</f>
        <v>118954.32553895033</v>
      </c>
      <c r="J53" s="98"/>
      <c r="K53" s="118">
        <f t="shared" si="11"/>
        <v>118954.32553895033</v>
      </c>
      <c r="L53" s="98"/>
      <c r="W53" s="98"/>
    </row>
    <row r="54" spans="1:23" x14ac:dyDescent="0.25">
      <c r="A54" s="98" t="s">
        <v>280</v>
      </c>
      <c r="B54" s="141" t="s">
        <v>2548</v>
      </c>
      <c r="C54" s="143">
        <f>+'12 Month Operating Statement'!O143+'12 Month Operating Statement'!O141</f>
        <v>15313.62</v>
      </c>
      <c r="D54" s="117">
        <f>'Restating Adjustments'!I55</f>
        <v>0</v>
      </c>
      <c r="E54" s="117">
        <f>D54+C54</f>
        <v>15313.62</v>
      </c>
      <c r="F54" s="117">
        <f>'Pro Forma Adjustments'!O55</f>
        <v>3.244631</v>
      </c>
      <c r="G54" s="117">
        <f>F54+E54</f>
        <v>15316.864631</v>
      </c>
      <c r="H54" s="118">
        <f>-SUM('Allocation Matrix'!I59:T59)</f>
        <v>-10601.260120094592</v>
      </c>
      <c r="I54" s="118">
        <f>SUM(G54:H54)</f>
        <v>4715.6045109054085</v>
      </c>
      <c r="J54" s="98"/>
      <c r="K54" s="118">
        <f t="shared" si="11"/>
        <v>4715.6045109054085</v>
      </c>
      <c r="L54" s="98"/>
      <c r="W54" s="98"/>
    </row>
    <row r="55" spans="1:23" x14ac:dyDescent="0.25">
      <c r="A55" s="98" t="s">
        <v>281</v>
      </c>
      <c r="B55" s="141">
        <v>82</v>
      </c>
      <c r="C55" s="143">
        <f>+'12 Month Operating Statement'!O142</f>
        <v>15943.54</v>
      </c>
      <c r="D55" s="117">
        <f>'Restating Adjustments'!I56</f>
        <v>-7848</v>
      </c>
      <c r="E55" s="117">
        <f>D55+C55</f>
        <v>8095.5400000000009</v>
      </c>
      <c r="F55" s="117">
        <f>'Pro Forma Adjustments'!O56</f>
        <v>1662.0812129999995</v>
      </c>
      <c r="G55" s="117">
        <f>F55+E55</f>
        <v>9757.6212130000004</v>
      </c>
      <c r="H55" s="118">
        <f>-SUM('Allocation Matrix'!I60:T60)</f>
        <v>-6753.5414802195319</v>
      </c>
      <c r="I55" s="118">
        <f>SUM(G55:H55)</f>
        <v>3004.0797327804685</v>
      </c>
      <c r="J55" s="98"/>
      <c r="K55" s="118">
        <f t="shared" si="11"/>
        <v>3004.0797327804685</v>
      </c>
      <c r="L55" s="98"/>
      <c r="W55" s="98"/>
    </row>
    <row r="56" spans="1:23" x14ac:dyDescent="0.25">
      <c r="A56" s="98" t="s">
        <v>283</v>
      </c>
      <c r="B56" s="141">
        <v>80</v>
      </c>
      <c r="C56" s="143">
        <f>+'12 Month Operating Statement'!O140</f>
        <v>6986.4699999999975</v>
      </c>
      <c r="D56" s="117">
        <f>'Restating Adjustments'!I57</f>
        <v>0</v>
      </c>
      <c r="E56" s="117">
        <f>D56+C56</f>
        <v>6986.4699999999975</v>
      </c>
      <c r="F56" s="117">
        <f>'Pro Forma Adjustments'!O57</f>
        <v>0</v>
      </c>
      <c r="G56" s="117">
        <f>F56+E56</f>
        <v>6986.4699999999975</v>
      </c>
      <c r="H56" s="118">
        <f>-SUM('Allocation Matrix'!I61:T61)</f>
        <v>-4835.5448439059337</v>
      </c>
      <c r="I56" s="118">
        <f>SUM(G56:H56)</f>
        <v>2150.9251560940638</v>
      </c>
      <c r="J56" s="98"/>
      <c r="K56" s="118">
        <f t="shared" si="11"/>
        <v>2150.9251560940638</v>
      </c>
      <c r="L56" s="98"/>
      <c r="W56" s="98"/>
    </row>
    <row r="57" spans="1:23" x14ac:dyDescent="0.25">
      <c r="A57" s="98" t="s">
        <v>285</v>
      </c>
      <c r="B57" s="141">
        <v>84</v>
      </c>
      <c r="C57" s="143">
        <f>+'12 Month Operating Statement'!O144</f>
        <v>0</v>
      </c>
      <c r="D57" s="117">
        <f>'Restating Adjustments'!I58</f>
        <v>0</v>
      </c>
      <c r="E57" s="117">
        <f>D57+C57</f>
        <v>0</v>
      </c>
      <c r="F57" s="117">
        <f>'Pro Forma Adjustments'!O58</f>
        <v>0</v>
      </c>
      <c r="G57" s="117">
        <f>F57+E57</f>
        <v>0</v>
      </c>
      <c r="H57" s="118">
        <f>-SUM('Allocation Matrix'!I62:T62)</f>
        <v>0</v>
      </c>
      <c r="I57" s="118">
        <f>SUM(G57:H57)</f>
        <v>0</v>
      </c>
      <c r="J57" s="98"/>
      <c r="K57" s="118">
        <f t="shared" si="11"/>
        <v>0</v>
      </c>
      <c r="L57" s="98"/>
      <c r="W57" s="98"/>
    </row>
    <row r="58" spans="1:23" x14ac:dyDescent="0.25">
      <c r="A58" s="98"/>
      <c r="B58" s="96"/>
      <c r="C58" s="131"/>
      <c r="D58" s="117"/>
      <c r="E58" s="117"/>
      <c r="F58" s="117"/>
      <c r="G58" s="117"/>
      <c r="H58" s="117"/>
      <c r="I58" s="98"/>
      <c r="J58" s="98"/>
      <c r="K58" s="118"/>
      <c r="L58" s="98"/>
      <c r="W58" s="98"/>
    </row>
    <row r="59" spans="1:23" x14ac:dyDescent="0.25">
      <c r="A59" s="98" t="s">
        <v>2769</v>
      </c>
      <c r="B59" s="96" t="s">
        <v>2543</v>
      </c>
      <c r="C59" s="144">
        <v>330355</v>
      </c>
      <c r="D59" s="117">
        <f>'Restating Adjustments'!I60</f>
        <v>0</v>
      </c>
      <c r="E59" s="117">
        <f>D59+C59</f>
        <v>330355</v>
      </c>
      <c r="F59" s="117">
        <f>'Pro Forma Adjustments'!O60</f>
        <v>37693.044000000016</v>
      </c>
      <c r="G59" s="117">
        <f>F59+E59</f>
        <v>368048.04399999999</v>
      </c>
      <c r="H59" s="118">
        <f>-SUM('Allocation Matrix'!I64:T64)</f>
        <v>-286540.86819566658</v>
      </c>
      <c r="I59" s="118">
        <f>SUM(G59:H59)</f>
        <v>81507.175804333412</v>
      </c>
      <c r="J59" s="98"/>
      <c r="K59" s="118">
        <f t="shared" si="11"/>
        <v>81507.175804333412</v>
      </c>
      <c r="L59" s="98"/>
      <c r="W59" s="98"/>
    </row>
    <row r="60" spans="1:23" x14ac:dyDescent="0.25">
      <c r="A60" s="98" t="s">
        <v>280</v>
      </c>
      <c r="B60" s="96" t="s">
        <v>2549</v>
      </c>
      <c r="C60" s="144">
        <v>30270</v>
      </c>
      <c r="D60" s="117">
        <f>'Restating Adjustments'!I61</f>
        <v>0</v>
      </c>
      <c r="E60" s="117">
        <f>D60+C60</f>
        <v>30270</v>
      </c>
      <c r="F60" s="117">
        <f>'Pro Forma Adjustments'!O61</f>
        <v>2976.4581790000002</v>
      </c>
      <c r="G60" s="117">
        <f>F60+E60</f>
        <v>33246.458179000001</v>
      </c>
      <c r="H60" s="118">
        <f>-SUM('Allocation Matrix'!I65:T65)</f>
        <v>-25883.76475936815</v>
      </c>
      <c r="I60" s="118">
        <f>SUM(G60:H60)</f>
        <v>7362.6934196318507</v>
      </c>
      <c r="J60" s="98"/>
      <c r="K60" s="118">
        <f t="shared" si="11"/>
        <v>7362.6934196318507</v>
      </c>
      <c r="L60" s="98"/>
      <c r="W60" s="98"/>
    </row>
    <row r="61" spans="1:23" x14ac:dyDescent="0.25">
      <c r="A61" s="98" t="s">
        <v>281</v>
      </c>
      <c r="B61" s="96">
        <v>89</v>
      </c>
      <c r="C61" s="144">
        <v>15727</v>
      </c>
      <c r="D61" s="117">
        <f>'Restating Adjustments'!I62</f>
        <v>0</v>
      </c>
      <c r="E61" s="117">
        <f>D61+C61</f>
        <v>15727</v>
      </c>
      <c r="F61" s="117">
        <f>'Pro Forma Adjustments'!O62</f>
        <v>10856.322698000002</v>
      </c>
      <c r="G61" s="117">
        <f>F61+E61</f>
        <v>26583.322698000004</v>
      </c>
      <c r="H61" s="118">
        <f>-SUM('Allocation Matrix'!I66:T66)</f>
        <v>-20696.233792266776</v>
      </c>
      <c r="I61" s="118">
        <f>SUM(G61:H61)</f>
        <v>5887.0889057332279</v>
      </c>
      <c r="J61" s="98"/>
      <c r="K61" s="118">
        <f t="shared" si="11"/>
        <v>5887.0889057332279</v>
      </c>
      <c r="L61" s="98"/>
      <c r="W61" s="98"/>
    </row>
    <row r="62" spans="1:23" x14ac:dyDescent="0.25">
      <c r="A62" s="98" t="s">
        <v>283</v>
      </c>
      <c r="B62" s="96">
        <v>87</v>
      </c>
      <c r="C62" s="144">
        <v>39689</v>
      </c>
      <c r="D62" s="117">
        <f>'Restating Adjustments'!I63</f>
        <v>0</v>
      </c>
      <c r="E62" s="117">
        <f>D62+C62</f>
        <v>39689</v>
      </c>
      <c r="F62" s="117">
        <f>'Pro Forma Adjustments'!O63</f>
        <v>4243.2</v>
      </c>
      <c r="G62" s="117">
        <f>F62+E62</f>
        <v>43932.2</v>
      </c>
      <c r="H62" s="118">
        <f>-SUM('Allocation Matrix'!I67:T67)</f>
        <v>-34203.063798229727</v>
      </c>
      <c r="I62" s="118">
        <f>SUM(G62:H62)</f>
        <v>9729.1362017702704</v>
      </c>
      <c r="J62" s="98"/>
      <c r="K62" s="118">
        <f t="shared" si="11"/>
        <v>9729.1362017702704</v>
      </c>
      <c r="L62" s="98"/>
      <c r="W62" s="98"/>
    </row>
    <row r="63" spans="1:23" x14ac:dyDescent="0.25">
      <c r="A63" s="98" t="s">
        <v>285</v>
      </c>
      <c r="B63" s="96">
        <v>91</v>
      </c>
      <c r="C63" s="144">
        <v>0</v>
      </c>
      <c r="D63" s="117">
        <f>'Restating Adjustments'!I64</f>
        <v>0</v>
      </c>
      <c r="E63" s="117">
        <f>D63+C63</f>
        <v>0</v>
      </c>
      <c r="F63" s="117">
        <f>'Pro Forma Adjustments'!O64</f>
        <v>0</v>
      </c>
      <c r="G63" s="117">
        <f>F63+E63</f>
        <v>0</v>
      </c>
      <c r="H63" s="118">
        <f>-SUM('Allocation Matrix'!I68:T68)</f>
        <v>0</v>
      </c>
      <c r="I63" s="118">
        <f>SUM(G63:H63)</f>
        <v>0</v>
      </c>
      <c r="J63" s="98"/>
      <c r="K63" s="118">
        <f t="shared" si="11"/>
        <v>0</v>
      </c>
      <c r="L63" s="98"/>
      <c r="W63" s="98"/>
    </row>
    <row r="64" spans="1:23" x14ac:dyDescent="0.25">
      <c r="A64" s="98"/>
      <c r="B64" s="96"/>
      <c r="C64" s="144"/>
      <c r="D64" s="117"/>
      <c r="E64" s="117"/>
      <c r="F64" s="117"/>
      <c r="G64" s="117"/>
      <c r="H64" s="117"/>
      <c r="I64" s="98"/>
      <c r="J64" s="98"/>
      <c r="K64" s="118"/>
      <c r="L64" s="98"/>
      <c r="W64" s="98"/>
    </row>
    <row r="65" spans="1:23" x14ac:dyDescent="0.25">
      <c r="A65" s="98" t="s">
        <v>2770</v>
      </c>
      <c r="B65" s="96" t="s">
        <v>2543</v>
      </c>
      <c r="C65" s="144">
        <v>292931</v>
      </c>
      <c r="D65" s="117">
        <f>'Restating Adjustments'!I66</f>
        <v>0</v>
      </c>
      <c r="E65" s="117">
        <f>D65+C65</f>
        <v>292931</v>
      </c>
      <c r="F65" s="117">
        <f>'Pro Forma Adjustments'!O66</f>
        <v>173120.07559999998</v>
      </c>
      <c r="G65" s="117">
        <f>F65+E65</f>
        <v>466051.07559999998</v>
      </c>
      <c r="H65" s="118">
        <f>-SUM('Allocation Matrix'!I70:T70)</f>
        <v>-322567.88844930212</v>
      </c>
      <c r="I65" s="118">
        <f>SUM(G65:H65)</f>
        <v>143483.18715069786</v>
      </c>
      <c r="J65" s="98"/>
      <c r="K65" s="118">
        <f t="shared" si="11"/>
        <v>143483.18715069786</v>
      </c>
      <c r="L65" s="98"/>
      <c r="W65" s="98"/>
    </row>
    <row r="66" spans="1:23" x14ac:dyDescent="0.25">
      <c r="A66" s="98" t="s">
        <v>280</v>
      </c>
      <c r="B66" s="96" t="s">
        <v>2549</v>
      </c>
      <c r="C66" s="144">
        <v>24498</v>
      </c>
      <c r="D66" s="117">
        <f>'Restating Adjustments'!I67</f>
        <v>0</v>
      </c>
      <c r="E66" s="117">
        <f>D66+C66</f>
        <v>24498</v>
      </c>
      <c r="F66" s="117">
        <f>'Pro Forma Adjustments'!O67</f>
        <v>3287.4640942799992</v>
      </c>
      <c r="G66" s="117">
        <f>F66+E66</f>
        <v>27785.46409428</v>
      </c>
      <c r="H66" s="118">
        <f>-SUM('Allocation Matrix'!I71:T71)</f>
        <v>-19231.150729428336</v>
      </c>
      <c r="I66" s="118">
        <f>SUM(G66:H66)</f>
        <v>8554.3133648516632</v>
      </c>
      <c r="J66" s="98"/>
      <c r="K66" s="118">
        <f t="shared" si="11"/>
        <v>8554.3133648516632</v>
      </c>
      <c r="L66" s="98"/>
      <c r="W66" s="98"/>
    </row>
    <row r="67" spans="1:23" x14ac:dyDescent="0.25">
      <c r="A67" s="98" t="s">
        <v>281</v>
      </c>
      <c r="B67" s="96">
        <v>89</v>
      </c>
      <c r="C67" s="144">
        <v>10480</v>
      </c>
      <c r="D67" s="117">
        <f>'Restating Adjustments'!I68</f>
        <v>0</v>
      </c>
      <c r="E67" s="117">
        <f>D67+C67</f>
        <v>10480</v>
      </c>
      <c r="F67" s="117">
        <f>'Pro Forma Adjustments'!O68</f>
        <v>7166.1633399999973</v>
      </c>
      <c r="G67" s="117">
        <f>F67+E67</f>
        <v>17646.163339999999</v>
      </c>
      <c r="H67" s="118">
        <f>-SUM('Allocation Matrix'!I72:T72)</f>
        <v>-12213.437423113384</v>
      </c>
      <c r="I67" s="118">
        <f>SUM(G67:H67)</f>
        <v>5432.7259168866149</v>
      </c>
      <c r="J67" s="98"/>
      <c r="K67" s="118">
        <f t="shared" si="11"/>
        <v>5432.7259168866149</v>
      </c>
      <c r="L67" s="98"/>
      <c r="W67" s="98"/>
    </row>
    <row r="68" spans="1:23" x14ac:dyDescent="0.25">
      <c r="A68" s="98" t="s">
        <v>283</v>
      </c>
      <c r="B68" s="96">
        <v>87</v>
      </c>
      <c r="C68" s="144">
        <v>23560</v>
      </c>
      <c r="D68" s="117">
        <f>'Restating Adjustments'!I69</f>
        <v>0</v>
      </c>
      <c r="E68" s="117">
        <f>D68+C68</f>
        <v>23560</v>
      </c>
      <c r="F68" s="117">
        <f>'Pro Forma Adjustments'!O69</f>
        <v>4683.6894719999982</v>
      </c>
      <c r="G68" s="117">
        <f>F68+E68</f>
        <v>28243.689471999998</v>
      </c>
      <c r="H68" s="118">
        <f>-SUM('Allocation Matrix'!I73:T73)</f>
        <v>-19548.302218317687</v>
      </c>
      <c r="I68" s="118">
        <f>SUM(G68:H68)</f>
        <v>8695.387253682311</v>
      </c>
      <c r="J68" s="98"/>
      <c r="K68" s="118">
        <f t="shared" si="11"/>
        <v>8695.387253682311</v>
      </c>
      <c r="L68" s="98"/>
      <c r="W68" s="98"/>
    </row>
    <row r="69" spans="1:23" x14ac:dyDescent="0.25">
      <c r="A69" s="98" t="s">
        <v>285</v>
      </c>
      <c r="B69" s="96">
        <v>91</v>
      </c>
      <c r="C69" s="144">
        <v>225</v>
      </c>
      <c r="D69" s="117">
        <f>'Restating Adjustments'!I70</f>
        <v>0</v>
      </c>
      <c r="E69" s="117">
        <f>D69+C69</f>
        <v>225</v>
      </c>
      <c r="F69" s="117">
        <f>'Pro Forma Adjustments'!O70</f>
        <v>0</v>
      </c>
      <c r="G69" s="117">
        <f>F69+E69</f>
        <v>225</v>
      </c>
      <c r="H69" s="118">
        <f>-SUM('Allocation Matrix'!I74:T74)</f>
        <v>-155.72922947909825</v>
      </c>
      <c r="I69" s="118">
        <f>SUM(G69:H69)</f>
        <v>69.270770520901749</v>
      </c>
      <c r="J69" s="98"/>
      <c r="K69" s="118">
        <f t="shared" si="11"/>
        <v>69.270770520901749</v>
      </c>
      <c r="L69" s="98"/>
      <c r="W69" s="98"/>
    </row>
    <row r="70" spans="1:23" x14ac:dyDescent="0.25">
      <c r="A70" s="98"/>
      <c r="B70" s="96"/>
      <c r="C70" s="144"/>
      <c r="D70" s="117"/>
      <c r="E70" s="117"/>
      <c r="F70" s="117"/>
      <c r="G70" s="117"/>
      <c r="H70" s="117"/>
      <c r="I70" s="98"/>
      <c r="J70" s="98"/>
      <c r="K70" s="118"/>
      <c r="L70" s="98"/>
      <c r="W70" s="98"/>
    </row>
    <row r="71" spans="1:23" x14ac:dyDescent="0.25">
      <c r="A71" s="98" t="s">
        <v>314</v>
      </c>
      <c r="B71" s="96">
        <v>74</v>
      </c>
      <c r="C71" s="131">
        <f>+'12 Month Operating Statement'!O126</f>
        <v>651696.86</v>
      </c>
      <c r="D71" s="117">
        <f>'Restating Adjustments'!I72</f>
        <v>0</v>
      </c>
      <c r="E71" s="117">
        <f t="shared" ref="E71:E96" si="15">D71+C71</f>
        <v>651696.86</v>
      </c>
      <c r="F71" s="117">
        <f>'Pro Forma Adjustments'!O72</f>
        <v>0</v>
      </c>
      <c r="G71" s="117">
        <f t="shared" ref="G71:G96" si="16">F71+E71</f>
        <v>651696.86</v>
      </c>
      <c r="H71" s="118">
        <f>-SUM('Allocation Matrix'!I77:T77)</f>
        <v>-651696.86</v>
      </c>
      <c r="I71" s="118">
        <f t="shared" ref="I71:I96" si="17">SUM(G71:H71)</f>
        <v>0</v>
      </c>
      <c r="J71" s="98"/>
      <c r="K71" s="118">
        <f t="shared" si="11"/>
        <v>0</v>
      </c>
      <c r="L71" s="98"/>
      <c r="W71" s="98"/>
    </row>
    <row r="72" spans="1:23" x14ac:dyDescent="0.25">
      <c r="A72" s="98" t="s">
        <v>315</v>
      </c>
      <c r="B72" s="96">
        <v>75</v>
      </c>
      <c r="C72" s="131">
        <f>+'12 Month Operating Statement'!O127</f>
        <v>220942.55</v>
      </c>
      <c r="D72" s="117">
        <f>'Restating Adjustments'!I73</f>
        <v>0</v>
      </c>
      <c r="E72" s="117">
        <f t="shared" si="15"/>
        <v>220942.55</v>
      </c>
      <c r="F72" s="117">
        <f>'Pro Forma Adjustments'!O73</f>
        <v>0</v>
      </c>
      <c r="G72" s="117">
        <f t="shared" si="16"/>
        <v>220942.55</v>
      </c>
      <c r="H72" s="118">
        <f>-SUM('Allocation Matrix'!I78:T78)</f>
        <v>-160161.254495</v>
      </c>
      <c r="I72" s="118">
        <f t="shared" si="17"/>
        <v>60781.295504999987</v>
      </c>
      <c r="J72" s="98"/>
      <c r="K72" s="118">
        <f t="shared" si="11"/>
        <v>60781.295504999987</v>
      </c>
      <c r="L72" s="98"/>
      <c r="W72" s="98"/>
    </row>
    <row r="73" spans="1:23" x14ac:dyDescent="0.25">
      <c r="A73" s="98" t="s">
        <v>316</v>
      </c>
      <c r="B73" s="96">
        <v>76</v>
      </c>
      <c r="C73" s="131">
        <f>+'12 Month Operating Statement'!O128</f>
        <v>16990.86</v>
      </c>
      <c r="D73" s="117">
        <f>'Restating Adjustments'!I74</f>
        <v>0</v>
      </c>
      <c r="E73" s="117">
        <f t="shared" si="15"/>
        <v>16990.86</v>
      </c>
      <c r="F73" s="117">
        <f>'Pro Forma Adjustments'!O74</f>
        <v>3987.9357309999941</v>
      </c>
      <c r="G73" s="117">
        <f t="shared" si="16"/>
        <v>20978.795730999995</v>
      </c>
      <c r="H73" s="118">
        <f>-SUM('Allocation Matrix'!I79:T79)</f>
        <v>0</v>
      </c>
      <c r="I73" s="118">
        <f t="shared" si="17"/>
        <v>20978.795730999995</v>
      </c>
      <c r="J73" s="98"/>
      <c r="K73" s="118">
        <f t="shared" si="11"/>
        <v>20978.795730999995</v>
      </c>
      <c r="L73" s="98"/>
      <c r="W73" s="98"/>
    </row>
    <row r="74" spans="1:23" x14ac:dyDescent="0.25">
      <c r="A74" s="98" t="s">
        <v>317</v>
      </c>
      <c r="B74" s="96">
        <v>77</v>
      </c>
      <c r="C74" s="131">
        <f>+'12 Month Operating Statement'!O129</f>
        <v>12170.410000000003</v>
      </c>
      <c r="D74" s="117">
        <f>'Restating Adjustments'!I75</f>
        <v>0</v>
      </c>
      <c r="E74" s="117">
        <f t="shared" si="15"/>
        <v>12170.410000000003</v>
      </c>
      <c r="F74" s="117">
        <f>'Pro Forma Adjustments'!O75</f>
        <v>0</v>
      </c>
      <c r="G74" s="117">
        <f t="shared" si="16"/>
        <v>12170.410000000003</v>
      </c>
      <c r="H74" s="118">
        <f>-SUM('Allocation Matrix'!I80:T80)</f>
        <v>-8423.5047633098366</v>
      </c>
      <c r="I74" s="118">
        <f t="shared" si="17"/>
        <v>3746.9052366901669</v>
      </c>
      <c r="J74" s="98"/>
      <c r="K74" s="118">
        <f t="shared" si="11"/>
        <v>3746.9052366901669</v>
      </c>
      <c r="L74" s="98"/>
      <c r="W74" s="98"/>
    </row>
    <row r="75" spans="1:23" x14ac:dyDescent="0.25">
      <c r="A75" s="98" t="s">
        <v>318</v>
      </c>
      <c r="B75" s="96">
        <v>95</v>
      </c>
      <c r="C75" s="131">
        <f>+'12 Month Operating Statement'!O161</f>
        <v>6597.8999999999987</v>
      </c>
      <c r="D75" s="117">
        <f>'Restating Adjustments'!I76</f>
        <v>0</v>
      </c>
      <c r="E75" s="117">
        <f t="shared" si="15"/>
        <v>6597.8999999999987</v>
      </c>
      <c r="F75" s="117">
        <f>'Pro Forma Adjustments'!O76</f>
        <v>0</v>
      </c>
      <c r="G75" s="117">
        <f t="shared" si="16"/>
        <v>6597.8999999999987</v>
      </c>
      <c r="H75" s="118">
        <f>-SUM('Allocation Matrix'!I81:T81)</f>
        <v>-4566.6039252450773</v>
      </c>
      <c r="I75" s="118">
        <f t="shared" si="17"/>
        <v>2031.2960747549214</v>
      </c>
      <c r="J75" s="98"/>
      <c r="K75" s="118">
        <f t="shared" si="11"/>
        <v>2031.2960747549214</v>
      </c>
      <c r="L75" s="98"/>
      <c r="W75" s="98"/>
    </row>
    <row r="76" spans="1:23" x14ac:dyDescent="0.25">
      <c r="A76" s="98" t="s">
        <v>319</v>
      </c>
      <c r="B76" s="96">
        <v>96</v>
      </c>
      <c r="C76" s="131">
        <f>+'12 Month Operating Statement'!O162</f>
        <v>155306.94</v>
      </c>
      <c r="D76" s="117">
        <f>'Restating Adjustments'!I77</f>
        <v>0</v>
      </c>
      <c r="E76" s="117">
        <f t="shared" si="15"/>
        <v>155306.94</v>
      </c>
      <c r="F76" s="117">
        <f>'Pro Forma Adjustments'!O77</f>
        <v>7626</v>
      </c>
      <c r="G76" s="117">
        <f t="shared" si="16"/>
        <v>162932.94</v>
      </c>
      <c r="H76" s="118">
        <f>-SUM('Allocation Matrix'!I82:T82)</f>
        <v>-126850.1404813129</v>
      </c>
      <c r="I76" s="118">
        <f t="shared" si="17"/>
        <v>36082.799518687098</v>
      </c>
      <c r="J76" s="98"/>
      <c r="K76" s="118">
        <f t="shared" si="11"/>
        <v>36082.799518687098</v>
      </c>
      <c r="L76" s="98"/>
      <c r="W76" s="98"/>
    </row>
    <row r="77" spans="1:23" x14ac:dyDescent="0.25">
      <c r="A77" s="98" t="s">
        <v>320</v>
      </c>
      <c r="B77" s="96">
        <v>98</v>
      </c>
      <c r="C77" s="131">
        <f>+'12 Month Operating Statement'!O164</f>
        <v>7136.9400000000005</v>
      </c>
      <c r="D77" s="117">
        <f>'Restating Adjustments'!I78</f>
        <v>0</v>
      </c>
      <c r="E77" s="117">
        <f t="shared" si="15"/>
        <v>7136.9400000000005</v>
      </c>
      <c r="F77" s="117">
        <f>'Pro Forma Adjustments'!O78</f>
        <v>0</v>
      </c>
      <c r="G77" s="117">
        <f t="shared" si="16"/>
        <v>7136.9400000000005</v>
      </c>
      <c r="H77" s="118">
        <f>-SUM('Allocation Matrix'!I83:T83)</f>
        <v>-4939.6896312824692</v>
      </c>
      <c r="I77" s="118">
        <f t="shared" si="17"/>
        <v>2197.2503687175313</v>
      </c>
      <c r="J77" s="98"/>
      <c r="K77" s="118">
        <f t="shared" si="11"/>
        <v>2197.2503687175313</v>
      </c>
      <c r="L77" s="98"/>
      <c r="W77" s="98"/>
    </row>
    <row r="78" spans="1:23" x14ac:dyDescent="0.25">
      <c r="A78" s="98" t="s">
        <v>321</v>
      </c>
      <c r="B78" s="96">
        <v>99</v>
      </c>
      <c r="C78" s="131">
        <f>+'12 Month Operating Statement'!O165</f>
        <v>29023.59</v>
      </c>
      <c r="D78" s="117">
        <f>'Restating Adjustments'!I79</f>
        <v>0</v>
      </c>
      <c r="E78" s="117">
        <f t="shared" si="15"/>
        <v>29023.59</v>
      </c>
      <c r="F78" s="117">
        <f>'Pro Forma Adjustments'!O79</f>
        <v>0</v>
      </c>
      <c r="G78" s="117">
        <f t="shared" si="16"/>
        <v>29023.59</v>
      </c>
      <c r="H78" s="118">
        <f>-SUM('Allocation Matrix'!I84:T84)</f>
        <v>-20088.094699632275</v>
      </c>
      <c r="I78" s="118">
        <f t="shared" si="17"/>
        <v>8935.4953003677256</v>
      </c>
      <c r="J78" s="98"/>
      <c r="K78" s="118">
        <f t="shared" si="11"/>
        <v>8935.4953003677256</v>
      </c>
      <c r="L78" s="98"/>
      <c r="W78" s="98"/>
    </row>
    <row r="79" spans="1:23" x14ac:dyDescent="0.25">
      <c r="A79" s="98" t="s">
        <v>322</v>
      </c>
      <c r="B79" s="96">
        <v>97</v>
      </c>
      <c r="C79" s="131">
        <f>+'12 Month Operating Statement'!O163</f>
        <v>137735.24</v>
      </c>
      <c r="D79" s="117">
        <f>'Restating Adjustments'!I80</f>
        <v>0</v>
      </c>
      <c r="E79" s="117">
        <f t="shared" si="15"/>
        <v>137735.24</v>
      </c>
      <c r="F79" s="117">
        <f>'Pro Forma Adjustments'!O80</f>
        <v>0</v>
      </c>
      <c r="G79" s="117">
        <f t="shared" si="16"/>
        <v>137735.24</v>
      </c>
      <c r="H79" s="118">
        <f>-SUM('Allocation Matrix'!I85:T85)</f>
        <v>-107232.67218542396</v>
      </c>
      <c r="I79" s="118">
        <f t="shared" si="17"/>
        <v>30502.567814576032</v>
      </c>
      <c r="J79" s="98"/>
      <c r="K79" s="118">
        <f t="shared" si="11"/>
        <v>30502.567814576032</v>
      </c>
      <c r="L79" s="98"/>
      <c r="W79" s="98"/>
    </row>
    <row r="80" spans="1:23" x14ac:dyDescent="0.25">
      <c r="A80" s="98" t="s">
        <v>323</v>
      </c>
      <c r="B80" s="96">
        <v>100</v>
      </c>
      <c r="C80" s="131">
        <f>+'12 Month Operating Statement'!O166</f>
        <v>25415</v>
      </c>
      <c r="D80" s="117">
        <f>'Restating Adjustments'!I81</f>
        <v>-3222</v>
      </c>
      <c r="E80" s="117">
        <f t="shared" si="15"/>
        <v>22193</v>
      </c>
      <c r="F80" s="117">
        <f>'Pro Forma Adjustments'!O81</f>
        <v>0</v>
      </c>
      <c r="G80" s="117">
        <f t="shared" si="16"/>
        <v>22193</v>
      </c>
      <c r="H80" s="118">
        <f>-SUM('Allocation Matrix'!I86:T86)</f>
        <v>-3935.1679373870174</v>
      </c>
      <c r="I80" s="118">
        <f t="shared" si="17"/>
        <v>18257.832062612983</v>
      </c>
      <c r="J80" s="98"/>
      <c r="K80" s="118">
        <f t="shared" si="11"/>
        <v>18257.832062612983</v>
      </c>
      <c r="L80" s="98"/>
      <c r="W80" s="98"/>
    </row>
    <row r="81" spans="1:23" x14ac:dyDescent="0.25">
      <c r="A81" s="98" t="s">
        <v>324</v>
      </c>
      <c r="B81" s="96">
        <v>101</v>
      </c>
      <c r="C81" s="131">
        <f>+'12 Month Operating Statement'!O167</f>
        <v>7730</v>
      </c>
      <c r="D81" s="117">
        <f>'Restating Adjustments'!I82</f>
        <v>0</v>
      </c>
      <c r="E81" s="117">
        <f t="shared" si="15"/>
        <v>7730</v>
      </c>
      <c r="F81" s="117">
        <f>'Pro Forma Adjustments'!O82</f>
        <v>0</v>
      </c>
      <c r="G81" s="117">
        <f t="shared" si="16"/>
        <v>7730</v>
      </c>
      <c r="H81" s="118">
        <f>-SUM('Allocation Matrix'!I87:T87)</f>
        <v>-7730</v>
      </c>
      <c r="I81" s="118">
        <f t="shared" si="17"/>
        <v>0</v>
      </c>
      <c r="J81" s="98"/>
      <c r="K81" s="118">
        <f t="shared" si="11"/>
        <v>0</v>
      </c>
      <c r="L81" s="98"/>
      <c r="W81" s="98"/>
    </row>
    <row r="82" spans="1:23" x14ac:dyDescent="0.25">
      <c r="A82" s="98" t="s">
        <v>325</v>
      </c>
      <c r="B82" s="96">
        <v>104</v>
      </c>
      <c r="C82" s="131">
        <f>+'12 Month Operating Statement'!O170</f>
        <v>22404.07</v>
      </c>
      <c r="D82" s="117">
        <f>'Restating Adjustments'!I83</f>
        <v>0</v>
      </c>
      <c r="E82" s="117">
        <f t="shared" si="15"/>
        <v>22404.07</v>
      </c>
      <c r="F82" s="117">
        <f>'Pro Forma Adjustments'!O83</f>
        <v>0</v>
      </c>
      <c r="G82" s="117">
        <f t="shared" si="16"/>
        <v>22404.07</v>
      </c>
      <c r="H82" s="118">
        <f>-SUM('Allocation Matrix'!I88:T88)</f>
        <v>-17442.509948284056</v>
      </c>
      <c r="I82" s="118">
        <f t="shared" si="17"/>
        <v>4961.5600517159437</v>
      </c>
      <c r="J82" s="98"/>
      <c r="K82" s="118">
        <f t="shared" si="11"/>
        <v>4961.5600517159437</v>
      </c>
      <c r="L82" s="98"/>
      <c r="W82" s="98"/>
    </row>
    <row r="83" spans="1:23" x14ac:dyDescent="0.25">
      <c r="A83" s="98" t="s">
        <v>2774</v>
      </c>
      <c r="B83" s="96">
        <v>103</v>
      </c>
      <c r="C83" s="131">
        <f>+'12 Month Operating Statement'!O169</f>
        <v>10206.419999999998</v>
      </c>
      <c r="D83" s="117">
        <f>'Restating Adjustments'!I84</f>
        <v>0</v>
      </c>
      <c r="E83" s="117">
        <f t="shared" si="15"/>
        <v>10206.419999999998</v>
      </c>
      <c r="F83" s="117">
        <f>'Pro Forma Adjustments'!O84</f>
        <v>0</v>
      </c>
      <c r="G83" s="117">
        <f t="shared" si="16"/>
        <v>10206.419999999998</v>
      </c>
      <c r="H83" s="118">
        <f>-SUM('Allocation Matrix'!I89:T89)</f>
        <v>-10206.419999999998</v>
      </c>
      <c r="I83" s="118">
        <f t="shared" si="17"/>
        <v>0</v>
      </c>
      <c r="J83" s="98"/>
      <c r="K83" s="118">
        <f t="shared" si="11"/>
        <v>0</v>
      </c>
      <c r="L83" s="98"/>
      <c r="W83" s="98"/>
    </row>
    <row r="84" spans="1:23" x14ac:dyDescent="0.25">
      <c r="A84" s="98" t="s">
        <v>326</v>
      </c>
      <c r="B84" s="96">
        <v>105</v>
      </c>
      <c r="C84" s="131">
        <f>+'12 Month Operating Statement'!O171</f>
        <v>22721.420000000002</v>
      </c>
      <c r="D84" s="117">
        <f>'Restating Adjustments'!I85</f>
        <v>0</v>
      </c>
      <c r="E84" s="117">
        <f t="shared" si="15"/>
        <v>22721.420000000002</v>
      </c>
      <c r="F84" s="117">
        <f>'Pro Forma Adjustments'!O85</f>
        <v>0</v>
      </c>
      <c r="G84" s="117">
        <f t="shared" si="16"/>
        <v>22721.420000000002</v>
      </c>
      <c r="H84" s="118">
        <f>-SUM('Allocation Matrix'!I90:T90)</f>
        <v>-17689.580258816375</v>
      </c>
      <c r="I84" s="118">
        <f t="shared" si="17"/>
        <v>5031.8397411836268</v>
      </c>
      <c r="J84" s="98"/>
      <c r="K84" s="118">
        <f t="shared" si="11"/>
        <v>5031.8397411836268</v>
      </c>
      <c r="L84" s="98"/>
      <c r="W84" s="98"/>
    </row>
    <row r="85" spans="1:23" x14ac:dyDescent="0.25">
      <c r="A85" s="98" t="s">
        <v>327</v>
      </c>
      <c r="B85" s="96">
        <v>106</v>
      </c>
      <c r="C85" s="131">
        <f>+'12 Month Operating Statement'!O172</f>
        <v>27176.219999999998</v>
      </c>
      <c r="D85" s="117">
        <f>'Restating Adjustments'!I86</f>
        <v>-27176.219999999998</v>
      </c>
      <c r="E85" s="117">
        <f t="shared" si="15"/>
        <v>0</v>
      </c>
      <c r="F85" s="117">
        <f>'Pro Forma Adjustments'!O86</f>
        <v>0</v>
      </c>
      <c r="G85" s="117">
        <f t="shared" si="16"/>
        <v>0</v>
      </c>
      <c r="H85" s="118">
        <f>-SUM('Allocation Matrix'!I91:T91)</f>
        <v>0</v>
      </c>
      <c r="I85" s="118">
        <f t="shared" si="17"/>
        <v>0</v>
      </c>
      <c r="J85" s="98"/>
      <c r="K85" s="118">
        <f t="shared" si="11"/>
        <v>0</v>
      </c>
      <c r="L85" s="98"/>
      <c r="W85" s="98"/>
    </row>
    <row r="86" spans="1:23" x14ac:dyDescent="0.25">
      <c r="A86" s="98" t="s">
        <v>328</v>
      </c>
      <c r="B86" s="96">
        <v>107</v>
      </c>
      <c r="C86" s="131">
        <f>+'12 Month Operating Statement'!O173</f>
        <v>52873.45</v>
      </c>
      <c r="D86" s="117">
        <f>'Restating Adjustments'!I87</f>
        <v>0</v>
      </c>
      <c r="E86" s="117">
        <f t="shared" si="15"/>
        <v>52873.45</v>
      </c>
      <c r="F86" s="117">
        <f>'Pro Forma Adjustments'!O87</f>
        <v>39364</v>
      </c>
      <c r="G86" s="117">
        <f t="shared" si="16"/>
        <v>92237.45</v>
      </c>
      <c r="H86" s="118">
        <f>-SUM('Allocation Matrix'!I92:T92)</f>
        <v>-71810.730783708161</v>
      </c>
      <c r="I86" s="118">
        <f t="shared" si="17"/>
        <v>20426.719216291836</v>
      </c>
      <c r="J86" s="98"/>
      <c r="K86" s="118">
        <f t="shared" si="11"/>
        <v>20426.719216291836</v>
      </c>
      <c r="L86" s="98"/>
      <c r="W86" s="98"/>
    </row>
    <row r="87" spans="1:23" x14ac:dyDescent="0.25">
      <c r="A87" s="98" t="s">
        <v>329</v>
      </c>
      <c r="B87" s="96">
        <v>108</v>
      </c>
      <c r="C87" s="131">
        <f>+'12 Month Operating Statement'!O174</f>
        <v>179363.43999999997</v>
      </c>
      <c r="D87" s="117">
        <f>'Restating Adjustments'!I88</f>
        <v>48197</v>
      </c>
      <c r="E87" s="117">
        <f t="shared" si="15"/>
        <v>227560.43999999997</v>
      </c>
      <c r="F87" s="117">
        <f>'Pro Forma Adjustments'!O88</f>
        <v>0</v>
      </c>
      <c r="G87" s="117">
        <f t="shared" si="16"/>
        <v>227560.43999999997</v>
      </c>
      <c r="H87" s="118">
        <f>-SUM('Allocation Matrix'!I93:T93)</f>
        <v>-177165.36497769799</v>
      </c>
      <c r="I87" s="118">
        <f t="shared" si="17"/>
        <v>50395.075022301986</v>
      </c>
      <c r="J87" s="98"/>
      <c r="K87" s="118">
        <f t="shared" si="11"/>
        <v>50395.075022301986</v>
      </c>
      <c r="L87" s="98"/>
      <c r="W87" s="98"/>
    </row>
    <row r="88" spans="1:23" x14ac:dyDescent="0.25">
      <c r="A88" s="98" t="s">
        <v>330</v>
      </c>
      <c r="B88" s="96">
        <v>94</v>
      </c>
      <c r="C88" s="131">
        <f>+'12 Month Operating Statement'!O160</f>
        <v>4647.2299999999996</v>
      </c>
      <c r="D88" s="117">
        <f>'Restating Adjustments'!I89</f>
        <v>4456</v>
      </c>
      <c r="E88" s="117">
        <f t="shared" si="15"/>
        <v>9103.23</v>
      </c>
      <c r="F88" s="117">
        <f>'Pro Forma Adjustments'!O89</f>
        <v>0</v>
      </c>
      <c r="G88" s="117">
        <f t="shared" si="16"/>
        <v>9103.23</v>
      </c>
      <c r="H88" s="118">
        <f>-SUM('Allocation Matrix'!I94:T94)</f>
        <v>-7087.2470866462118</v>
      </c>
      <c r="I88" s="118">
        <f t="shared" si="17"/>
        <v>2015.9829133537878</v>
      </c>
      <c r="J88" s="98"/>
      <c r="K88" s="118">
        <f t="shared" si="11"/>
        <v>2015.9829133537878</v>
      </c>
      <c r="L88" s="98"/>
      <c r="W88" s="98"/>
    </row>
    <row r="89" spans="1:23" x14ac:dyDescent="0.25">
      <c r="A89" s="98" t="s">
        <v>331</v>
      </c>
      <c r="B89" s="96"/>
      <c r="C89" s="131">
        <v>0</v>
      </c>
      <c r="D89" s="117">
        <f>'Restating Adjustments'!I90</f>
        <v>12767</v>
      </c>
      <c r="E89" s="117">
        <f t="shared" si="15"/>
        <v>12767</v>
      </c>
      <c r="F89" s="117">
        <f>'Pro Forma Adjustments'!O90</f>
        <v>0</v>
      </c>
      <c r="G89" s="117">
        <f t="shared" si="16"/>
        <v>12767</v>
      </c>
      <c r="H89" s="118">
        <f>-SUM('Allocation Matrix'!I95:T95)</f>
        <v>-9939.6459888646332</v>
      </c>
      <c r="I89" s="118">
        <f t="shared" si="17"/>
        <v>2827.3540111353668</v>
      </c>
      <c r="J89" s="98"/>
      <c r="K89" s="118">
        <f t="shared" si="11"/>
        <v>2827.3540111353668</v>
      </c>
      <c r="L89" s="98"/>
      <c r="W89" s="98"/>
    </row>
    <row r="90" spans="1:23" x14ac:dyDescent="0.25">
      <c r="A90" s="98" t="s">
        <v>332</v>
      </c>
      <c r="B90" s="96">
        <v>93</v>
      </c>
      <c r="C90" s="131">
        <f>+'12 Month Operating Statement'!O159</f>
        <v>45900</v>
      </c>
      <c r="D90" s="117">
        <f>'Restating Adjustments'!I91</f>
        <v>0</v>
      </c>
      <c r="E90" s="117">
        <f t="shared" si="15"/>
        <v>45900</v>
      </c>
      <c r="F90" s="117">
        <f>'Pro Forma Adjustments'!O91</f>
        <v>0</v>
      </c>
      <c r="G90" s="117">
        <f t="shared" si="16"/>
        <v>45900</v>
      </c>
      <c r="H90" s="118">
        <f>-SUM('Allocation Matrix'!I96:T96)</f>
        <v>-35735.078788195089</v>
      </c>
      <c r="I90" s="118">
        <f t="shared" si="17"/>
        <v>10164.921211804911</v>
      </c>
      <c r="J90" s="98"/>
      <c r="K90" s="118">
        <f t="shared" si="11"/>
        <v>10164.921211804911</v>
      </c>
      <c r="L90" s="98"/>
      <c r="W90" s="98"/>
    </row>
    <row r="91" spans="1:23" x14ac:dyDescent="0.25">
      <c r="A91" s="98" t="s">
        <v>333</v>
      </c>
      <c r="B91" s="96">
        <v>102</v>
      </c>
      <c r="C91" s="131">
        <f>+'12 Month Operating Statement'!O168</f>
        <v>63315.69</v>
      </c>
      <c r="D91" s="117">
        <f>'Restating Adjustments'!I92</f>
        <v>0</v>
      </c>
      <c r="E91" s="117">
        <f t="shared" si="15"/>
        <v>63315.69</v>
      </c>
      <c r="F91" s="117">
        <f>'Pro Forma Adjustments'!O92</f>
        <v>0</v>
      </c>
      <c r="G91" s="117">
        <f t="shared" si="16"/>
        <v>63315.69</v>
      </c>
      <c r="H91" s="118">
        <f>-SUM('Allocation Matrix'!I97:T97)</f>
        <v>-49293.925287122787</v>
      </c>
      <c r="I91" s="118">
        <f t="shared" si="17"/>
        <v>14021.764712877215</v>
      </c>
      <c r="J91" s="98"/>
      <c r="K91" s="118">
        <f t="shared" si="11"/>
        <v>14021.764712877215</v>
      </c>
      <c r="L91" s="98"/>
      <c r="W91" s="98"/>
    </row>
    <row r="92" spans="1:23" x14ac:dyDescent="0.25">
      <c r="A92" s="100" t="s">
        <v>334</v>
      </c>
      <c r="B92" s="146" t="s">
        <v>2544</v>
      </c>
      <c r="C92" s="135">
        <f>+'12 Month Operating Statement'!O175+'12 Month Operating Statement'!O176+'12 Month Operating Statement'!O183</f>
        <v>38143.990000000005</v>
      </c>
      <c r="D92" s="117">
        <f>'Restating Adjustments'!I93</f>
        <v>0</v>
      </c>
      <c r="E92" s="118">
        <f t="shared" si="15"/>
        <v>38143.990000000005</v>
      </c>
      <c r="F92" s="117">
        <f>'Pro Forma Adjustments'!O93</f>
        <v>0</v>
      </c>
      <c r="G92" s="117">
        <f t="shared" si="16"/>
        <v>38143.990000000005</v>
      </c>
      <c r="H92" s="118">
        <f>-SUM('Allocation Matrix'!I98:T98)</f>
        <v>-38143.990000000005</v>
      </c>
      <c r="I92" s="118">
        <f t="shared" si="17"/>
        <v>0</v>
      </c>
      <c r="J92" s="98"/>
      <c r="K92" s="118">
        <f t="shared" ref="K92:K96" si="18">J92+I92</f>
        <v>0</v>
      </c>
      <c r="L92" s="98"/>
      <c r="W92" s="98"/>
    </row>
    <row r="93" spans="1:23" x14ac:dyDescent="0.25">
      <c r="A93" s="99" t="s">
        <v>2545</v>
      </c>
      <c r="B93" s="96">
        <v>112</v>
      </c>
      <c r="C93" s="135">
        <f>+'12 Month Operating Statement'!O184</f>
        <v>23966.13</v>
      </c>
      <c r="D93" s="117">
        <f>'Restating Adjustments'!I94</f>
        <v>0</v>
      </c>
      <c r="E93" s="117">
        <f t="shared" si="15"/>
        <v>23966.13</v>
      </c>
      <c r="F93" s="117">
        <f>'Pro Forma Adjustments'!O94</f>
        <v>0</v>
      </c>
      <c r="G93" s="117">
        <f t="shared" si="16"/>
        <v>23966.13</v>
      </c>
      <c r="H93" s="118">
        <f>-SUM('Allocation Matrix'!I99:T99)</f>
        <v>-23966.13</v>
      </c>
      <c r="I93" s="118">
        <f t="shared" si="17"/>
        <v>0</v>
      </c>
      <c r="J93" s="98"/>
      <c r="K93" s="118">
        <f t="shared" si="18"/>
        <v>0</v>
      </c>
      <c r="L93" s="98"/>
      <c r="W93" s="98"/>
    </row>
    <row r="94" spans="1:23" x14ac:dyDescent="0.25">
      <c r="A94" s="99" t="s">
        <v>335</v>
      </c>
      <c r="B94" s="96">
        <v>114</v>
      </c>
      <c r="C94" s="135">
        <f>'[1]2. 12 Month Income Stmt. 4(c)'!O186</f>
        <v>-451.78</v>
      </c>
      <c r="D94" s="117">
        <f>'Restating Adjustments'!I95</f>
        <v>451.78</v>
      </c>
      <c r="E94" s="117">
        <f t="shared" si="15"/>
        <v>0</v>
      </c>
      <c r="F94" s="117">
        <f>'Pro Forma Adjustments'!O95</f>
        <v>0</v>
      </c>
      <c r="G94" s="117">
        <f t="shared" si="16"/>
        <v>0</v>
      </c>
      <c r="H94" s="118">
        <f>-SUM('Allocation Matrix'!I100:T100)</f>
        <v>0</v>
      </c>
      <c r="I94" s="118">
        <f t="shared" si="17"/>
        <v>0</v>
      </c>
      <c r="J94" s="98"/>
      <c r="K94" s="118">
        <f t="shared" si="18"/>
        <v>0</v>
      </c>
      <c r="L94" s="98"/>
      <c r="W94" s="98"/>
    </row>
    <row r="95" spans="1:23" x14ac:dyDescent="0.25">
      <c r="A95" s="99" t="s">
        <v>336</v>
      </c>
      <c r="B95" s="96">
        <v>115</v>
      </c>
      <c r="C95" s="135">
        <f>'[1]2. 12 Month Income Stmt. 4(c)'!O187</f>
        <v>1076.6399999999999</v>
      </c>
      <c r="D95" s="117">
        <f>'Restating Adjustments'!I96</f>
        <v>-1076.6399999999999</v>
      </c>
      <c r="E95" s="117">
        <f t="shared" si="15"/>
        <v>0</v>
      </c>
      <c r="F95" s="117">
        <f>'Pro Forma Adjustments'!O96</f>
        <v>0</v>
      </c>
      <c r="G95" s="117">
        <f t="shared" si="16"/>
        <v>0</v>
      </c>
      <c r="H95" s="118">
        <f>-SUM('Allocation Matrix'!I101:T101)</f>
        <v>0</v>
      </c>
      <c r="I95" s="118">
        <f t="shared" si="17"/>
        <v>0</v>
      </c>
      <c r="J95" s="98"/>
      <c r="K95" s="118">
        <f t="shared" si="18"/>
        <v>0</v>
      </c>
      <c r="L95" s="98"/>
      <c r="W95" s="98"/>
    </row>
    <row r="96" spans="1:23" x14ac:dyDescent="0.25">
      <c r="A96" s="99" t="s">
        <v>337</v>
      </c>
      <c r="B96" s="96">
        <v>116</v>
      </c>
      <c r="C96" s="135">
        <f>'[1]2. 12 Month Income Stmt. 4(c)'!O188</f>
        <v>0</v>
      </c>
      <c r="D96" s="117">
        <f>'Restating Adjustments'!I97</f>
        <v>0</v>
      </c>
      <c r="E96" s="117">
        <f t="shared" si="15"/>
        <v>0</v>
      </c>
      <c r="F96" s="117">
        <f>'Pro Forma Adjustments'!O97</f>
        <v>0</v>
      </c>
      <c r="G96" s="117">
        <f t="shared" si="16"/>
        <v>0</v>
      </c>
      <c r="H96" s="118">
        <f>-SUM('Allocation Matrix'!I102:T102)</f>
        <v>0</v>
      </c>
      <c r="I96" s="118">
        <f t="shared" si="17"/>
        <v>0</v>
      </c>
      <c r="J96" s="98"/>
      <c r="K96" s="118">
        <f t="shared" si="18"/>
        <v>0</v>
      </c>
      <c r="L96" s="98"/>
      <c r="W96" s="98"/>
    </row>
    <row r="97" spans="1:39" x14ac:dyDescent="0.25">
      <c r="A97" s="98"/>
      <c r="B97" s="96"/>
      <c r="C97" s="135"/>
      <c r="D97" s="117"/>
      <c r="E97" s="117"/>
      <c r="F97" s="117"/>
      <c r="G97" s="117"/>
      <c r="H97" s="117"/>
      <c r="I97" s="98"/>
      <c r="J97" s="98"/>
      <c r="K97" s="98"/>
      <c r="L97" s="98"/>
      <c r="W97" s="98"/>
    </row>
    <row r="98" spans="1:39" x14ac:dyDescent="0.25">
      <c r="A98" s="98" t="s">
        <v>338</v>
      </c>
      <c r="B98" s="96"/>
      <c r="C98" s="97">
        <f>SUM(C15:C96)</f>
        <v>13432540.470000006</v>
      </c>
      <c r="D98" s="97">
        <f>SUM(D15:D97)</f>
        <v>6488.9199999999983</v>
      </c>
      <c r="E98" s="97">
        <f>SUM(E14:E97)</f>
        <v>13439029.390000006</v>
      </c>
      <c r="F98" s="97">
        <f>SUM(F14:F97)</f>
        <v>1585404.2887213484</v>
      </c>
      <c r="G98" s="117">
        <f>SUM(G15:G97)</f>
        <v>15024433.678721353</v>
      </c>
      <c r="H98" s="117">
        <f>-SUM(H15:H97)</f>
        <v>10873186.769907288</v>
      </c>
      <c r="I98" s="117">
        <f>SUM(I15:I97)</f>
        <v>4151246.9088140577</v>
      </c>
      <c r="J98" s="117">
        <f>SUM(J15:J97)</f>
        <v>0</v>
      </c>
      <c r="K98" s="117">
        <f>SUM(K15:K97)</f>
        <v>4151246.9088140577</v>
      </c>
      <c r="L98" s="98"/>
      <c r="W98" s="98"/>
    </row>
    <row r="99" spans="1:39" x14ac:dyDescent="0.25">
      <c r="A99" s="99"/>
      <c r="B99" s="141"/>
      <c r="C99" s="149"/>
      <c r="D99" s="99"/>
      <c r="E99" s="99"/>
      <c r="F99" s="99"/>
      <c r="G99" s="99"/>
      <c r="H99" s="99"/>
      <c r="I99" s="99"/>
      <c r="J99" s="99"/>
      <c r="K99" s="99"/>
      <c r="L99" s="98"/>
      <c r="W99" s="99"/>
    </row>
    <row r="100" spans="1:39" ht="16.5" thickBot="1" x14ac:dyDescent="0.3">
      <c r="A100" s="98" t="s">
        <v>339</v>
      </c>
      <c r="B100" s="96"/>
      <c r="C100" s="147">
        <f t="shared" ref="C100:K100" si="19">C13-C98</f>
        <v>1158943.6499999948</v>
      </c>
      <c r="D100" s="147">
        <f t="shared" si="19"/>
        <v>100111.08</v>
      </c>
      <c r="E100" s="147">
        <f t="shared" si="19"/>
        <v>1259054.7299999949</v>
      </c>
      <c r="F100" s="147">
        <f t="shared" si="19"/>
        <v>-1334018.2887213484</v>
      </c>
      <c r="G100" s="147">
        <f t="shared" si="19"/>
        <v>-74963.558721352369</v>
      </c>
      <c r="H100" s="147">
        <f t="shared" si="19"/>
        <v>-37233.459907285869</v>
      </c>
      <c r="I100" s="147">
        <f t="shared" si="19"/>
        <v>-37730.098814059049</v>
      </c>
      <c r="J100" s="147">
        <f t="shared" si="19"/>
        <v>0</v>
      </c>
      <c r="K100" s="147">
        <f t="shared" si="19"/>
        <v>-37730.098814058118</v>
      </c>
      <c r="L100" s="99"/>
      <c r="W100" s="99"/>
    </row>
    <row r="101" spans="1:39" ht="16.5" thickTop="1" x14ac:dyDescent="0.25">
      <c r="A101" s="99"/>
      <c r="B101" s="141"/>
      <c r="C101" s="149"/>
      <c r="D101" s="99"/>
      <c r="E101" s="99"/>
      <c r="F101" s="99"/>
      <c r="G101" s="99"/>
      <c r="H101" s="110"/>
      <c r="I101" s="110"/>
      <c r="J101" s="110"/>
      <c r="K101" s="110"/>
      <c r="L101" s="98"/>
      <c r="M101" s="139"/>
      <c r="N101" s="139"/>
      <c r="O101" s="110"/>
      <c r="P101" s="110"/>
      <c r="Q101" s="110"/>
      <c r="R101" s="110"/>
      <c r="S101" s="110"/>
      <c r="T101" s="110"/>
      <c r="U101" s="110"/>
      <c r="V101" s="139"/>
      <c r="W101" s="98"/>
    </row>
    <row r="102" spans="1:39" x14ac:dyDescent="0.25">
      <c r="A102" s="98"/>
      <c r="B102" s="96"/>
      <c r="C102" s="150">
        <f>+C100-1158945</f>
        <v>-1.3500000052154064</v>
      </c>
      <c r="D102" s="139"/>
      <c r="E102" s="139"/>
      <c r="F102" s="139"/>
      <c r="G102" s="139"/>
      <c r="H102" s="139"/>
      <c r="I102" s="139"/>
      <c r="J102" s="139"/>
      <c r="K102" s="139"/>
      <c r="L102" s="98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98"/>
    </row>
    <row r="103" spans="1:39" x14ac:dyDescent="0.25">
      <c r="A103" s="151"/>
      <c r="B103" s="96"/>
      <c r="C103" s="149"/>
      <c r="D103" s="139"/>
      <c r="E103" s="152"/>
      <c r="F103" s="139"/>
      <c r="G103" s="152">
        <f>G100/G13</f>
        <v>-5.0144625943004568E-3</v>
      </c>
      <c r="H103" s="152"/>
      <c r="I103" s="152"/>
      <c r="J103" s="139"/>
      <c r="K103" s="152"/>
      <c r="L103" s="98"/>
      <c r="M103" s="139"/>
      <c r="N103" s="139"/>
      <c r="O103" s="152"/>
      <c r="P103" s="139"/>
      <c r="Q103" s="139"/>
      <c r="R103" s="139"/>
      <c r="S103" s="139"/>
      <c r="T103" s="139"/>
      <c r="U103" s="139"/>
      <c r="V103" s="139"/>
      <c r="W103" s="98"/>
    </row>
    <row r="104" spans="1:39" x14ac:dyDescent="0.25">
      <c r="A104" s="99" t="s">
        <v>340</v>
      </c>
      <c r="B104" s="141"/>
      <c r="C104" s="149">
        <f>C13</f>
        <v>14591484.120000001</v>
      </c>
      <c r="D104" s="153"/>
      <c r="E104" s="154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</row>
    <row r="105" spans="1:39" x14ac:dyDescent="0.25">
      <c r="A105" s="99" t="s">
        <v>341</v>
      </c>
      <c r="B105" s="141"/>
      <c r="C105" s="149">
        <f>C15</f>
        <v>4483654.68</v>
      </c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</row>
    <row r="106" spans="1:39" x14ac:dyDescent="0.25">
      <c r="A106" s="99" t="s">
        <v>265</v>
      </c>
      <c r="B106" s="141"/>
      <c r="C106" s="149">
        <f>SUM(C17:C96)</f>
        <v>8948885.790000001</v>
      </c>
      <c r="D106" s="153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</row>
    <row r="107" spans="1:39" x14ac:dyDescent="0.25">
      <c r="A107" s="99" t="s">
        <v>82</v>
      </c>
      <c r="B107" s="141"/>
      <c r="C107" s="149">
        <f>C104-C105-C106</f>
        <v>1158943.6500000004</v>
      </c>
      <c r="D107" s="99"/>
      <c r="E107" s="99"/>
      <c r="F107" s="99"/>
      <c r="G107" s="99"/>
      <c r="H107" s="155"/>
      <c r="I107" s="155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</row>
    <row r="108" spans="1:39" x14ac:dyDescent="0.25">
      <c r="A108" s="99"/>
      <c r="B108" s="141"/>
      <c r="C108" s="14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</row>
    <row r="109" spans="1:39" x14ac:dyDescent="0.25">
      <c r="A109" s="99" t="s">
        <v>342</v>
      </c>
      <c r="B109" s="141"/>
      <c r="C109" s="150">
        <f>'[1]2. 12 Month Income Stmt. 4(c)'!O191</f>
        <v>1158945.7399999993</v>
      </c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</row>
    <row r="110" spans="1:39" x14ac:dyDescent="0.25">
      <c r="A110" s="99" t="s">
        <v>343</v>
      </c>
      <c r="B110" s="141"/>
      <c r="C110" s="149">
        <f>C109-C107</f>
        <v>2.0899999989196658</v>
      </c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</row>
    <row r="111" spans="1:39" x14ac:dyDescent="0.25">
      <c r="A111" s="99"/>
      <c r="B111" s="141"/>
      <c r="C111" s="14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</row>
    <row r="112" spans="1:39" x14ac:dyDescent="0.25">
      <c r="A112" s="99"/>
      <c r="B112" s="141"/>
      <c r="C112" s="14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</row>
    <row r="113" spans="1:39" x14ac:dyDescent="0.25">
      <c r="A113" s="99"/>
      <c r="B113" s="141"/>
      <c r="C113" s="14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</row>
    <row r="114" spans="1:39" x14ac:dyDescent="0.25">
      <c r="A114" s="99"/>
      <c r="B114" s="141"/>
      <c r="C114" s="14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</row>
    <row r="115" spans="1:39" x14ac:dyDescent="0.25">
      <c r="A115" s="99"/>
      <c r="B115" s="141"/>
      <c r="C115" s="14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</row>
    <row r="116" spans="1:39" x14ac:dyDescent="0.25">
      <c r="A116" s="99"/>
      <c r="B116" s="141"/>
      <c r="C116" s="14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</row>
    <row r="117" spans="1:39" x14ac:dyDescent="0.25">
      <c r="A117" s="99"/>
      <c r="B117" s="141"/>
      <c r="C117" s="14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</row>
    <row r="118" spans="1:39" x14ac:dyDescent="0.25">
      <c r="A118" s="99"/>
      <c r="B118" s="141"/>
      <c r="C118" s="14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</row>
    <row r="119" spans="1:39" x14ac:dyDescent="0.25">
      <c r="A119" s="99"/>
      <c r="B119" s="141"/>
      <c r="C119" s="14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</row>
    <row r="120" spans="1:39" x14ac:dyDescent="0.25">
      <c r="A120" s="99"/>
      <c r="B120" s="141"/>
      <c r="C120" s="14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</row>
    <row r="121" spans="1:39" x14ac:dyDescent="0.25">
      <c r="A121" s="99"/>
      <c r="B121" s="141"/>
      <c r="C121" s="14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</row>
    <row r="122" spans="1:39" x14ac:dyDescent="0.25">
      <c r="A122" s="99"/>
      <c r="B122" s="141"/>
      <c r="C122" s="14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</row>
    <row r="123" spans="1:39" x14ac:dyDescent="0.25">
      <c r="A123" s="99"/>
      <c r="B123" s="141"/>
      <c r="C123" s="14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</row>
    <row r="124" spans="1:39" x14ac:dyDescent="0.25">
      <c r="A124" s="99"/>
      <c r="B124" s="141"/>
      <c r="C124" s="14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</row>
    <row r="125" spans="1:39" x14ac:dyDescent="0.25">
      <c r="A125" s="99"/>
      <c r="B125" s="141"/>
      <c r="C125" s="14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</row>
    <row r="126" spans="1:39" x14ac:dyDescent="0.25">
      <c r="A126" s="99"/>
      <c r="B126" s="141"/>
      <c r="C126" s="14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</row>
    <row r="127" spans="1:39" x14ac:dyDescent="0.25">
      <c r="A127" s="99"/>
      <c r="B127" s="141"/>
      <c r="C127" s="14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</row>
    <row r="128" spans="1:39" x14ac:dyDescent="0.25">
      <c r="A128" s="99"/>
      <c r="B128" s="141"/>
      <c r="C128" s="14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</row>
    <row r="129" spans="1:39" x14ac:dyDescent="0.25">
      <c r="A129" s="99"/>
      <c r="B129" s="141"/>
      <c r="C129" s="14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</row>
    <row r="130" spans="1:39" x14ac:dyDescent="0.25">
      <c r="A130" s="99"/>
      <c r="B130" s="141"/>
      <c r="C130" s="14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</row>
    <row r="131" spans="1:39" x14ac:dyDescent="0.25">
      <c r="A131" s="99"/>
      <c r="B131" s="141"/>
      <c r="C131" s="14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</row>
    <row r="132" spans="1:39" x14ac:dyDescent="0.25">
      <c r="A132" s="99"/>
      <c r="B132" s="141"/>
      <c r="C132" s="14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</row>
    <row r="133" spans="1:39" x14ac:dyDescent="0.25">
      <c r="A133" s="99"/>
      <c r="B133" s="141"/>
      <c r="C133" s="14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</row>
    <row r="134" spans="1:39" x14ac:dyDescent="0.25">
      <c r="A134" s="99"/>
      <c r="B134" s="141"/>
      <c r="C134" s="14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</row>
    <row r="135" spans="1:39" x14ac:dyDescent="0.25">
      <c r="A135" s="99"/>
      <c r="B135" s="141"/>
      <c r="C135" s="14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</row>
    <row r="136" spans="1:39" x14ac:dyDescent="0.25">
      <c r="A136" s="99"/>
      <c r="B136" s="141"/>
      <c r="C136" s="14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</row>
    <row r="137" spans="1:39" x14ac:dyDescent="0.25">
      <c r="A137" s="99"/>
      <c r="B137" s="141"/>
      <c r="C137" s="14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</row>
    <row r="138" spans="1:39" x14ac:dyDescent="0.25">
      <c r="A138" s="99"/>
      <c r="B138" s="141"/>
      <c r="C138" s="14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</row>
    <row r="139" spans="1:39" x14ac:dyDescent="0.25">
      <c r="A139" s="99"/>
      <c r="B139" s="141"/>
      <c r="C139" s="14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</row>
    <row r="140" spans="1:39" x14ac:dyDescent="0.25">
      <c r="A140" s="99"/>
      <c r="B140" s="141"/>
      <c r="C140" s="14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</row>
    <row r="141" spans="1:39" x14ac:dyDescent="0.25">
      <c r="A141" s="99"/>
      <c r="B141" s="141"/>
      <c r="C141" s="14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</row>
    <row r="142" spans="1:39" x14ac:dyDescent="0.25">
      <c r="A142" s="99"/>
      <c r="B142" s="141"/>
      <c r="C142" s="14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</row>
    <row r="143" spans="1:39" x14ac:dyDescent="0.25">
      <c r="A143" s="99"/>
      <c r="B143" s="141"/>
      <c r="C143" s="14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</row>
    <row r="144" spans="1:39" x14ac:dyDescent="0.25">
      <c r="A144" s="99"/>
      <c r="B144" s="141"/>
      <c r="C144" s="14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</row>
    <row r="145" spans="1:39" x14ac:dyDescent="0.25">
      <c r="A145" s="99"/>
      <c r="B145" s="141"/>
      <c r="C145" s="14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</row>
    <row r="146" spans="1:39" x14ac:dyDescent="0.25">
      <c r="A146" s="99"/>
      <c r="B146" s="141"/>
      <c r="C146" s="14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</row>
    <row r="147" spans="1:39" x14ac:dyDescent="0.25">
      <c r="A147" s="99"/>
      <c r="B147" s="141"/>
      <c r="C147" s="14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</row>
    <row r="148" spans="1:39" x14ac:dyDescent="0.25">
      <c r="A148" s="99"/>
      <c r="B148" s="141"/>
      <c r="C148" s="14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</row>
    <row r="149" spans="1:39" x14ac:dyDescent="0.25">
      <c r="A149" s="99"/>
      <c r="B149" s="141"/>
      <c r="C149" s="14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</row>
    <row r="150" spans="1:39" x14ac:dyDescent="0.25">
      <c r="A150" s="99"/>
      <c r="B150" s="141"/>
      <c r="C150" s="14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</row>
    <row r="151" spans="1:39" x14ac:dyDescent="0.25">
      <c r="A151" s="99"/>
      <c r="B151" s="141"/>
      <c r="C151" s="14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</row>
    <row r="152" spans="1:39" x14ac:dyDescent="0.25">
      <c r="A152" s="99"/>
      <c r="B152" s="141"/>
      <c r="C152" s="14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</row>
    <row r="153" spans="1:39" x14ac:dyDescent="0.25">
      <c r="A153" s="99"/>
      <c r="B153" s="141"/>
      <c r="C153" s="14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</row>
    <row r="154" spans="1:39" x14ac:dyDescent="0.25">
      <c r="A154" s="99"/>
      <c r="B154" s="141"/>
      <c r="C154" s="14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</row>
    <row r="155" spans="1:39" x14ac:dyDescent="0.25">
      <c r="A155" s="99"/>
      <c r="B155" s="141"/>
      <c r="C155" s="14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 t="s">
        <v>344</v>
      </c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</row>
  </sheetData>
  <pageMargins left="0.25" right="0.25" top="0.75" bottom="0.75" header="0.3" footer="0.3"/>
  <pageSetup scale="86" fitToHeight="0" orientation="landscape" r:id="rId1"/>
  <headerFooter>
    <oddFooter>&amp;L&amp;D&amp;C&amp;A&amp;RPage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01"/>
  <sheetViews>
    <sheetView workbookViewId="0">
      <selection activeCell="F26" sqref="F26"/>
    </sheetView>
  </sheetViews>
  <sheetFormatPr defaultRowHeight="15.75" x14ac:dyDescent="0.25"/>
  <cols>
    <col min="1" max="1" width="27" customWidth="1"/>
    <col min="2" max="2" width="3.44140625" customWidth="1"/>
    <col min="3" max="9" width="11.33203125" customWidth="1"/>
    <col min="10" max="10" width="26.5546875" customWidth="1"/>
  </cols>
  <sheetData>
    <row r="1" spans="1:10" x14ac:dyDescent="0.25">
      <c r="A1" s="98" t="s">
        <v>231</v>
      </c>
      <c r="B1" s="98"/>
      <c r="C1" s="98"/>
      <c r="D1" s="98"/>
      <c r="E1" s="98"/>
      <c r="F1" s="98"/>
      <c r="G1" s="98"/>
      <c r="H1" s="98"/>
      <c r="I1" s="98"/>
      <c r="J1" s="98"/>
    </row>
    <row r="2" spans="1:10" x14ac:dyDescent="0.25">
      <c r="A2" s="98" t="s">
        <v>233</v>
      </c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25">
      <c r="A3" s="98"/>
      <c r="B3" s="98"/>
      <c r="C3" s="103" t="s">
        <v>243</v>
      </c>
      <c r="D3" s="103" t="s">
        <v>3242</v>
      </c>
      <c r="E3" s="103" t="s">
        <v>3242</v>
      </c>
      <c r="F3" s="103" t="s">
        <v>244</v>
      </c>
      <c r="G3" s="103" t="s">
        <v>245</v>
      </c>
      <c r="H3" s="103" t="s">
        <v>246</v>
      </c>
      <c r="I3" s="103" t="s">
        <v>82</v>
      </c>
      <c r="J3" s="98"/>
    </row>
    <row r="4" spans="1:10" x14ac:dyDescent="0.25">
      <c r="A4" s="98"/>
      <c r="B4" s="98"/>
      <c r="C4" s="103" t="s">
        <v>2785</v>
      </c>
      <c r="D4" s="103" t="s">
        <v>3243</v>
      </c>
      <c r="E4" s="103" t="s">
        <v>2789</v>
      </c>
      <c r="F4" s="103" t="s">
        <v>2793</v>
      </c>
      <c r="G4" s="103" t="s">
        <v>2793</v>
      </c>
      <c r="H4" s="103" t="s">
        <v>239</v>
      </c>
      <c r="I4" s="98"/>
      <c r="J4" s="104" t="s">
        <v>247</v>
      </c>
    </row>
    <row r="5" spans="1:10" x14ac:dyDescent="0.25">
      <c r="A5" s="98"/>
      <c r="B5" s="98"/>
      <c r="C5" s="617" t="s">
        <v>25</v>
      </c>
      <c r="D5" s="617" t="s">
        <v>3244</v>
      </c>
      <c r="E5" s="617" t="s">
        <v>2790</v>
      </c>
      <c r="F5" s="617"/>
      <c r="G5" s="617" t="s">
        <v>2807</v>
      </c>
      <c r="H5" s="617" t="s">
        <v>2791</v>
      </c>
      <c r="I5" s="98"/>
      <c r="J5" s="98"/>
    </row>
    <row r="6" spans="1:10" x14ac:dyDescent="0.25">
      <c r="A6" s="106" t="s">
        <v>25</v>
      </c>
      <c r="B6" s="109"/>
      <c r="C6" s="109"/>
      <c r="D6" s="109"/>
      <c r="E6" s="109"/>
      <c r="F6" s="109"/>
      <c r="G6" s="109"/>
      <c r="H6" s="109"/>
      <c r="J6" s="98"/>
    </row>
    <row r="7" spans="1:10" x14ac:dyDescent="0.25">
      <c r="A7" s="98" t="str">
        <f>'Pro Forma'!A6</f>
        <v>WUTC - Residential</v>
      </c>
      <c r="B7" s="98"/>
      <c r="C7" s="112">
        <v>106600</v>
      </c>
      <c r="D7" s="447"/>
      <c r="E7" s="116"/>
      <c r="F7" s="116"/>
      <c r="G7" s="116"/>
      <c r="H7" s="115"/>
      <c r="I7" s="117">
        <f t="shared" ref="I7:I13" si="0">SUM(C7:H7)</f>
        <v>106600</v>
      </c>
      <c r="J7" s="100" t="s">
        <v>2786</v>
      </c>
    </row>
    <row r="8" spans="1:10" x14ac:dyDescent="0.25">
      <c r="A8" s="98" t="str">
        <f>'Pro Forma'!A7</f>
        <v>WUTC - Commercial</v>
      </c>
      <c r="B8" s="98"/>
      <c r="C8" s="116"/>
      <c r="D8" s="447"/>
      <c r="E8" s="116"/>
      <c r="F8" s="116"/>
      <c r="G8" s="116"/>
      <c r="H8" s="115"/>
      <c r="I8" s="117">
        <f t="shared" si="0"/>
        <v>0</v>
      </c>
    </row>
    <row r="9" spans="1:10" x14ac:dyDescent="0.25">
      <c r="A9" s="98" t="str">
        <f>'Pro Forma'!A8</f>
        <v>WUCT - Drop Box</v>
      </c>
      <c r="B9" s="98"/>
      <c r="C9" s="116"/>
      <c r="D9" s="447"/>
      <c r="E9" s="115"/>
      <c r="F9" s="115"/>
      <c r="G9" s="115"/>
      <c r="H9" s="115"/>
      <c r="I9" s="117">
        <f t="shared" si="0"/>
        <v>0</v>
      </c>
    </row>
    <row r="10" spans="1:10" x14ac:dyDescent="0.25">
      <c r="A10" s="98" t="str">
        <f>'Pro Forma'!A9</f>
        <v>WUTC - Pass Through</v>
      </c>
      <c r="B10" s="98"/>
      <c r="C10" s="116"/>
      <c r="D10" s="447"/>
      <c r="E10" s="115"/>
      <c r="F10" s="115"/>
      <c r="G10" s="115"/>
      <c r="H10" s="115"/>
      <c r="I10" s="117">
        <f t="shared" si="0"/>
        <v>0</v>
      </c>
    </row>
    <row r="11" spans="1:10" x14ac:dyDescent="0.25">
      <c r="A11" s="98" t="str">
        <f>'Pro Forma'!A10</f>
        <v xml:space="preserve">WUTC - Other </v>
      </c>
      <c r="B11" s="98"/>
      <c r="C11" s="116"/>
      <c r="D11" s="447"/>
      <c r="E11" s="116"/>
      <c r="F11" s="116"/>
      <c r="G11" s="116"/>
      <c r="H11" s="115"/>
      <c r="I11" s="117">
        <f t="shared" si="0"/>
        <v>0</v>
      </c>
      <c r="J11" s="100"/>
    </row>
    <row r="12" spans="1:10" x14ac:dyDescent="0.25">
      <c r="A12" s="98" t="str">
        <f>'Pro Forma'!A11</f>
        <v>Contact Revenue</v>
      </c>
      <c r="B12" s="98"/>
      <c r="C12" s="116"/>
      <c r="D12" s="447"/>
      <c r="E12" s="116"/>
      <c r="F12" s="116"/>
      <c r="G12" s="116"/>
      <c r="H12" s="115"/>
      <c r="I12" s="117">
        <f t="shared" si="0"/>
        <v>0</v>
      </c>
      <c r="J12" s="100"/>
    </row>
    <row r="13" spans="1:10" x14ac:dyDescent="0.25">
      <c r="A13" s="98" t="s">
        <v>273</v>
      </c>
      <c r="B13" s="98"/>
      <c r="C13" s="124"/>
      <c r="D13" s="124"/>
      <c r="E13" s="124"/>
      <c r="F13" s="124"/>
      <c r="G13" s="124"/>
      <c r="H13" s="124"/>
      <c r="I13" s="123">
        <f t="shared" si="0"/>
        <v>0</v>
      </c>
      <c r="J13" s="100"/>
    </row>
    <row r="14" spans="1:10" x14ac:dyDescent="0.25">
      <c r="A14" s="98" t="s">
        <v>274</v>
      </c>
      <c r="B14" s="98"/>
      <c r="C14" s="117">
        <f t="shared" ref="C14:I14" si="1">SUM(C7:C13)</f>
        <v>106600</v>
      </c>
      <c r="D14" s="117">
        <f t="shared" si="1"/>
        <v>0</v>
      </c>
      <c r="E14" s="117">
        <f t="shared" si="1"/>
        <v>0</v>
      </c>
      <c r="F14" s="117">
        <f t="shared" si="1"/>
        <v>0</v>
      </c>
      <c r="G14" s="117">
        <f t="shared" si="1"/>
        <v>0</v>
      </c>
      <c r="H14" s="117">
        <f t="shared" si="1"/>
        <v>0</v>
      </c>
      <c r="I14" s="117">
        <f t="shared" si="1"/>
        <v>106600</v>
      </c>
      <c r="J14" s="98"/>
    </row>
    <row r="15" spans="1:10" x14ac:dyDescent="0.25">
      <c r="A15" s="126" t="s">
        <v>30</v>
      </c>
      <c r="B15" s="129"/>
      <c r="C15" s="129"/>
      <c r="D15" s="129"/>
      <c r="E15" s="129"/>
      <c r="F15" s="129"/>
      <c r="G15" s="129"/>
      <c r="H15" s="129"/>
      <c r="I15" s="98"/>
      <c r="J15" s="98"/>
    </row>
    <row r="16" spans="1:10" x14ac:dyDescent="0.25">
      <c r="A16" s="98" t="str">
        <f>'Pro Forma'!A15</f>
        <v>Disposal Fees</v>
      </c>
      <c r="B16" s="98"/>
      <c r="C16" s="115"/>
      <c r="D16" s="115"/>
      <c r="E16" s="115"/>
      <c r="F16" s="115"/>
      <c r="G16" s="115"/>
      <c r="H16" s="115"/>
      <c r="I16" s="117">
        <f>SUM(C16:H16)</f>
        <v>0</v>
      </c>
      <c r="J16" s="100"/>
    </row>
    <row r="17" spans="1:10" x14ac:dyDescent="0.25">
      <c r="A17" s="98"/>
      <c r="B17" s="98"/>
      <c r="C17" s="98"/>
      <c r="D17" s="98"/>
      <c r="E17" s="98"/>
      <c r="F17" s="98"/>
      <c r="G17" s="98"/>
      <c r="H17" s="98"/>
      <c r="I17" s="117"/>
      <c r="J17" s="100"/>
    </row>
    <row r="18" spans="1:10" x14ac:dyDescent="0.25">
      <c r="A18" s="98" t="str">
        <f>'Pro Forma'!A17</f>
        <v>Driver Wages:</v>
      </c>
      <c r="B18" s="98"/>
      <c r="C18" s="136"/>
      <c r="D18" s="116"/>
      <c r="E18" s="116"/>
      <c r="F18" s="116"/>
      <c r="G18" s="116"/>
      <c r="H18" s="116"/>
      <c r="I18" s="117">
        <f>SUM(C18:H18)</f>
        <v>0</v>
      </c>
      <c r="J18" s="100"/>
    </row>
    <row r="19" spans="1:10" x14ac:dyDescent="0.25">
      <c r="A19" s="98" t="str">
        <f>'Pro Forma'!A18</f>
        <v xml:space="preserve">  Payroll Taxes</v>
      </c>
      <c r="B19" s="98"/>
      <c r="C19" s="136"/>
      <c r="D19" s="116"/>
      <c r="E19" s="116"/>
      <c r="F19" s="116"/>
      <c r="G19" s="116"/>
      <c r="H19" s="116"/>
      <c r="I19" s="117">
        <f t="shared" ref="I19:I82" si="2">SUM(C19:H19)</f>
        <v>0</v>
      </c>
      <c r="J19" s="98"/>
    </row>
    <row r="20" spans="1:10" x14ac:dyDescent="0.25">
      <c r="A20" s="98" t="str">
        <f>'Pro Forma'!A19</f>
        <v xml:space="preserve">  Benefits</v>
      </c>
      <c r="B20" s="98"/>
      <c r="C20" s="136"/>
      <c r="D20" s="116"/>
      <c r="E20" s="116"/>
      <c r="F20" s="116"/>
      <c r="G20" s="116"/>
      <c r="H20" s="116"/>
      <c r="I20" s="117">
        <f t="shared" si="2"/>
        <v>0</v>
      </c>
      <c r="J20" s="98"/>
    </row>
    <row r="21" spans="1:10" x14ac:dyDescent="0.25">
      <c r="A21" s="98" t="str">
        <f>'Pro Forma'!A20</f>
        <v xml:space="preserve">  Medical Expense</v>
      </c>
      <c r="B21" s="98"/>
      <c r="C21" s="136"/>
      <c r="D21" s="116"/>
      <c r="E21" s="116"/>
      <c r="F21" s="116"/>
      <c r="G21" s="116"/>
      <c r="H21" s="116"/>
      <c r="I21" s="117">
        <f t="shared" si="2"/>
        <v>0</v>
      </c>
      <c r="J21" s="98"/>
    </row>
    <row r="22" spans="1:10" x14ac:dyDescent="0.25">
      <c r="A22" s="98" t="str">
        <f>'Pro Forma'!A21</f>
        <v xml:space="preserve">  Other EE Costs</v>
      </c>
      <c r="B22" s="98"/>
      <c r="C22" s="136"/>
      <c r="D22" s="116"/>
      <c r="E22" s="116"/>
      <c r="F22" s="116"/>
      <c r="G22" s="116"/>
      <c r="H22" s="116"/>
      <c r="I22" s="117">
        <f t="shared" si="2"/>
        <v>0</v>
      </c>
      <c r="J22" s="98"/>
    </row>
    <row r="23" spans="1:10" x14ac:dyDescent="0.25">
      <c r="A23" s="98" t="str">
        <f>'Pro Forma'!A22</f>
        <v>Insurance Premiums</v>
      </c>
      <c r="B23" s="98"/>
      <c r="C23" s="116"/>
      <c r="D23" s="116"/>
      <c r="E23" s="116"/>
      <c r="F23" s="116"/>
      <c r="G23" s="116"/>
      <c r="H23" s="116"/>
      <c r="I23" s="117">
        <f t="shared" si="2"/>
        <v>0</v>
      </c>
      <c r="J23" s="98"/>
    </row>
    <row r="24" spans="1:10" x14ac:dyDescent="0.25">
      <c r="A24" s="98" t="str">
        <f>'Pro Forma'!A23</f>
        <v>Fleet Deprec</v>
      </c>
      <c r="B24" s="98"/>
      <c r="C24" s="116"/>
      <c r="D24" s="116"/>
      <c r="E24" s="116">
        <f>-655591+553378</f>
        <v>-102213</v>
      </c>
      <c r="F24" s="116"/>
      <c r="G24" s="116"/>
      <c r="H24" s="116"/>
      <c r="I24" s="117">
        <f t="shared" si="2"/>
        <v>-102213</v>
      </c>
      <c r="J24" s="98" t="s">
        <v>3090</v>
      </c>
    </row>
    <row r="25" spans="1:10" x14ac:dyDescent="0.25">
      <c r="A25" s="98" t="str">
        <f>'Pro Forma'!A24</f>
        <v>Rent- Maint Facility</v>
      </c>
      <c r="B25" s="98"/>
      <c r="C25" s="116"/>
      <c r="D25" s="116"/>
      <c r="E25" s="116"/>
      <c r="F25" s="116"/>
      <c r="G25" s="116"/>
      <c r="H25" s="116"/>
      <c r="I25" s="117">
        <f t="shared" si="2"/>
        <v>0</v>
      </c>
      <c r="J25" s="98"/>
    </row>
    <row r="26" spans="1:10" x14ac:dyDescent="0.25">
      <c r="A26" s="98" t="str">
        <f>'Pro Forma'!A25</f>
        <v>Shop Depreciation</v>
      </c>
      <c r="B26" s="98"/>
      <c r="C26" s="116"/>
      <c r="D26" s="116"/>
      <c r="E26" s="116">
        <f>12725-13571</f>
        <v>-846</v>
      </c>
      <c r="F26" s="116"/>
      <c r="G26" s="116"/>
      <c r="H26" s="116"/>
      <c r="I26" s="117">
        <f t="shared" si="2"/>
        <v>-846</v>
      </c>
      <c r="J26" s="98" t="s">
        <v>3090</v>
      </c>
    </row>
    <row r="27" spans="1:10" x14ac:dyDescent="0.25">
      <c r="A27" s="98" t="str">
        <f>'Pro Forma'!A26</f>
        <v>Vehicle License</v>
      </c>
      <c r="B27" s="98"/>
      <c r="C27" s="116"/>
      <c r="D27" s="116"/>
      <c r="E27" s="116"/>
      <c r="F27" s="116"/>
      <c r="G27" s="116"/>
      <c r="H27" s="116"/>
      <c r="I27" s="117">
        <f t="shared" si="2"/>
        <v>0</v>
      </c>
      <c r="J27" s="98"/>
    </row>
    <row r="28" spans="1:10" x14ac:dyDescent="0.25">
      <c r="A28" s="98"/>
      <c r="B28" s="98"/>
      <c r="C28" s="116"/>
      <c r="D28" s="116"/>
      <c r="E28" s="116"/>
      <c r="F28" s="116"/>
      <c r="G28" s="116"/>
      <c r="H28" s="116"/>
      <c r="I28" s="117">
        <f t="shared" si="2"/>
        <v>0</v>
      </c>
      <c r="J28" s="98"/>
    </row>
    <row r="29" spans="1:10" x14ac:dyDescent="0.25">
      <c r="A29" s="98" t="str">
        <f>'Pro Forma'!A28</f>
        <v>Shop Wages:</v>
      </c>
      <c r="B29" s="98"/>
      <c r="C29" s="136"/>
      <c r="D29" s="116"/>
      <c r="E29" s="116"/>
      <c r="F29" s="116"/>
      <c r="G29" s="116"/>
      <c r="H29" s="116"/>
      <c r="I29" s="117">
        <f t="shared" si="2"/>
        <v>0</v>
      </c>
      <c r="J29" s="98"/>
    </row>
    <row r="30" spans="1:10" x14ac:dyDescent="0.25">
      <c r="A30" s="98" t="str">
        <f>'Pro Forma'!A29</f>
        <v xml:space="preserve">  Payroll Taxes</v>
      </c>
      <c r="B30" s="98"/>
      <c r="C30" s="136"/>
      <c r="D30" s="116"/>
      <c r="E30" s="116"/>
      <c r="F30" s="116"/>
      <c r="G30" s="116"/>
      <c r="H30" s="116"/>
      <c r="I30" s="117">
        <f t="shared" si="2"/>
        <v>0</v>
      </c>
      <c r="J30" s="98"/>
    </row>
    <row r="31" spans="1:10" x14ac:dyDescent="0.25">
      <c r="A31" s="98" t="str">
        <f>'Pro Forma'!A30</f>
        <v xml:space="preserve">  Benefits</v>
      </c>
      <c r="B31" s="98"/>
      <c r="C31" s="136"/>
      <c r="D31" s="116"/>
      <c r="E31" s="116"/>
      <c r="F31" s="116"/>
      <c r="G31" s="116"/>
      <c r="H31" s="116"/>
      <c r="I31" s="117">
        <f t="shared" si="2"/>
        <v>0</v>
      </c>
      <c r="J31" s="98"/>
    </row>
    <row r="32" spans="1:10" x14ac:dyDescent="0.25">
      <c r="A32" s="98" t="str">
        <f>'Pro Forma'!A31</f>
        <v xml:space="preserve">  Medical Expense</v>
      </c>
      <c r="B32" s="98"/>
      <c r="C32" s="136"/>
      <c r="D32" s="116"/>
      <c r="E32" s="116"/>
      <c r="F32" s="116"/>
      <c r="G32" s="116"/>
      <c r="H32" s="116"/>
      <c r="I32" s="117">
        <f t="shared" si="2"/>
        <v>0</v>
      </c>
      <c r="J32" s="98"/>
    </row>
    <row r="33" spans="1:10" x14ac:dyDescent="0.25">
      <c r="A33" s="98" t="str">
        <f>'Pro Forma'!A32</f>
        <v xml:space="preserve">  Other EE Costs</v>
      </c>
      <c r="B33" s="98"/>
      <c r="C33" s="136"/>
      <c r="D33" s="116"/>
      <c r="E33" s="116"/>
      <c r="F33" s="116"/>
      <c r="G33" s="116"/>
      <c r="H33" s="116"/>
      <c r="I33" s="117">
        <f t="shared" si="2"/>
        <v>0</v>
      </c>
      <c r="J33" s="98"/>
    </row>
    <row r="34" spans="1:10" x14ac:dyDescent="0.25">
      <c r="A34" s="98" t="str">
        <f>'Pro Forma'!A33</f>
        <v>Maint Fleet Equip</v>
      </c>
      <c r="B34" s="98"/>
      <c r="C34" s="116"/>
      <c r="D34" s="116"/>
      <c r="E34" s="116"/>
      <c r="F34" s="116"/>
      <c r="G34" s="116"/>
      <c r="H34" s="116"/>
      <c r="I34" s="117">
        <f t="shared" si="2"/>
        <v>0</v>
      </c>
      <c r="J34" s="98"/>
    </row>
    <row r="35" spans="1:10" x14ac:dyDescent="0.25">
      <c r="A35" s="98" t="str">
        <f>'Pro Forma'!A34</f>
        <v>Maint Outside Repair</v>
      </c>
      <c r="B35" s="98"/>
      <c r="C35" s="116"/>
      <c r="D35" s="116"/>
      <c r="E35" s="116"/>
      <c r="F35" s="116"/>
      <c r="G35" s="116"/>
      <c r="H35" s="116"/>
      <c r="I35" s="117">
        <f t="shared" si="2"/>
        <v>0</v>
      </c>
      <c r="J35" s="98"/>
    </row>
    <row r="36" spans="1:10" x14ac:dyDescent="0.25">
      <c r="A36" s="98" t="str">
        <f>'Pro Forma'!A35</f>
        <v>Maint Lubricants</v>
      </c>
      <c r="B36" s="98"/>
      <c r="C36" s="116"/>
      <c r="D36" s="116"/>
      <c r="E36" s="116"/>
      <c r="F36" s="116"/>
      <c r="G36" s="116"/>
      <c r="H36" s="116"/>
      <c r="I36" s="117">
        <f t="shared" si="2"/>
        <v>0</v>
      </c>
      <c r="J36" s="98"/>
    </row>
    <row r="37" spans="1:10" x14ac:dyDescent="0.25">
      <c r="A37" s="98" t="str">
        <f>'Pro Forma'!A36</f>
        <v>Fuel</v>
      </c>
      <c r="B37" s="98"/>
      <c r="C37" s="116"/>
      <c r="D37" s="116"/>
      <c r="E37" s="116"/>
      <c r="F37" s="116"/>
      <c r="G37" s="116"/>
      <c r="H37" s="116"/>
      <c r="I37" s="117">
        <f t="shared" si="2"/>
        <v>0</v>
      </c>
      <c r="J37" s="98"/>
    </row>
    <row r="38" spans="1:10" x14ac:dyDescent="0.25">
      <c r="A38" s="98" t="str">
        <f>'Pro Forma'!A37</f>
        <v>Tires</v>
      </c>
      <c r="B38" s="98"/>
      <c r="C38" s="116"/>
      <c r="D38" s="116"/>
      <c r="E38" s="116"/>
      <c r="F38" s="116"/>
      <c r="G38" s="116"/>
      <c r="H38" s="116"/>
      <c r="I38" s="117">
        <f t="shared" si="2"/>
        <v>0</v>
      </c>
      <c r="J38" s="98"/>
    </row>
    <row r="39" spans="1:10" x14ac:dyDescent="0.25">
      <c r="A39" s="98" t="str">
        <f>'Pro Forma'!A38</f>
        <v>Shop Supplies and Small Tools</v>
      </c>
      <c r="B39" s="98"/>
      <c r="C39" s="116"/>
      <c r="D39" s="116"/>
      <c r="E39" s="116"/>
      <c r="F39" s="116"/>
      <c r="G39" s="116"/>
      <c r="H39" s="116"/>
      <c r="I39" s="117">
        <f t="shared" si="2"/>
        <v>0</v>
      </c>
      <c r="J39" s="98"/>
    </row>
    <row r="40" spans="1:10" x14ac:dyDescent="0.25">
      <c r="A40" s="98" t="str">
        <f>'Pro Forma'!A39</f>
        <v>Shop utilities</v>
      </c>
      <c r="B40" s="98"/>
      <c r="C40" s="116"/>
      <c r="D40" s="116"/>
      <c r="E40" s="116"/>
      <c r="F40" s="116"/>
      <c r="G40" s="116"/>
      <c r="H40" s="116"/>
      <c r="I40" s="117">
        <f t="shared" si="2"/>
        <v>0</v>
      </c>
      <c r="J40" s="98"/>
    </row>
    <row r="41" spans="1:10" x14ac:dyDescent="0.25">
      <c r="A41" s="98" t="str">
        <f>'Pro Forma'!A40</f>
        <v>Building Maintenance</v>
      </c>
      <c r="B41" s="98"/>
      <c r="C41" s="116"/>
      <c r="D41" s="116"/>
      <c r="E41" s="116"/>
      <c r="F41" s="116"/>
      <c r="G41" s="116"/>
      <c r="H41" s="116"/>
      <c r="I41" s="117">
        <f t="shared" si="2"/>
        <v>0</v>
      </c>
      <c r="J41" s="98"/>
    </row>
    <row r="42" spans="1:10" x14ac:dyDescent="0.25">
      <c r="A42" s="98"/>
      <c r="B42" s="98"/>
      <c r="C42" s="116"/>
      <c r="D42" s="116"/>
      <c r="E42" s="116"/>
      <c r="F42" s="116"/>
      <c r="G42" s="116"/>
      <c r="H42" s="116"/>
      <c r="I42" s="117">
        <f t="shared" si="2"/>
        <v>0</v>
      </c>
      <c r="J42" s="98"/>
    </row>
    <row r="43" spans="1:10" x14ac:dyDescent="0.25">
      <c r="A43" s="98" t="str">
        <f>'Pro Forma'!A42</f>
        <v>Container Maint. Wages</v>
      </c>
      <c r="B43" s="98"/>
      <c r="C43" s="116"/>
      <c r="D43" s="116"/>
      <c r="E43" s="116"/>
      <c r="F43" s="116"/>
      <c r="G43" s="116"/>
      <c r="H43" s="116"/>
      <c r="I43" s="117">
        <f t="shared" si="2"/>
        <v>0</v>
      </c>
      <c r="J43" s="98"/>
    </row>
    <row r="44" spans="1:10" x14ac:dyDescent="0.25">
      <c r="A44" s="98" t="str">
        <f>'Pro Forma'!A43</f>
        <v xml:space="preserve">  Payroll Taxes</v>
      </c>
      <c r="B44" s="98"/>
      <c r="C44" s="116"/>
      <c r="D44" s="116"/>
      <c r="E44" s="116"/>
      <c r="F44" s="116"/>
      <c r="G44" s="116"/>
      <c r="H44" s="116"/>
      <c r="I44" s="117">
        <f t="shared" si="2"/>
        <v>0</v>
      </c>
      <c r="J44" s="98"/>
    </row>
    <row r="45" spans="1:10" x14ac:dyDescent="0.25">
      <c r="A45" s="98" t="str">
        <f>'Pro Forma'!A44</f>
        <v xml:space="preserve">  Benefits</v>
      </c>
      <c r="B45" s="98"/>
      <c r="C45" s="116"/>
      <c r="D45" s="116"/>
      <c r="E45" s="116"/>
      <c r="F45" s="116"/>
      <c r="G45" s="116"/>
      <c r="H45" s="116"/>
      <c r="I45" s="117">
        <f t="shared" si="2"/>
        <v>0</v>
      </c>
      <c r="J45" s="98"/>
    </row>
    <row r="46" spans="1:10" x14ac:dyDescent="0.25">
      <c r="A46" s="98" t="str">
        <f>'Pro Forma'!A45</f>
        <v xml:space="preserve">  Medical Expense</v>
      </c>
      <c r="B46" s="98"/>
      <c r="C46" s="116"/>
      <c r="D46" s="116"/>
      <c r="E46" s="116"/>
      <c r="F46" s="116"/>
      <c r="G46" s="116"/>
      <c r="H46" s="116"/>
      <c r="I46" s="117">
        <f t="shared" si="2"/>
        <v>0</v>
      </c>
      <c r="J46" s="98"/>
    </row>
    <row r="47" spans="1:10" x14ac:dyDescent="0.25">
      <c r="A47" s="98" t="str">
        <f>'Pro Forma'!A46</f>
        <v xml:space="preserve">  Contract Labor</v>
      </c>
      <c r="B47" s="98"/>
      <c r="C47" s="116"/>
      <c r="D47" s="116"/>
      <c r="E47" s="116"/>
      <c r="F47" s="116"/>
      <c r="G47" s="116"/>
      <c r="H47" s="116"/>
      <c r="I47" s="117">
        <f t="shared" si="2"/>
        <v>0</v>
      </c>
      <c r="J47" s="98"/>
    </row>
    <row r="48" spans="1:10" x14ac:dyDescent="0.25">
      <c r="A48" s="98" t="str">
        <f>'Pro Forma'!A47</f>
        <v>Cart Rents</v>
      </c>
      <c r="B48" s="98"/>
      <c r="C48" s="116"/>
      <c r="D48" s="116"/>
      <c r="E48" s="116"/>
      <c r="F48" s="116"/>
      <c r="G48" s="116"/>
      <c r="H48" s="116"/>
      <c r="I48" s="117">
        <f t="shared" si="2"/>
        <v>0</v>
      </c>
      <c r="J48" s="98"/>
    </row>
    <row r="49" spans="1:10" x14ac:dyDescent="0.25">
      <c r="A49" s="98" t="str">
        <f>'Pro Forma'!A48</f>
        <v>Depreciation Cont./Carts</v>
      </c>
      <c r="B49" s="98"/>
      <c r="C49" s="116"/>
      <c r="D49" s="116"/>
      <c r="E49" s="116">
        <f>-46166+129165</f>
        <v>82999</v>
      </c>
      <c r="F49" s="116"/>
      <c r="G49" s="116"/>
      <c r="H49" s="116"/>
      <c r="I49" s="117">
        <f t="shared" si="2"/>
        <v>82999</v>
      </c>
      <c r="J49" s="98" t="s">
        <v>3090</v>
      </c>
    </row>
    <row r="50" spans="1:10" x14ac:dyDescent="0.25">
      <c r="A50" s="98" t="str">
        <f>'Pro Forma'!A49</f>
        <v>Maintenance Containers</v>
      </c>
      <c r="B50" s="98"/>
      <c r="C50" s="116"/>
      <c r="D50" s="116"/>
      <c r="E50" s="116"/>
      <c r="F50" s="116"/>
      <c r="G50" s="116"/>
      <c r="H50" s="116"/>
      <c r="I50" s="117">
        <f t="shared" si="2"/>
        <v>0</v>
      </c>
      <c r="J50" s="98"/>
    </row>
    <row r="51" spans="1:10" x14ac:dyDescent="0.25">
      <c r="A51" s="98" t="str">
        <f>'Pro Forma'!A50</f>
        <v>Property Tax</v>
      </c>
      <c r="B51" s="98"/>
      <c r="C51" s="116"/>
      <c r="D51" s="116"/>
      <c r="E51" s="116"/>
      <c r="F51" s="116"/>
      <c r="G51" s="116"/>
      <c r="H51" s="116"/>
      <c r="I51" s="117">
        <f t="shared" si="2"/>
        <v>0</v>
      </c>
      <c r="J51" s="98"/>
    </row>
    <row r="52" spans="1:10" x14ac:dyDescent="0.25">
      <c r="A52" s="98" t="str">
        <f>'Pro Forma'!A51</f>
        <v>Insurance</v>
      </c>
      <c r="B52" s="98"/>
      <c r="C52" s="116"/>
      <c r="D52" s="116"/>
      <c r="E52" s="116"/>
      <c r="F52" s="116"/>
      <c r="G52" s="116"/>
      <c r="H52" s="116"/>
      <c r="I52" s="117">
        <f t="shared" si="2"/>
        <v>0</v>
      </c>
      <c r="J52" s="98"/>
    </row>
    <row r="53" spans="1:10" x14ac:dyDescent="0.25">
      <c r="A53" s="98"/>
      <c r="B53" s="98"/>
      <c r="C53" s="116"/>
      <c r="D53" s="116"/>
      <c r="E53" s="116"/>
      <c r="F53" s="116"/>
      <c r="G53" s="116"/>
      <c r="H53" s="116"/>
      <c r="I53" s="117">
        <f t="shared" si="2"/>
        <v>0</v>
      </c>
      <c r="J53" s="98"/>
    </row>
    <row r="54" spans="1:10" x14ac:dyDescent="0.25">
      <c r="A54" s="139" t="str">
        <f>'Pro Forma'!A53</f>
        <v>Officer Wages</v>
      </c>
      <c r="B54" s="98"/>
      <c r="C54" s="116"/>
      <c r="D54" s="116"/>
      <c r="E54" s="116"/>
      <c r="F54" s="116"/>
      <c r="G54" s="116"/>
      <c r="H54" s="116"/>
      <c r="I54" s="117">
        <f t="shared" si="2"/>
        <v>0</v>
      </c>
      <c r="J54" s="98"/>
    </row>
    <row r="55" spans="1:10" x14ac:dyDescent="0.25">
      <c r="A55" s="98" t="str">
        <f>'Pro Forma'!A54</f>
        <v xml:space="preserve">  Payroll Taxes</v>
      </c>
      <c r="B55" s="98"/>
      <c r="C55" s="116"/>
      <c r="D55" s="116"/>
      <c r="E55" s="116"/>
      <c r="F55" s="116"/>
      <c r="G55" s="116"/>
      <c r="H55" s="116"/>
      <c r="I55" s="117">
        <f t="shared" si="2"/>
        <v>0</v>
      </c>
      <c r="J55" s="98"/>
    </row>
    <row r="56" spans="1:10" x14ac:dyDescent="0.25">
      <c r="A56" s="98" t="str">
        <f>'Pro Forma'!A55</f>
        <v xml:space="preserve">  Benefits</v>
      </c>
      <c r="B56" s="98"/>
      <c r="C56" s="116"/>
      <c r="D56" s="116"/>
      <c r="E56" s="116"/>
      <c r="F56" s="116"/>
      <c r="G56" s="116"/>
      <c r="H56" s="116">
        <f>-'Stockholder Insurance'!N17</f>
        <v>-7848</v>
      </c>
      <c r="I56" s="117">
        <f t="shared" si="2"/>
        <v>-7848</v>
      </c>
      <c r="J56" s="98" t="s">
        <v>3093</v>
      </c>
    </row>
    <row r="57" spans="1:10" x14ac:dyDescent="0.25">
      <c r="A57" s="98" t="str">
        <f>'Pro Forma'!A56</f>
        <v xml:space="preserve">  Medical Expense</v>
      </c>
      <c r="B57" s="98"/>
      <c r="C57" s="116"/>
      <c r="D57" s="116"/>
      <c r="E57" s="116"/>
      <c r="F57" s="116"/>
      <c r="G57" s="116"/>
      <c r="H57" s="116"/>
      <c r="I57" s="117">
        <f t="shared" si="2"/>
        <v>0</v>
      </c>
      <c r="J57" s="98"/>
    </row>
    <row r="58" spans="1:10" x14ac:dyDescent="0.25">
      <c r="A58" s="98" t="str">
        <f>'Pro Forma'!A57</f>
        <v xml:space="preserve">  Other EE Costs</v>
      </c>
      <c r="B58" s="98"/>
      <c r="C58" s="116"/>
      <c r="D58" s="116"/>
      <c r="E58" s="116"/>
      <c r="F58" s="116"/>
      <c r="G58" s="116"/>
      <c r="H58" s="116"/>
      <c r="I58" s="117">
        <f t="shared" si="2"/>
        <v>0</v>
      </c>
      <c r="J58" s="98"/>
    </row>
    <row r="59" spans="1:10" x14ac:dyDescent="0.25">
      <c r="A59" s="98"/>
      <c r="B59" s="98"/>
      <c r="C59" s="116"/>
      <c r="D59" s="116"/>
      <c r="E59" s="116"/>
      <c r="F59" s="116"/>
      <c r="G59" s="116"/>
      <c r="H59" s="116"/>
      <c r="I59" s="117">
        <f t="shared" si="2"/>
        <v>0</v>
      </c>
      <c r="J59" s="98"/>
    </row>
    <row r="60" spans="1:10" x14ac:dyDescent="0.25">
      <c r="A60" s="98" t="str">
        <f>'Pro Forma'!A59</f>
        <v>Customer Service</v>
      </c>
      <c r="B60" s="98"/>
      <c r="C60" s="116"/>
      <c r="D60" s="116"/>
      <c r="E60" s="116"/>
      <c r="F60" s="116"/>
      <c r="G60" s="116"/>
      <c r="H60" s="116"/>
      <c r="I60" s="117">
        <f t="shared" si="2"/>
        <v>0</v>
      </c>
      <c r="J60" s="98"/>
    </row>
    <row r="61" spans="1:10" x14ac:dyDescent="0.25">
      <c r="A61" s="98" t="str">
        <f>'Pro Forma'!A60</f>
        <v xml:space="preserve">  Payroll Taxes</v>
      </c>
      <c r="B61" s="98"/>
      <c r="C61" s="116"/>
      <c r="D61" s="116"/>
      <c r="E61" s="116"/>
      <c r="F61" s="116"/>
      <c r="G61" s="116"/>
      <c r="H61" s="116"/>
      <c r="I61" s="117">
        <f t="shared" si="2"/>
        <v>0</v>
      </c>
      <c r="J61" s="98"/>
    </row>
    <row r="62" spans="1:10" x14ac:dyDescent="0.25">
      <c r="A62" s="98" t="str">
        <f>'Pro Forma'!A61</f>
        <v xml:space="preserve">  Benefits</v>
      </c>
      <c r="B62" s="98"/>
      <c r="C62" s="116"/>
      <c r="D62" s="116"/>
      <c r="E62" s="116"/>
      <c r="F62" s="116"/>
      <c r="G62" s="116"/>
      <c r="H62" s="116"/>
      <c r="I62" s="117">
        <f t="shared" si="2"/>
        <v>0</v>
      </c>
      <c r="J62" s="98"/>
    </row>
    <row r="63" spans="1:10" x14ac:dyDescent="0.25">
      <c r="A63" s="98" t="str">
        <f>'Pro Forma'!A62</f>
        <v xml:space="preserve">  Medical Expense</v>
      </c>
      <c r="B63" s="98"/>
      <c r="C63" s="116"/>
      <c r="D63" s="116"/>
      <c r="E63" s="116"/>
      <c r="F63" s="116"/>
      <c r="G63" s="116"/>
      <c r="H63" s="116"/>
      <c r="I63" s="117">
        <f t="shared" si="2"/>
        <v>0</v>
      </c>
      <c r="J63" s="98"/>
    </row>
    <row r="64" spans="1:10" x14ac:dyDescent="0.25">
      <c r="A64" s="98" t="str">
        <f>'Pro Forma'!A63</f>
        <v xml:space="preserve">  Other EE Costs</v>
      </c>
      <c r="B64" s="98"/>
      <c r="C64" s="116"/>
      <c r="D64" s="116"/>
      <c r="E64" s="116"/>
      <c r="F64" s="116"/>
      <c r="G64" s="116"/>
      <c r="H64" s="116"/>
      <c r="I64" s="117">
        <f t="shared" si="2"/>
        <v>0</v>
      </c>
      <c r="J64" s="98"/>
    </row>
    <row r="65" spans="1:10" x14ac:dyDescent="0.25">
      <c r="A65" s="98"/>
      <c r="B65" s="98"/>
      <c r="C65" s="116"/>
      <c r="D65" s="116"/>
      <c r="E65" s="116"/>
      <c r="F65" s="116"/>
      <c r="G65" s="116"/>
      <c r="H65" s="116"/>
      <c r="I65" s="117">
        <f t="shared" si="2"/>
        <v>0</v>
      </c>
      <c r="J65" s="98"/>
    </row>
    <row r="66" spans="1:10" x14ac:dyDescent="0.25">
      <c r="A66" s="98" t="s">
        <v>2770</v>
      </c>
      <c r="B66" s="98"/>
      <c r="C66" s="116"/>
      <c r="D66" s="116"/>
      <c r="E66" s="116"/>
      <c r="F66" s="116"/>
      <c r="G66" s="116"/>
      <c r="H66" s="116"/>
      <c r="I66" s="117">
        <f t="shared" si="2"/>
        <v>0</v>
      </c>
      <c r="J66" s="98"/>
    </row>
    <row r="67" spans="1:10" x14ac:dyDescent="0.25">
      <c r="A67" s="98" t="s">
        <v>280</v>
      </c>
      <c r="B67" s="98"/>
      <c r="C67" s="116"/>
      <c r="D67" s="116"/>
      <c r="E67" s="116"/>
      <c r="F67" s="116"/>
      <c r="G67" s="116"/>
      <c r="H67" s="116"/>
      <c r="I67" s="117">
        <f t="shared" si="2"/>
        <v>0</v>
      </c>
      <c r="J67" s="98"/>
    </row>
    <row r="68" spans="1:10" x14ac:dyDescent="0.25">
      <c r="A68" s="98" t="s">
        <v>281</v>
      </c>
      <c r="B68" s="98"/>
      <c r="C68" s="116"/>
      <c r="D68" s="116"/>
      <c r="E68" s="116"/>
      <c r="F68" s="116"/>
      <c r="G68" s="116"/>
      <c r="H68" s="116"/>
      <c r="I68" s="117">
        <f t="shared" si="2"/>
        <v>0</v>
      </c>
      <c r="J68" s="98"/>
    </row>
    <row r="69" spans="1:10" x14ac:dyDescent="0.25">
      <c r="A69" s="98" t="s">
        <v>283</v>
      </c>
      <c r="B69" s="98"/>
      <c r="C69" s="116"/>
      <c r="D69" s="116"/>
      <c r="E69" s="116"/>
      <c r="F69" s="116"/>
      <c r="G69" s="116"/>
      <c r="H69" s="116"/>
      <c r="I69" s="117">
        <f t="shared" si="2"/>
        <v>0</v>
      </c>
      <c r="J69" s="98"/>
    </row>
    <row r="70" spans="1:10" x14ac:dyDescent="0.25">
      <c r="A70" s="98" t="s">
        <v>285</v>
      </c>
      <c r="B70" s="98"/>
      <c r="C70" s="116"/>
      <c r="D70" s="116"/>
      <c r="E70" s="116"/>
      <c r="F70" s="116"/>
      <c r="G70" s="116"/>
      <c r="H70" s="116"/>
      <c r="I70" s="117">
        <f t="shared" si="2"/>
        <v>0</v>
      </c>
      <c r="J70" s="98"/>
    </row>
    <row r="71" spans="1:10" x14ac:dyDescent="0.25">
      <c r="A71" s="98"/>
      <c r="B71" s="98"/>
      <c r="C71" s="116"/>
      <c r="D71" s="116"/>
      <c r="E71" s="116"/>
      <c r="F71" s="116"/>
      <c r="G71" s="116"/>
      <c r="H71" s="116"/>
      <c r="I71" s="117">
        <f t="shared" si="2"/>
        <v>0</v>
      </c>
      <c r="J71" s="98"/>
    </row>
    <row r="72" spans="1:10" x14ac:dyDescent="0.25">
      <c r="A72" s="98" t="str">
        <f>'Pro Forma'!A71</f>
        <v>City Taxes</v>
      </c>
      <c r="B72" s="98"/>
      <c r="C72" s="116"/>
      <c r="D72" s="116"/>
      <c r="E72" s="116"/>
      <c r="F72" s="116"/>
      <c r="G72" s="116"/>
      <c r="H72" s="116"/>
      <c r="I72" s="117">
        <f t="shared" si="2"/>
        <v>0</v>
      </c>
      <c r="J72" s="98"/>
    </row>
    <row r="73" spans="1:10" x14ac:dyDescent="0.25">
      <c r="A73" s="98" t="str">
        <f>'Pro Forma'!A72</f>
        <v>State Excise Tax</v>
      </c>
      <c r="B73" s="98"/>
      <c r="C73" s="116"/>
      <c r="D73" s="116"/>
      <c r="E73" s="116"/>
      <c r="F73" s="116"/>
      <c r="G73" s="116"/>
      <c r="H73" s="116"/>
      <c r="I73" s="117">
        <f t="shared" si="2"/>
        <v>0</v>
      </c>
      <c r="J73" s="98"/>
    </row>
    <row r="74" spans="1:10" x14ac:dyDescent="0.25">
      <c r="A74" s="98" t="str">
        <f>'Pro Forma'!A73</f>
        <v>WUTC Reg Fees</v>
      </c>
      <c r="B74" s="98"/>
      <c r="C74" s="116"/>
      <c r="D74" s="116"/>
      <c r="E74" s="116"/>
      <c r="F74" s="116"/>
      <c r="G74" s="116"/>
      <c r="H74" s="116"/>
      <c r="I74" s="117">
        <f t="shared" si="2"/>
        <v>0</v>
      </c>
      <c r="J74" s="98"/>
    </row>
    <row r="75" spans="1:10" x14ac:dyDescent="0.25">
      <c r="A75" s="98" t="str">
        <f>'Pro Forma'!A74</f>
        <v xml:space="preserve">Other Taxes &amp; Licenses        </v>
      </c>
      <c r="B75" s="98"/>
      <c r="C75" s="116"/>
      <c r="D75" s="116"/>
      <c r="E75" s="116"/>
      <c r="F75" s="116"/>
      <c r="G75" s="116"/>
      <c r="H75" s="116"/>
      <c r="I75" s="117">
        <f t="shared" si="2"/>
        <v>0</v>
      </c>
      <c r="J75" s="98"/>
    </row>
    <row r="76" spans="1:10" x14ac:dyDescent="0.25">
      <c r="A76" s="98" t="str">
        <f>'Pro Forma'!A75</f>
        <v xml:space="preserve">Building &amp; Prop Maint         </v>
      </c>
      <c r="B76" s="98"/>
      <c r="C76" s="116"/>
      <c r="D76" s="116"/>
      <c r="E76" s="116"/>
      <c r="F76" s="116"/>
      <c r="G76" s="116"/>
      <c r="H76" s="116"/>
      <c r="I76" s="117">
        <f t="shared" si="2"/>
        <v>0</v>
      </c>
      <c r="J76" s="98"/>
    </row>
    <row r="77" spans="1:10" x14ac:dyDescent="0.25">
      <c r="A77" s="98" t="str">
        <f>'Pro Forma'!A76</f>
        <v xml:space="preserve">Office Supplies, Postage, &amp; Exp         </v>
      </c>
      <c r="B77" s="98"/>
      <c r="C77" s="116"/>
      <c r="D77" s="116"/>
      <c r="E77" s="116"/>
      <c r="F77" s="116"/>
      <c r="G77" s="116"/>
      <c r="H77" s="116"/>
      <c r="I77" s="117">
        <f t="shared" si="2"/>
        <v>0</v>
      </c>
      <c r="J77" s="98"/>
    </row>
    <row r="78" spans="1:10" x14ac:dyDescent="0.25">
      <c r="A78" s="98" t="str">
        <f>'Pro Forma'!A77</f>
        <v xml:space="preserve">Utilities                     </v>
      </c>
      <c r="B78" s="98"/>
      <c r="C78" s="116"/>
      <c r="D78" s="116"/>
      <c r="E78" s="116"/>
      <c r="F78" s="116"/>
      <c r="G78" s="116"/>
      <c r="H78" s="116"/>
      <c r="I78" s="117">
        <f t="shared" si="2"/>
        <v>0</v>
      </c>
      <c r="J78" s="98"/>
    </row>
    <row r="79" spans="1:10" x14ac:dyDescent="0.25">
      <c r="A79" s="98" t="str">
        <f>'Pro Forma'!A78</f>
        <v xml:space="preserve">Telephone, Internet, &amp; Radio  </v>
      </c>
      <c r="B79" s="98"/>
      <c r="C79" s="116"/>
      <c r="D79" s="116"/>
      <c r="E79" s="116"/>
      <c r="F79" s="116"/>
      <c r="G79" s="116"/>
      <c r="H79" s="116"/>
      <c r="I79" s="117">
        <f t="shared" si="2"/>
        <v>0</v>
      </c>
      <c r="J79" s="98"/>
    </row>
    <row r="80" spans="1:10" x14ac:dyDescent="0.25">
      <c r="A80" s="98" t="str">
        <f>'Pro Forma'!A79</f>
        <v xml:space="preserve">Computer Expense              </v>
      </c>
      <c r="B80" s="98"/>
      <c r="C80" s="116"/>
      <c r="D80" s="116"/>
      <c r="E80" s="116"/>
      <c r="F80" s="116"/>
      <c r="G80" s="116"/>
      <c r="H80" s="116"/>
      <c r="I80" s="117">
        <f t="shared" si="2"/>
        <v>0</v>
      </c>
      <c r="J80" s="98"/>
    </row>
    <row r="81" spans="1:10" x14ac:dyDescent="0.25">
      <c r="A81" s="98" t="str">
        <f>'Pro Forma'!A80</f>
        <v xml:space="preserve">Dues &amp; Subscriptions          </v>
      </c>
      <c r="B81" s="98"/>
      <c r="C81" s="116"/>
      <c r="D81" s="136"/>
      <c r="E81" s="116"/>
      <c r="F81" s="116"/>
      <c r="G81" s="116">
        <f>-21480*0.15</f>
        <v>-3222</v>
      </c>
      <c r="H81" s="116"/>
      <c r="I81" s="117">
        <f t="shared" si="2"/>
        <v>-3222</v>
      </c>
      <c r="J81" s="98" t="s">
        <v>3092</v>
      </c>
    </row>
    <row r="82" spans="1:10" x14ac:dyDescent="0.25">
      <c r="A82" s="98" t="str">
        <f>'Pro Forma'!A81</f>
        <v xml:space="preserve">Contributions                 </v>
      </c>
      <c r="B82" s="98"/>
      <c r="C82" s="116"/>
      <c r="D82" s="145"/>
      <c r="E82" s="116"/>
      <c r="F82" s="116"/>
      <c r="G82" s="116"/>
      <c r="H82" s="116"/>
      <c r="I82" s="117">
        <f t="shared" si="2"/>
        <v>0</v>
      </c>
      <c r="J82" s="98"/>
    </row>
    <row r="83" spans="1:10" x14ac:dyDescent="0.25">
      <c r="A83" s="98" t="str">
        <f>'Pro Forma'!A82</f>
        <v>Advertising</v>
      </c>
      <c r="B83" s="98"/>
      <c r="C83" s="116"/>
      <c r="D83" s="136"/>
      <c r="E83" s="116"/>
      <c r="F83" s="116"/>
      <c r="G83" s="116"/>
      <c r="H83" s="116"/>
      <c r="I83" s="117">
        <f t="shared" ref="I83:I97" si="3">SUM(C83:H83)</f>
        <v>0</v>
      </c>
      <c r="J83" s="98"/>
    </row>
    <row r="84" spans="1:10" x14ac:dyDescent="0.25">
      <c r="A84" s="98" t="str">
        <f>'Pro Forma'!A83</f>
        <v>Newsletter Expense</v>
      </c>
      <c r="B84" s="98"/>
      <c r="C84" s="116"/>
      <c r="D84" s="136"/>
      <c r="E84" s="116"/>
      <c r="F84" s="116"/>
      <c r="G84" s="116"/>
      <c r="H84" s="116"/>
      <c r="I84" s="117">
        <f t="shared" si="3"/>
        <v>0</v>
      </c>
      <c r="J84" s="98"/>
    </row>
    <row r="85" spans="1:10" x14ac:dyDescent="0.25">
      <c r="A85" s="98" t="str">
        <f>'Pro Forma'!A84</f>
        <v>Travel</v>
      </c>
      <c r="B85" s="98"/>
      <c r="C85" s="116"/>
      <c r="D85" s="136"/>
      <c r="E85" s="116"/>
      <c r="F85" s="116"/>
      <c r="G85" s="116"/>
      <c r="H85" s="116"/>
      <c r="I85" s="117">
        <f t="shared" si="3"/>
        <v>0</v>
      </c>
      <c r="J85" s="98"/>
    </row>
    <row r="86" spans="1:10" x14ac:dyDescent="0.25">
      <c r="A86" s="98" t="str">
        <f>'Pro Forma'!A85</f>
        <v>Consulting &amp; Lobbying</v>
      </c>
      <c r="B86" s="98"/>
      <c r="C86" s="116"/>
      <c r="D86" s="136"/>
      <c r="E86" s="116"/>
      <c r="F86" s="116">
        <f>-'Lobby Expense'!N17</f>
        <v>-27176.219999999998</v>
      </c>
      <c r="G86" s="116"/>
      <c r="H86" s="116"/>
      <c r="I86" s="117">
        <f t="shared" si="3"/>
        <v>-27176.219999999998</v>
      </c>
      <c r="J86" s="98" t="s">
        <v>3091</v>
      </c>
    </row>
    <row r="87" spans="1:10" x14ac:dyDescent="0.25">
      <c r="A87" s="98" t="str">
        <f>'Pro Forma'!A86</f>
        <v xml:space="preserve">Law &amp; Outside Accounting      </v>
      </c>
      <c r="B87" s="98"/>
      <c r="C87" s="116"/>
      <c r="D87" s="116"/>
      <c r="E87" s="116"/>
      <c r="F87" s="116"/>
      <c r="G87" s="116"/>
      <c r="H87" s="116"/>
      <c r="I87" s="117">
        <f t="shared" si="3"/>
        <v>0</v>
      </c>
      <c r="J87" s="98"/>
    </row>
    <row r="88" spans="1:10" x14ac:dyDescent="0.25">
      <c r="A88" s="98" t="str">
        <f>'Pro Forma'!A87</f>
        <v xml:space="preserve">Legal Fees Plp Matters        </v>
      </c>
      <c r="B88" s="98"/>
      <c r="C88" s="116"/>
      <c r="D88" s="116"/>
      <c r="E88" s="116">
        <v>48197</v>
      </c>
      <c r="F88" s="116"/>
      <c r="G88" s="116"/>
      <c r="H88" s="116"/>
      <c r="I88" s="117">
        <f t="shared" si="3"/>
        <v>48197</v>
      </c>
      <c r="J88" s="98" t="s">
        <v>3090</v>
      </c>
    </row>
    <row r="89" spans="1:10" x14ac:dyDescent="0.25">
      <c r="A89" s="98" t="str">
        <f>'Pro Forma'!A88</f>
        <v xml:space="preserve">Depreciation - Office Equip   </v>
      </c>
      <c r="B89" s="98"/>
      <c r="C89" s="116"/>
      <c r="D89" s="116"/>
      <c r="E89" s="116">
        <f>9103-4647</f>
        <v>4456</v>
      </c>
      <c r="F89" s="116"/>
      <c r="G89" s="116"/>
      <c r="H89" s="116"/>
      <c r="I89" s="117">
        <f t="shared" si="3"/>
        <v>4456</v>
      </c>
      <c r="J89" s="98" t="s">
        <v>3090</v>
      </c>
    </row>
    <row r="90" spans="1:10" x14ac:dyDescent="0.25">
      <c r="A90" s="98" t="str">
        <f>'Pro Forma'!A89</f>
        <v>Depreciation - Service Cars &amp; Equip</v>
      </c>
      <c r="B90" s="98"/>
      <c r="C90" s="116"/>
      <c r="D90" s="116"/>
      <c r="E90" s="116">
        <v>12767</v>
      </c>
      <c r="F90" s="116"/>
      <c r="G90" s="116"/>
      <c r="H90" s="116"/>
      <c r="I90" s="117">
        <f t="shared" si="3"/>
        <v>12767</v>
      </c>
      <c r="J90" s="98" t="s">
        <v>3090</v>
      </c>
    </row>
    <row r="91" spans="1:10" x14ac:dyDescent="0.25">
      <c r="A91" s="98" t="str">
        <f>'Pro Forma'!A90</f>
        <v xml:space="preserve">Rent - Office Facility        </v>
      </c>
      <c r="B91" s="98"/>
      <c r="C91" s="116"/>
      <c r="D91" s="116"/>
      <c r="E91" s="116"/>
      <c r="F91" s="116"/>
      <c r="G91" s="116"/>
      <c r="H91" s="116"/>
      <c r="I91" s="117">
        <f t="shared" si="3"/>
        <v>0</v>
      </c>
      <c r="J91" s="98"/>
    </row>
    <row r="92" spans="1:10" x14ac:dyDescent="0.25">
      <c r="A92" s="98" t="str">
        <f>'Pro Forma'!A91</f>
        <v xml:space="preserve">Bad Debts &amp; Collection Exp    </v>
      </c>
      <c r="B92" s="98"/>
      <c r="C92" s="116"/>
      <c r="D92" s="116"/>
      <c r="E92" s="116"/>
      <c r="F92" s="116"/>
      <c r="G92" s="116"/>
      <c r="H92" s="116"/>
      <c r="I92" s="117">
        <f t="shared" si="3"/>
        <v>0</v>
      </c>
      <c r="J92" s="98"/>
    </row>
    <row r="93" spans="1:10" x14ac:dyDescent="0.25">
      <c r="A93" s="100" t="str">
        <f>'Pro Forma'!A92</f>
        <v xml:space="preserve">Misc Expense                  </v>
      </c>
      <c r="B93" s="98"/>
      <c r="C93" s="116"/>
      <c r="D93" s="116"/>
      <c r="E93" s="116"/>
      <c r="F93" s="116"/>
      <c r="G93" s="116"/>
      <c r="H93" s="116"/>
      <c r="I93" s="117">
        <f t="shared" si="3"/>
        <v>0</v>
      </c>
      <c r="J93" s="98"/>
    </row>
    <row r="94" spans="1:10" x14ac:dyDescent="0.25">
      <c r="A94" s="99" t="str">
        <f>'Pro Forma'!A93</f>
        <v>Dump Fees Pasco Coupons</v>
      </c>
      <c r="B94" s="98"/>
      <c r="C94" s="116"/>
      <c r="D94" s="116"/>
      <c r="E94" s="116"/>
      <c r="F94" s="116"/>
      <c r="G94" s="116"/>
      <c r="H94" s="116"/>
      <c r="I94" s="117">
        <f t="shared" si="3"/>
        <v>0</v>
      </c>
      <c r="J94" s="98"/>
    </row>
    <row r="95" spans="1:10" x14ac:dyDescent="0.25">
      <c r="A95" s="99" t="str">
        <f>'Pro Forma'!A94</f>
        <v xml:space="preserve">Interest Income               </v>
      </c>
      <c r="B95" s="98"/>
      <c r="C95" s="116"/>
      <c r="D95" s="116">
        <f>-'Pro Forma'!C94</f>
        <v>451.78</v>
      </c>
      <c r="E95" s="116"/>
      <c r="F95" s="116"/>
      <c r="G95" s="116"/>
      <c r="H95" s="116"/>
      <c r="I95" s="117">
        <f t="shared" si="3"/>
        <v>451.78</v>
      </c>
      <c r="J95" s="98"/>
    </row>
    <row r="96" spans="1:10" x14ac:dyDescent="0.25">
      <c r="A96" s="99" t="str">
        <f>'Pro Forma'!A95</f>
        <v xml:space="preserve">Interest Expense              </v>
      </c>
      <c r="B96" s="98"/>
      <c r="C96" s="116"/>
      <c r="D96" s="116">
        <f>-'Pro Forma'!C95</f>
        <v>-1076.6399999999999</v>
      </c>
      <c r="E96" s="116"/>
      <c r="F96" s="116"/>
      <c r="G96" s="116"/>
      <c r="H96" s="116"/>
      <c r="I96" s="117">
        <f t="shared" si="3"/>
        <v>-1076.6399999999999</v>
      </c>
      <c r="J96" s="98"/>
    </row>
    <row r="97" spans="1:10" x14ac:dyDescent="0.25">
      <c r="A97" s="99" t="str">
        <f>'Pro Forma'!A96</f>
        <v xml:space="preserve">Federal Income Taxes          </v>
      </c>
      <c r="B97" s="98"/>
      <c r="C97" s="116"/>
      <c r="D97" s="116"/>
      <c r="E97" s="116"/>
      <c r="F97" s="116"/>
      <c r="G97" s="116"/>
      <c r="H97" s="116"/>
      <c r="I97" s="117">
        <f t="shared" si="3"/>
        <v>0</v>
      </c>
      <c r="J97" s="98"/>
    </row>
    <row r="98" spans="1:10" x14ac:dyDescent="0.25">
      <c r="A98" s="98"/>
      <c r="B98" s="98"/>
      <c r="C98" s="117"/>
      <c r="D98" s="98"/>
      <c r="E98" s="98"/>
      <c r="F98" s="98"/>
      <c r="G98" s="98"/>
      <c r="H98" s="98"/>
      <c r="I98" s="117"/>
      <c r="J98" s="98"/>
    </row>
    <row r="99" spans="1:10" ht="16.5" thickBot="1" x14ac:dyDescent="0.3">
      <c r="A99" s="98" t="str">
        <f>'Pro Forma'!A98</f>
        <v>Total Expense</v>
      </c>
      <c r="B99" s="98"/>
      <c r="C99" s="147">
        <f t="shared" ref="C99:I99" si="4">SUM(C16:C97)</f>
        <v>0</v>
      </c>
      <c r="D99" s="147">
        <f t="shared" si="4"/>
        <v>-624.8599999999999</v>
      </c>
      <c r="E99" s="147">
        <f t="shared" si="4"/>
        <v>45360</v>
      </c>
      <c r="F99" s="147">
        <f t="shared" si="4"/>
        <v>-27176.219999999998</v>
      </c>
      <c r="G99" s="147">
        <f t="shared" si="4"/>
        <v>-3222</v>
      </c>
      <c r="H99" s="147">
        <f t="shared" si="4"/>
        <v>-7848</v>
      </c>
      <c r="I99" s="147">
        <f t="shared" si="4"/>
        <v>6488.9199999999983</v>
      </c>
      <c r="J99" s="98"/>
    </row>
    <row r="100" spans="1:10" ht="16.5" thickTop="1" x14ac:dyDescent="0.25">
      <c r="A100" s="99"/>
      <c r="B100" s="99"/>
      <c r="C100" s="99"/>
      <c r="D100" s="99"/>
      <c r="E100" s="99"/>
      <c r="F100" s="99"/>
      <c r="G100" s="99"/>
      <c r="H100" s="99"/>
      <c r="I100" s="99"/>
      <c r="J100" s="99"/>
    </row>
    <row r="101" spans="1:10" x14ac:dyDescent="0.25">
      <c r="A101" s="99"/>
      <c r="B101" s="99"/>
      <c r="C101" s="99"/>
      <c r="D101" s="99"/>
      <c r="E101" s="99"/>
      <c r="F101" s="99"/>
      <c r="G101" s="99"/>
      <c r="H101" s="99"/>
      <c r="I101" s="99"/>
      <c r="J101" s="99"/>
    </row>
  </sheetData>
  <pageMargins left="0.7" right="0.7" top="0.75" bottom="0.75" header="0.3" footer="0.3"/>
  <pageSetup scale="75" fitToHeight="0" orientation="landscape" r:id="rId1"/>
  <headerFooter>
    <oddFooter>&amp;L&amp;D&amp;C&amp;A&amp;RPage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05"/>
  <sheetViews>
    <sheetView workbookViewId="0">
      <selection activeCell="M20" sqref="M20"/>
    </sheetView>
  </sheetViews>
  <sheetFormatPr defaultRowHeight="15.75" x14ac:dyDescent="0.25"/>
  <cols>
    <col min="1" max="1" width="23.6640625" customWidth="1"/>
    <col min="2" max="2" width="5.44140625" customWidth="1"/>
    <col min="3" max="15" width="11.77734375" customWidth="1"/>
    <col min="16" max="16" width="33.5546875" customWidth="1"/>
  </cols>
  <sheetData>
    <row r="1" spans="1:16" x14ac:dyDescent="0.25">
      <c r="A1" s="98" t="s">
        <v>232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9"/>
    </row>
    <row r="2" spans="1:16" x14ac:dyDescent="0.25">
      <c r="A2" s="98" t="s">
        <v>233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9"/>
    </row>
    <row r="3" spans="1:16" x14ac:dyDescent="0.25">
      <c r="A3" s="98"/>
      <c r="B3" s="98"/>
      <c r="C3" s="103" t="s">
        <v>248</v>
      </c>
      <c r="D3" s="103" t="s">
        <v>249</v>
      </c>
      <c r="E3" s="103" t="s">
        <v>250</v>
      </c>
      <c r="F3" s="103" t="s">
        <v>251</v>
      </c>
      <c r="G3" s="103" t="s">
        <v>252</v>
      </c>
      <c r="H3" s="103" t="s">
        <v>3160</v>
      </c>
      <c r="I3" s="103" t="s">
        <v>3161</v>
      </c>
      <c r="J3" s="103" t="s">
        <v>3204</v>
      </c>
      <c r="K3" s="103" t="s">
        <v>3205</v>
      </c>
      <c r="L3" s="103" t="s">
        <v>3238</v>
      </c>
      <c r="M3" s="103" t="s">
        <v>3240</v>
      </c>
      <c r="N3" s="617" t="s">
        <v>3283</v>
      </c>
      <c r="O3" s="103" t="s">
        <v>82</v>
      </c>
      <c r="P3" s="104" t="s">
        <v>247</v>
      </c>
    </row>
    <row r="4" spans="1:16" x14ac:dyDescent="0.25">
      <c r="A4" s="98"/>
      <c r="B4" s="98"/>
      <c r="C4" s="103" t="s">
        <v>2787</v>
      </c>
      <c r="D4" s="103" t="s">
        <v>2787</v>
      </c>
      <c r="E4" s="103" t="s">
        <v>261</v>
      </c>
      <c r="F4" s="103" t="s">
        <v>3109</v>
      </c>
      <c r="G4" s="103" t="s">
        <v>263</v>
      </c>
      <c r="H4" s="103" t="s">
        <v>3158</v>
      </c>
      <c r="I4" s="103" t="s">
        <v>3162</v>
      </c>
      <c r="J4" s="103" t="s">
        <v>3174</v>
      </c>
      <c r="K4" s="103" t="s">
        <v>3206</v>
      </c>
      <c r="L4" s="103" t="s">
        <v>3239</v>
      </c>
      <c r="M4" s="103" t="s">
        <v>3211</v>
      </c>
      <c r="N4" s="98" t="s">
        <v>3284</v>
      </c>
      <c r="O4" s="98"/>
      <c r="P4" s="99"/>
    </row>
    <row r="5" spans="1:16" x14ac:dyDescent="0.25">
      <c r="A5" s="98"/>
      <c r="B5" s="98"/>
      <c r="C5" s="618" t="s">
        <v>25</v>
      </c>
      <c r="D5" s="618" t="s">
        <v>265</v>
      </c>
      <c r="E5" s="617" t="s">
        <v>264</v>
      </c>
      <c r="F5" s="617" t="s">
        <v>262</v>
      </c>
      <c r="G5" s="617" t="s">
        <v>265</v>
      </c>
      <c r="H5" s="617" t="s">
        <v>3159</v>
      </c>
      <c r="I5" s="617" t="s">
        <v>3163</v>
      </c>
      <c r="J5" s="617" t="s">
        <v>2788</v>
      </c>
      <c r="K5" s="617" t="s">
        <v>3207</v>
      </c>
      <c r="L5" s="617" t="s">
        <v>310</v>
      </c>
      <c r="M5" s="617" t="s">
        <v>3241</v>
      </c>
      <c r="N5" s="617" t="s">
        <v>2788</v>
      </c>
      <c r="O5" s="98"/>
      <c r="P5" s="99"/>
    </row>
    <row r="6" spans="1:16" x14ac:dyDescent="0.25">
      <c r="A6" s="106" t="s">
        <v>25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6" x14ac:dyDescent="0.25">
      <c r="A7" s="98" t="str">
        <f>'Restating Adjustments'!A7</f>
        <v>WUTC - Residential</v>
      </c>
      <c r="B7" s="98"/>
      <c r="C7" s="112">
        <v>58615</v>
      </c>
      <c r="D7" s="112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1">
        <f t="shared" ref="O7:O14" si="0">SUM(C7:N7)</f>
        <v>58615</v>
      </c>
      <c r="P7" s="99" t="s">
        <v>3094</v>
      </c>
    </row>
    <row r="8" spans="1:16" x14ac:dyDescent="0.25">
      <c r="A8" s="98" t="str">
        <f>'Restating Adjustments'!A8</f>
        <v>WUTC - Commercial</v>
      </c>
      <c r="B8" s="98"/>
      <c r="C8" s="116">
        <v>44408</v>
      </c>
      <c r="D8" s="116"/>
      <c r="E8" s="116"/>
      <c r="F8" s="115"/>
      <c r="G8" s="115"/>
      <c r="H8" s="115"/>
      <c r="I8" s="115"/>
      <c r="J8" s="115"/>
      <c r="K8" s="115"/>
      <c r="L8" s="115"/>
      <c r="M8" s="115"/>
      <c r="N8" s="115"/>
      <c r="O8" s="117">
        <f t="shared" si="0"/>
        <v>44408</v>
      </c>
      <c r="P8" s="99" t="s">
        <v>3247</v>
      </c>
    </row>
    <row r="9" spans="1:16" x14ac:dyDescent="0.25">
      <c r="A9" s="98" t="str">
        <f>'Restating Adjustments'!A9</f>
        <v>WUCT - Drop Box</v>
      </c>
      <c r="B9" s="98"/>
      <c r="C9" s="116"/>
      <c r="D9" s="116"/>
      <c r="E9" s="115"/>
      <c r="F9" s="115"/>
      <c r="G9" s="115"/>
      <c r="H9" s="115"/>
      <c r="I9" s="115"/>
      <c r="J9" s="115"/>
      <c r="K9" s="609"/>
      <c r="L9" s="609"/>
      <c r="M9" s="609"/>
      <c r="N9" s="115"/>
      <c r="O9" s="117">
        <f t="shared" si="0"/>
        <v>0</v>
      </c>
      <c r="P9" s="99"/>
    </row>
    <row r="10" spans="1:16" x14ac:dyDescent="0.25">
      <c r="A10" s="98" t="str">
        <f>'Restating Adjustments'!A10</f>
        <v>WUTC - Pass Through</v>
      </c>
      <c r="B10" s="98"/>
      <c r="C10" s="116">
        <v>148363</v>
      </c>
      <c r="D10" s="116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7">
        <f t="shared" si="0"/>
        <v>148363</v>
      </c>
      <c r="P10" s="99"/>
    </row>
    <row r="11" spans="1:16" x14ac:dyDescent="0.25">
      <c r="A11" s="98" t="str">
        <f>'Pro Forma'!A10</f>
        <v xml:space="preserve">WUTC - Other </v>
      </c>
      <c r="B11" s="98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7">
        <f t="shared" si="0"/>
        <v>0</v>
      </c>
      <c r="P11" s="99"/>
    </row>
    <row r="12" spans="1:16" x14ac:dyDescent="0.25">
      <c r="A12" s="98"/>
      <c r="B12" s="98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7">
        <f t="shared" si="0"/>
        <v>0</v>
      </c>
      <c r="P12" s="99"/>
    </row>
    <row r="13" spans="1:16" x14ac:dyDescent="0.25">
      <c r="A13" s="98" t="s">
        <v>273</v>
      </c>
      <c r="B13" s="98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17">
        <f t="shared" si="0"/>
        <v>0</v>
      </c>
      <c r="P13" s="99"/>
    </row>
    <row r="14" spans="1:16" x14ac:dyDescent="0.25">
      <c r="A14" s="98" t="s">
        <v>274</v>
      </c>
      <c r="B14" s="98"/>
      <c r="C14" s="117">
        <f>SUM(C7:C13)</f>
        <v>251386</v>
      </c>
      <c r="D14" s="117">
        <f t="shared" ref="D14:N14" si="1">SUM(D7:D13)</f>
        <v>0</v>
      </c>
      <c r="E14" s="117">
        <f t="shared" si="1"/>
        <v>0</v>
      </c>
      <c r="F14" s="117">
        <f t="shared" si="1"/>
        <v>0</v>
      </c>
      <c r="G14" s="117">
        <f t="shared" si="1"/>
        <v>0</v>
      </c>
      <c r="H14" s="117">
        <f t="shared" si="1"/>
        <v>0</v>
      </c>
      <c r="I14" s="117">
        <f t="shared" si="1"/>
        <v>0</v>
      </c>
      <c r="J14" s="117">
        <f t="shared" si="1"/>
        <v>0</v>
      </c>
      <c r="K14" s="117">
        <f t="shared" si="1"/>
        <v>0</v>
      </c>
      <c r="L14" s="117">
        <f t="shared" si="1"/>
        <v>0</v>
      </c>
      <c r="M14" s="117">
        <f t="shared" si="1"/>
        <v>0</v>
      </c>
      <c r="N14" s="117">
        <f t="shared" si="1"/>
        <v>0</v>
      </c>
      <c r="O14" s="117">
        <f t="shared" si="0"/>
        <v>251386</v>
      </c>
      <c r="P14" s="99"/>
    </row>
    <row r="15" spans="1:16" x14ac:dyDescent="0.25">
      <c r="A15" s="126" t="s">
        <v>30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98"/>
      <c r="P15" s="100" t="s">
        <v>3245</v>
      </c>
    </row>
    <row r="16" spans="1:16" x14ac:dyDescent="0.25">
      <c r="A16" s="98" t="str">
        <f>'Pro Forma'!A15</f>
        <v>Disposal Fees</v>
      </c>
      <c r="B16" s="98"/>
      <c r="C16" s="116"/>
      <c r="D16" s="116">
        <f>13992*7.21+20577*7.21</f>
        <v>249242.49</v>
      </c>
      <c r="E16" s="115"/>
      <c r="F16" s="115"/>
      <c r="G16" s="115"/>
      <c r="H16" s="115"/>
      <c r="I16" s="115"/>
      <c r="J16" s="116">
        <v>512902</v>
      </c>
      <c r="K16" s="447"/>
      <c r="L16" s="447"/>
      <c r="M16" s="447"/>
      <c r="N16" s="115"/>
      <c r="O16" s="117">
        <f>SUM(C16:N16)</f>
        <v>762144.49</v>
      </c>
      <c r="P16" s="100" t="s">
        <v>3246</v>
      </c>
    </row>
    <row r="17" spans="1:16" x14ac:dyDescent="0.2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100" t="s">
        <v>2808</v>
      </c>
    </row>
    <row r="18" spans="1:16" x14ac:dyDescent="0.25">
      <c r="A18" s="98" t="str">
        <f>'Pro Forma'!A17</f>
        <v>Driver Wages:</v>
      </c>
      <c r="B18" s="98"/>
      <c r="C18" s="116"/>
      <c r="D18" s="116"/>
      <c r="E18" s="116">
        <f>+'Labor Pro Forma Adjustment'!K23</f>
        <v>243240.44834999999</v>
      </c>
      <c r="F18" s="116"/>
      <c r="G18" s="116"/>
      <c r="H18" s="116"/>
      <c r="I18" s="116"/>
      <c r="J18" s="116"/>
      <c r="K18" s="116">
        <f>+'New Hire Salary Adjustment'!Q12</f>
        <v>10909.340000000004</v>
      </c>
      <c r="L18" s="116"/>
      <c r="M18" s="116"/>
      <c r="N18" s="116"/>
      <c r="O18" s="117">
        <f t="shared" ref="O18:O81" si="2">SUM(C18:N18)</f>
        <v>254149.78834999999</v>
      </c>
      <c r="P18" s="99" t="s">
        <v>3248</v>
      </c>
    </row>
    <row r="19" spans="1:16" x14ac:dyDescent="0.25">
      <c r="A19" s="98" t="str">
        <f>'Pro Forma'!A18</f>
        <v xml:space="preserve">  Payroll Taxes</v>
      </c>
      <c r="B19" s="98"/>
      <c r="C19" s="116"/>
      <c r="D19" s="116"/>
      <c r="E19" s="116"/>
      <c r="F19" s="116"/>
      <c r="G19" s="116"/>
      <c r="H19" s="116"/>
      <c r="I19" s="116">
        <f>+'L&amp;I Cost Increase Calc'!N124</f>
        <v>13325.958620999996</v>
      </c>
      <c r="J19" s="116"/>
      <c r="K19" s="116">
        <f>+'New Hire Salary Adjustment'!Q16+'New Hire Salary Adjustment'!Q18</f>
        <v>1904.7707640000008</v>
      </c>
      <c r="L19" s="116"/>
      <c r="M19" s="116"/>
      <c r="N19" s="116"/>
      <c r="O19" s="117">
        <f t="shared" si="2"/>
        <v>15230.729384999997</v>
      </c>
      <c r="P19" s="99" t="s">
        <v>3248</v>
      </c>
    </row>
    <row r="20" spans="1:16" x14ac:dyDescent="0.25">
      <c r="A20" s="98" t="str">
        <f>'Pro Forma'!A19</f>
        <v xml:space="preserve">  Benefits</v>
      </c>
      <c r="B20" s="98"/>
      <c r="C20" s="116"/>
      <c r="D20" s="116"/>
      <c r="E20" s="116"/>
      <c r="F20" s="116"/>
      <c r="G20" s="116"/>
      <c r="H20" s="116"/>
      <c r="I20" s="116"/>
      <c r="J20" s="116"/>
      <c r="K20" s="116">
        <f>+'New Hire Salary Adjustment'!Q17</f>
        <v>436.37360000000018</v>
      </c>
      <c r="L20" s="116"/>
      <c r="M20" s="116">
        <f>+'401K Contribution'!D13</f>
        <v>13073.75</v>
      </c>
      <c r="N20" s="116"/>
      <c r="O20" s="117">
        <f t="shared" si="2"/>
        <v>13510.123600000001</v>
      </c>
      <c r="P20" s="99" t="s">
        <v>3249</v>
      </c>
    </row>
    <row r="21" spans="1:16" x14ac:dyDescent="0.25">
      <c r="A21" s="98" t="str">
        <f>'Pro Forma'!A20</f>
        <v xml:space="preserve">  Medical Expense</v>
      </c>
      <c r="B21" s="98"/>
      <c r="C21" s="116"/>
      <c r="D21" s="116"/>
      <c r="E21" s="138"/>
      <c r="F21" s="116"/>
      <c r="G21" s="116"/>
      <c r="H21" s="116">
        <f>+'Medical Insurance '!N123</f>
        <v>54315.546128999973</v>
      </c>
      <c r="I21" s="116"/>
      <c r="J21" s="116"/>
      <c r="K21" s="116">
        <v>1329</v>
      </c>
      <c r="L21" s="116"/>
      <c r="M21" s="116"/>
      <c r="N21" s="116"/>
      <c r="O21" s="117">
        <f t="shared" si="2"/>
        <v>55644.546128999973</v>
      </c>
      <c r="P21" s="99" t="s">
        <v>3250</v>
      </c>
    </row>
    <row r="22" spans="1:16" x14ac:dyDescent="0.25">
      <c r="A22" s="98" t="str">
        <f>'Pro Forma'!A21</f>
        <v xml:space="preserve">  Other EE Costs</v>
      </c>
      <c r="B22" s="98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7">
        <f t="shared" si="2"/>
        <v>0</v>
      </c>
      <c r="P22" s="140"/>
    </row>
    <row r="23" spans="1:16" x14ac:dyDescent="0.25">
      <c r="A23" s="100" t="str">
        <f>'Pro Forma'!A22</f>
        <v>Insurance Premiums</v>
      </c>
      <c r="B23" s="100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7">
        <f t="shared" si="2"/>
        <v>0</v>
      </c>
      <c r="P23" s="140"/>
    </row>
    <row r="24" spans="1:16" x14ac:dyDescent="0.25">
      <c r="A24" s="98" t="str">
        <f>'Pro Forma'!A23</f>
        <v>Fleet Deprec</v>
      </c>
      <c r="B24" s="98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>
        <f t="shared" si="2"/>
        <v>0</v>
      </c>
      <c r="P24" s="99"/>
    </row>
    <row r="25" spans="1:16" x14ac:dyDescent="0.25">
      <c r="A25" s="98" t="str">
        <f>'Pro Forma'!A24</f>
        <v>Rent- Maint Facility</v>
      </c>
      <c r="B25" s="98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>
        <f t="shared" si="2"/>
        <v>0</v>
      </c>
      <c r="P25" s="99"/>
    </row>
    <row r="26" spans="1:16" x14ac:dyDescent="0.25">
      <c r="A26" s="98" t="str">
        <f>'Pro Forma'!A25</f>
        <v>Shop Depreciation</v>
      </c>
      <c r="B26" s="98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7">
        <f t="shared" si="2"/>
        <v>0</v>
      </c>
      <c r="P26" s="99"/>
    </row>
    <row r="27" spans="1:16" x14ac:dyDescent="0.25">
      <c r="A27" s="98" t="str">
        <f>'Pro Forma'!A26</f>
        <v>Vehicle License</v>
      </c>
      <c r="B27" s="98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7">
        <f t="shared" si="2"/>
        <v>0</v>
      </c>
      <c r="P27" s="99"/>
    </row>
    <row r="28" spans="1:16" x14ac:dyDescent="0.25">
      <c r="A28" s="98"/>
      <c r="B28" s="98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7">
        <f t="shared" si="2"/>
        <v>0</v>
      </c>
      <c r="P28" s="99"/>
    </row>
    <row r="29" spans="1:16" x14ac:dyDescent="0.25">
      <c r="A29" s="98" t="str">
        <f>'Pro Forma'!A28</f>
        <v>Shop Wages:</v>
      </c>
      <c r="B29" s="98"/>
      <c r="C29" s="116"/>
      <c r="D29" s="116"/>
      <c r="E29" s="116">
        <f>+'Labor Pro Forma Adjustment'!L23</f>
        <v>76096.501700000066</v>
      </c>
      <c r="F29" s="116"/>
      <c r="G29" s="116"/>
      <c r="H29" s="116"/>
      <c r="I29" s="116"/>
      <c r="J29" s="116"/>
      <c r="K29" s="116">
        <f>+'New Hire Salary Adjustment'!R12</f>
        <v>35360</v>
      </c>
      <c r="L29" s="116"/>
      <c r="M29" s="116"/>
      <c r="N29" s="116"/>
      <c r="O29" s="117">
        <f t="shared" si="2"/>
        <v>111456.50170000007</v>
      </c>
      <c r="P29" s="99" t="s">
        <v>3248</v>
      </c>
    </row>
    <row r="30" spans="1:16" x14ac:dyDescent="0.25">
      <c r="A30" s="98" t="str">
        <f>'Pro Forma'!A29</f>
        <v xml:space="preserve">  Payroll Taxes</v>
      </c>
      <c r="B30" s="98"/>
      <c r="C30" s="116"/>
      <c r="D30" s="116"/>
      <c r="E30" s="116"/>
      <c r="F30" s="116"/>
      <c r="G30" s="116"/>
      <c r="H30" s="116"/>
      <c r="I30" s="116">
        <f>+'L&amp;I Cost Increase Calc'!N48</f>
        <v>1849.1316929999998</v>
      </c>
      <c r="J30" s="116"/>
      <c r="K30" s="116">
        <f>+'New Hire Salary Adjustment'!R16+'New Hire Salary Adjustment'!R18</f>
        <v>6173.8559999999998</v>
      </c>
      <c r="L30" s="116"/>
      <c r="M30" s="116"/>
      <c r="N30" s="116"/>
      <c r="O30" s="117">
        <f t="shared" si="2"/>
        <v>8022.9876929999991</v>
      </c>
      <c r="P30" s="99" t="s">
        <v>3248</v>
      </c>
    </row>
    <row r="31" spans="1:16" x14ac:dyDescent="0.25">
      <c r="A31" s="98" t="str">
        <f>'Pro Forma'!A30</f>
        <v xml:space="preserve">  Benefits</v>
      </c>
      <c r="B31" s="98"/>
      <c r="C31" s="116"/>
      <c r="D31" s="116"/>
      <c r="E31" s="116"/>
      <c r="F31" s="116"/>
      <c r="G31" s="116"/>
      <c r="H31" s="116">
        <f>+'Medical Insurance '!N46</f>
        <v>1583.5409069999996</v>
      </c>
      <c r="I31" s="116"/>
      <c r="J31" s="116"/>
      <c r="K31" s="116">
        <f>+'New Hire Salary Adjustment'!R17</f>
        <v>1414.4</v>
      </c>
      <c r="L31" s="116"/>
      <c r="M31" s="116"/>
      <c r="N31" s="116"/>
      <c r="O31" s="117">
        <f t="shared" si="2"/>
        <v>2997.9409069999997</v>
      </c>
      <c r="P31" s="99" t="s">
        <v>3249</v>
      </c>
    </row>
    <row r="32" spans="1:16" x14ac:dyDescent="0.25">
      <c r="A32" s="98" t="str">
        <f>'Pro Forma'!A31</f>
        <v xml:space="preserve">  Medical Expense</v>
      </c>
      <c r="B32" s="98"/>
      <c r="C32" s="116"/>
      <c r="D32" s="116"/>
      <c r="E32" s="116"/>
      <c r="F32" s="116"/>
      <c r="G32" s="116"/>
      <c r="H32" s="116"/>
      <c r="I32" s="116"/>
      <c r="J32" s="116"/>
      <c r="K32" s="116">
        <f>+'New Hire Salary Adjustment'!R15</f>
        <v>4243.2</v>
      </c>
      <c r="L32" s="116"/>
      <c r="M32" s="116"/>
      <c r="N32" s="116"/>
      <c r="O32" s="117">
        <f t="shared" si="2"/>
        <v>4243.2</v>
      </c>
      <c r="P32" s="99" t="s">
        <v>3250</v>
      </c>
    </row>
    <row r="33" spans="1:16" x14ac:dyDescent="0.25">
      <c r="A33" s="98" t="str">
        <f>'Pro Forma'!A32</f>
        <v xml:space="preserve">  Other EE Costs</v>
      </c>
      <c r="B33" s="98"/>
      <c r="C33" s="116"/>
      <c r="D33" s="116"/>
      <c r="E33" s="138"/>
      <c r="F33" s="116"/>
      <c r="G33" s="116"/>
      <c r="H33" s="116"/>
      <c r="I33" s="116"/>
      <c r="J33" s="116"/>
      <c r="K33" s="116"/>
      <c r="L33" s="116"/>
      <c r="M33" s="116"/>
      <c r="N33" s="116"/>
      <c r="O33" s="117">
        <f t="shared" si="2"/>
        <v>0</v>
      </c>
      <c r="P33" s="99"/>
    </row>
    <row r="34" spans="1:16" x14ac:dyDescent="0.25">
      <c r="A34" s="98" t="str">
        <f>'Pro Forma'!A33</f>
        <v>Maint Fleet Equip</v>
      </c>
      <c r="B34" s="98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7">
        <f t="shared" si="2"/>
        <v>0</v>
      </c>
      <c r="P34" s="99"/>
    </row>
    <row r="35" spans="1:16" x14ac:dyDescent="0.25">
      <c r="A35" s="98" t="str">
        <f>'Pro Forma'!A34</f>
        <v>Maint Outside Repair</v>
      </c>
      <c r="B35" s="98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7">
        <f t="shared" si="2"/>
        <v>0</v>
      </c>
      <c r="P35" s="99"/>
    </row>
    <row r="36" spans="1:16" x14ac:dyDescent="0.25">
      <c r="A36" s="98" t="str">
        <f>'Pro Forma'!A35</f>
        <v>Maint Lubricants</v>
      </c>
      <c r="B36" s="98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7">
        <f t="shared" si="2"/>
        <v>0</v>
      </c>
      <c r="P36" s="99"/>
    </row>
    <row r="37" spans="1:16" x14ac:dyDescent="0.25">
      <c r="A37" s="98" t="str">
        <f>'Pro Forma'!A36</f>
        <v>Fuel</v>
      </c>
      <c r="B37" s="98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7">
        <f t="shared" si="2"/>
        <v>0</v>
      </c>
      <c r="P37" s="99"/>
    </row>
    <row r="38" spans="1:16" x14ac:dyDescent="0.25">
      <c r="A38" s="98" t="str">
        <f>'Pro Forma'!A37</f>
        <v>Tires</v>
      </c>
      <c r="B38" s="98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7">
        <f t="shared" si="2"/>
        <v>0</v>
      </c>
      <c r="P38" s="99"/>
    </row>
    <row r="39" spans="1:16" x14ac:dyDescent="0.25">
      <c r="A39" s="98" t="str">
        <f>'Pro Forma'!A38</f>
        <v>Shop Supplies and Small Tools</v>
      </c>
      <c r="B39" s="98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7">
        <f t="shared" si="2"/>
        <v>0</v>
      </c>
      <c r="P39" s="99"/>
    </row>
    <row r="40" spans="1:16" x14ac:dyDescent="0.25">
      <c r="A40" s="98" t="str">
        <f>'Pro Forma'!A39</f>
        <v>Shop utilities</v>
      </c>
      <c r="B40" s="98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>
        <f t="shared" si="2"/>
        <v>0</v>
      </c>
      <c r="P40" s="99"/>
    </row>
    <row r="41" spans="1:16" x14ac:dyDescent="0.25">
      <c r="A41" s="98" t="str">
        <f>'Pro Forma'!A40</f>
        <v>Building Maintenance</v>
      </c>
      <c r="B41" s="98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>
        <f t="shared" si="2"/>
        <v>0</v>
      </c>
      <c r="P41" s="99"/>
    </row>
    <row r="42" spans="1:16" x14ac:dyDescent="0.25">
      <c r="A42" s="98"/>
      <c r="B42" s="98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7">
        <f t="shared" si="2"/>
        <v>0</v>
      </c>
      <c r="P42" s="99"/>
    </row>
    <row r="43" spans="1:16" x14ac:dyDescent="0.25">
      <c r="A43" s="98" t="str">
        <f>'Pro Forma'!A42</f>
        <v>Container Maint. Wages</v>
      </c>
      <c r="B43" s="98"/>
      <c r="C43" s="116"/>
      <c r="D43" s="116"/>
      <c r="E43" s="116"/>
      <c r="F43" s="116"/>
      <c r="G43" s="116"/>
      <c r="H43" s="116"/>
      <c r="I43" s="116"/>
      <c r="J43" s="116"/>
      <c r="K43" s="116">
        <f>+'New Hire Salary Adjustment'!S12</f>
        <v>28600</v>
      </c>
      <c r="L43" s="116"/>
      <c r="M43" s="116"/>
      <c r="N43" s="116"/>
      <c r="O43" s="117">
        <f t="shared" si="2"/>
        <v>28600</v>
      </c>
      <c r="P43" s="99" t="s">
        <v>3248</v>
      </c>
    </row>
    <row r="44" spans="1:16" x14ac:dyDescent="0.25">
      <c r="A44" s="98" t="str">
        <f>'Pro Forma'!A43</f>
        <v xml:space="preserve">  Payroll Taxes</v>
      </c>
      <c r="B44" s="98"/>
      <c r="C44" s="116"/>
      <c r="D44" s="116"/>
      <c r="E44" s="116"/>
      <c r="F44" s="116"/>
      <c r="G44" s="116"/>
      <c r="H44" s="116"/>
      <c r="I44" s="116">
        <f>+'L&amp;I Cost Increase Calc'!N18</f>
        <v>1181.1966750000004</v>
      </c>
      <c r="J44" s="116"/>
      <c r="K44" s="116">
        <f>+'New Hire Salary Adjustment'!S16+'New Hire Salary Adjustment'!S18</f>
        <v>4993.5600000000004</v>
      </c>
      <c r="L44" s="116"/>
      <c r="M44" s="116"/>
      <c r="N44" s="116"/>
      <c r="O44" s="117">
        <f t="shared" si="2"/>
        <v>6174.7566750000005</v>
      </c>
      <c r="P44" s="99" t="s">
        <v>3248</v>
      </c>
    </row>
    <row r="45" spans="1:16" x14ac:dyDescent="0.25">
      <c r="A45" s="98" t="str">
        <f>'Pro Forma'!A44</f>
        <v xml:space="preserve">  Benefits</v>
      </c>
      <c r="B45" s="98"/>
      <c r="C45" s="116"/>
      <c r="D45" s="116"/>
      <c r="E45" s="116"/>
      <c r="F45" s="116"/>
      <c r="G45" s="116"/>
      <c r="H45" s="116">
        <f>+'Medical Insurance '!N18</f>
        <v>2191.6704030000001</v>
      </c>
      <c r="I45" s="116"/>
      <c r="J45" s="116"/>
      <c r="K45" s="116">
        <f>+'New Hire Salary Adjustment'!S17</f>
        <v>1144</v>
      </c>
      <c r="L45" s="116"/>
      <c r="M45" s="116"/>
      <c r="N45" s="116"/>
      <c r="O45" s="117">
        <f t="shared" si="2"/>
        <v>3335.6704030000001</v>
      </c>
      <c r="P45" s="99" t="s">
        <v>3249</v>
      </c>
    </row>
    <row r="46" spans="1:16" x14ac:dyDescent="0.25">
      <c r="A46" s="98" t="str">
        <f>'Pro Forma'!A45</f>
        <v xml:space="preserve">  Medical Expense</v>
      </c>
      <c r="B46" s="98"/>
      <c r="C46" s="116"/>
      <c r="D46" s="116"/>
      <c r="E46" s="138"/>
      <c r="F46" s="116"/>
      <c r="G46" s="116"/>
      <c r="H46" s="116"/>
      <c r="I46" s="116"/>
      <c r="J46" s="116"/>
      <c r="K46" s="116">
        <f>+'New Hire Salary Adjustment'!S15</f>
        <v>3432</v>
      </c>
      <c r="L46" s="116"/>
      <c r="M46" s="116"/>
      <c r="N46" s="116"/>
      <c r="O46" s="117">
        <f t="shared" si="2"/>
        <v>3432</v>
      </c>
      <c r="P46" s="99" t="s">
        <v>3250</v>
      </c>
    </row>
    <row r="47" spans="1:16" x14ac:dyDescent="0.25">
      <c r="A47" s="98" t="str">
        <f>'Pro Forma'!A46</f>
        <v xml:space="preserve">  Contract Labor</v>
      </c>
      <c r="B47" s="98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7">
        <f t="shared" si="2"/>
        <v>0</v>
      </c>
      <c r="P47" s="99"/>
    </row>
    <row r="48" spans="1:16" x14ac:dyDescent="0.25">
      <c r="A48" s="98" t="str">
        <f>'Pro Forma'!A47</f>
        <v>Cart Rents</v>
      </c>
      <c r="B48" s="98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7">
        <f t="shared" si="2"/>
        <v>0</v>
      </c>
      <c r="P48" s="99"/>
    </row>
    <row r="49" spans="1:16" x14ac:dyDescent="0.25">
      <c r="A49" s="98" t="str">
        <f>'Pro Forma'!A48</f>
        <v>Depreciation Cont./Carts</v>
      </c>
      <c r="B49" s="98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7">
        <f t="shared" si="2"/>
        <v>0</v>
      </c>
      <c r="P49" s="99"/>
    </row>
    <row r="50" spans="1:16" x14ac:dyDescent="0.25">
      <c r="A50" s="98" t="str">
        <f>'Pro Forma'!A49</f>
        <v>Maintenance Containers</v>
      </c>
      <c r="B50" s="98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7">
        <f t="shared" si="2"/>
        <v>0</v>
      </c>
      <c r="P50" s="99"/>
    </row>
    <row r="51" spans="1:16" x14ac:dyDescent="0.25">
      <c r="A51" s="98" t="str">
        <f>'Pro Forma'!A50</f>
        <v>Property Tax</v>
      </c>
      <c r="B51" s="98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7">
        <f t="shared" si="2"/>
        <v>0</v>
      </c>
      <c r="P51" s="99"/>
    </row>
    <row r="52" spans="1:16" x14ac:dyDescent="0.25">
      <c r="A52" s="98" t="str">
        <f>'Pro Forma'!A51</f>
        <v>Insurance</v>
      </c>
      <c r="B52" s="98"/>
      <c r="C52" s="116"/>
      <c r="D52" s="116"/>
      <c r="E52" s="116"/>
      <c r="F52" s="116"/>
      <c r="G52" s="116"/>
      <c r="H52" s="116"/>
      <c r="I52" s="116"/>
      <c r="J52" s="116"/>
      <c r="K52" s="116"/>
      <c r="L52" s="116">
        <f>+'General Insurance'!E43</f>
        <v>8538.1249210682872</v>
      </c>
      <c r="M52" s="116"/>
      <c r="N52" s="116"/>
      <c r="O52" s="117">
        <f t="shared" si="2"/>
        <v>8538.1249210682872</v>
      </c>
      <c r="P52" s="99"/>
    </row>
    <row r="53" spans="1:16" x14ac:dyDescent="0.25">
      <c r="A53" s="98"/>
      <c r="B53" s="98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7">
        <f t="shared" si="2"/>
        <v>0</v>
      </c>
      <c r="P53" s="99"/>
    </row>
    <row r="54" spans="1:16" x14ac:dyDescent="0.25">
      <c r="A54" s="98" t="str">
        <f>'Pro Forma'!A53</f>
        <v>Officer Wages</v>
      </c>
      <c r="B54" s="98"/>
      <c r="C54" s="116"/>
      <c r="D54" s="116"/>
      <c r="E54" s="116">
        <f>+'Labor Pro Forma Adjustment'!I23</f>
        <v>11253.75</v>
      </c>
      <c r="F54" s="116"/>
      <c r="G54" s="116"/>
      <c r="H54" s="116"/>
      <c r="I54" s="116"/>
      <c r="J54" s="116"/>
      <c r="K54" s="116"/>
      <c r="L54" s="116"/>
      <c r="M54" s="116"/>
      <c r="N54" s="116"/>
      <c r="O54" s="117">
        <f t="shared" si="2"/>
        <v>11253.75</v>
      </c>
      <c r="P54" s="99" t="s">
        <v>3248</v>
      </c>
    </row>
    <row r="55" spans="1:16" x14ac:dyDescent="0.25">
      <c r="A55" s="98" t="str">
        <f>'Pro Forma'!A54</f>
        <v xml:space="preserve">  Payroll Taxes</v>
      </c>
      <c r="B55" s="98"/>
      <c r="C55" s="116"/>
      <c r="D55" s="116"/>
      <c r="E55" s="116"/>
      <c r="F55" s="116"/>
      <c r="G55" s="116"/>
      <c r="H55" s="116"/>
      <c r="I55" s="116">
        <f>+'L&amp;I Cost Increase Calc'!N186</f>
        <v>3.244631</v>
      </c>
      <c r="J55" s="116"/>
      <c r="K55" s="116"/>
      <c r="L55" s="116"/>
      <c r="M55" s="116"/>
      <c r="N55" s="116"/>
      <c r="O55" s="117">
        <f t="shared" si="2"/>
        <v>3.244631</v>
      </c>
      <c r="P55" s="99" t="s">
        <v>3248</v>
      </c>
    </row>
    <row r="56" spans="1:16" x14ac:dyDescent="0.25">
      <c r="A56" s="98" t="str">
        <f>'Pro Forma'!A55</f>
        <v xml:space="preserve">  Benefits</v>
      </c>
      <c r="B56" s="98"/>
      <c r="C56" s="116"/>
      <c r="D56" s="116"/>
      <c r="E56" s="116"/>
      <c r="F56" s="116"/>
      <c r="G56" s="116"/>
      <c r="H56" s="116">
        <f>+'Medical Insurance '!N185</f>
        <v>1662.0812129999995</v>
      </c>
      <c r="I56" s="116"/>
      <c r="J56" s="116"/>
      <c r="K56" s="116"/>
      <c r="L56" s="116"/>
      <c r="M56" s="116"/>
      <c r="N56" s="116"/>
      <c r="O56" s="117">
        <f t="shared" si="2"/>
        <v>1662.0812129999995</v>
      </c>
      <c r="P56" s="99" t="s">
        <v>3249</v>
      </c>
    </row>
    <row r="57" spans="1:16" x14ac:dyDescent="0.25">
      <c r="A57" s="98" t="str">
        <f>'Pro Forma'!A56</f>
        <v xml:space="preserve">  Medical Expense</v>
      </c>
      <c r="B57" s="98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7">
        <f t="shared" si="2"/>
        <v>0</v>
      </c>
      <c r="P57" s="99" t="s">
        <v>3250</v>
      </c>
    </row>
    <row r="58" spans="1:16" x14ac:dyDescent="0.25">
      <c r="A58" s="98" t="str">
        <f>'Pro Forma'!A57</f>
        <v xml:space="preserve">  Other EE Costs</v>
      </c>
      <c r="B58" s="98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7">
        <f t="shared" si="2"/>
        <v>0</v>
      </c>
      <c r="P58" s="99"/>
    </row>
    <row r="59" spans="1:16" x14ac:dyDescent="0.25">
      <c r="A59" s="98"/>
      <c r="B59" s="98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7">
        <f t="shared" si="2"/>
        <v>0</v>
      </c>
      <c r="P59" s="99"/>
    </row>
    <row r="60" spans="1:16" x14ac:dyDescent="0.25">
      <c r="A60" s="98" t="str">
        <f>'Pro Forma'!A59</f>
        <v>Customer Service</v>
      </c>
      <c r="B60" s="98"/>
      <c r="C60" s="116"/>
      <c r="D60" s="116"/>
      <c r="E60" s="116">
        <f>+'Labor Pro Forma Adjustment'!J23</f>
        <v>2333.0440000000162</v>
      </c>
      <c r="F60" s="116"/>
      <c r="G60" s="116"/>
      <c r="H60" s="116"/>
      <c r="I60" s="116"/>
      <c r="J60" s="116"/>
      <c r="K60" s="116">
        <f>+'New Hire Salary Adjustment'!P12</f>
        <v>35360</v>
      </c>
      <c r="L60" s="116"/>
      <c r="M60" s="116"/>
      <c r="N60" s="116"/>
      <c r="O60" s="117">
        <f t="shared" si="2"/>
        <v>37693.044000000016</v>
      </c>
      <c r="P60" s="99" t="s">
        <v>3248</v>
      </c>
    </row>
    <row r="61" spans="1:16" x14ac:dyDescent="0.25">
      <c r="A61" s="98" t="str">
        <f>'Pro Forma'!A60</f>
        <v xml:space="preserve">  Payroll Taxes</v>
      </c>
      <c r="B61" s="98"/>
      <c r="C61" s="116"/>
      <c r="D61" s="116"/>
      <c r="E61" s="116"/>
      <c r="F61" s="116"/>
      <c r="G61" s="116"/>
      <c r="H61" s="116"/>
      <c r="I61" s="116">
        <f>+'L&amp;I Cost Increase Calc'!N141</f>
        <v>13.290179000000002</v>
      </c>
      <c r="J61" s="116"/>
      <c r="K61" s="116">
        <f>+'New Hire Salary Adjustment'!P16+'New Hire Salary Adjustment'!P18</f>
        <v>2963.1680000000001</v>
      </c>
      <c r="L61" s="116"/>
      <c r="M61" s="116"/>
      <c r="N61" s="116"/>
      <c r="O61" s="117">
        <f t="shared" si="2"/>
        <v>2976.4581790000002</v>
      </c>
      <c r="P61" s="99" t="s">
        <v>3248</v>
      </c>
    </row>
    <row r="62" spans="1:16" x14ac:dyDescent="0.25">
      <c r="A62" s="98" t="str">
        <f>'Pro Forma'!A61</f>
        <v xml:space="preserve">  Benefits</v>
      </c>
      <c r="B62" s="98"/>
      <c r="C62" s="116"/>
      <c r="D62" s="116"/>
      <c r="E62" s="116"/>
      <c r="F62" s="116"/>
      <c r="G62" s="116"/>
      <c r="H62" s="116">
        <f>+'Medical Insurance '!N140</f>
        <v>9441.9226980000021</v>
      </c>
      <c r="I62" s="116"/>
      <c r="J62" s="116"/>
      <c r="K62" s="116">
        <f>+'New Hire Salary Adjustment'!P17</f>
        <v>1414.4</v>
      </c>
      <c r="L62" s="116"/>
      <c r="M62" s="116"/>
      <c r="N62" s="116"/>
      <c r="O62" s="117">
        <f t="shared" si="2"/>
        <v>10856.322698000002</v>
      </c>
      <c r="P62" s="99" t="s">
        <v>3249</v>
      </c>
    </row>
    <row r="63" spans="1:16" x14ac:dyDescent="0.25">
      <c r="A63" s="98" t="str">
        <f>'Pro Forma'!A62</f>
        <v xml:space="preserve">  Medical Expense</v>
      </c>
      <c r="B63" s="98"/>
      <c r="C63" s="116"/>
      <c r="D63" s="116"/>
      <c r="E63" s="116"/>
      <c r="F63" s="116"/>
      <c r="G63" s="116"/>
      <c r="H63" s="116"/>
      <c r="I63" s="116"/>
      <c r="J63" s="116"/>
      <c r="K63" s="116">
        <f>+'New Hire Salary Adjustment'!P15</f>
        <v>4243.2</v>
      </c>
      <c r="L63" s="116"/>
      <c r="M63" s="116"/>
      <c r="N63" s="116"/>
      <c r="O63" s="117">
        <f t="shared" si="2"/>
        <v>4243.2</v>
      </c>
      <c r="P63" s="99" t="s">
        <v>3250</v>
      </c>
    </row>
    <row r="64" spans="1:16" x14ac:dyDescent="0.25">
      <c r="A64" s="98" t="str">
        <f>'Pro Forma'!A63</f>
        <v xml:space="preserve">  Other EE Costs</v>
      </c>
      <c r="B64" s="98"/>
      <c r="C64" s="116"/>
      <c r="D64" s="116"/>
      <c r="E64" s="138"/>
      <c r="F64" s="116"/>
      <c r="G64" s="116"/>
      <c r="H64" s="116"/>
      <c r="I64" s="116"/>
      <c r="J64" s="116"/>
      <c r="K64" s="116"/>
      <c r="L64" s="116"/>
      <c r="M64" s="116"/>
      <c r="N64" s="116"/>
      <c r="O64" s="117">
        <f t="shared" si="2"/>
        <v>0</v>
      </c>
      <c r="P64" s="99"/>
    </row>
    <row r="65" spans="1:16" x14ac:dyDescent="0.25">
      <c r="A65" s="98"/>
      <c r="B65" s="98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7">
        <f t="shared" si="2"/>
        <v>0</v>
      </c>
      <c r="P65" s="99"/>
    </row>
    <row r="66" spans="1:16" x14ac:dyDescent="0.25">
      <c r="A66" s="98" t="s">
        <v>2770</v>
      </c>
      <c r="B66" s="98"/>
      <c r="C66" s="116"/>
      <c r="D66" s="116"/>
      <c r="E66" s="116">
        <f>+'Labor Pro Forma Adjustment'!H23</f>
        <v>134089.32999999999</v>
      </c>
      <c r="F66" s="116"/>
      <c r="G66" s="116"/>
      <c r="H66" s="116"/>
      <c r="I66" s="116"/>
      <c r="J66" s="116"/>
      <c r="K66" s="116">
        <f>+'New Hire Salary Adjustment'!O12</f>
        <v>39030.745599999987</v>
      </c>
      <c r="L66" s="116"/>
      <c r="M66" s="116"/>
      <c r="N66" s="116"/>
      <c r="O66" s="117">
        <f t="shared" si="2"/>
        <v>173120.07559999998</v>
      </c>
      <c r="P66" s="99" t="s">
        <v>3248</v>
      </c>
    </row>
    <row r="67" spans="1:16" x14ac:dyDescent="0.25">
      <c r="A67" s="98" t="s">
        <v>280</v>
      </c>
      <c r="B67" s="98"/>
      <c r="C67" s="116"/>
      <c r="D67" s="116"/>
      <c r="E67" s="116"/>
      <c r="F67" s="116"/>
      <c r="G67" s="116"/>
      <c r="H67" s="116"/>
      <c r="I67" s="116">
        <f>+'L&amp;I Cost Increase Calc'!N170</f>
        <v>16.687612999999999</v>
      </c>
      <c r="J67" s="116"/>
      <c r="K67" s="116">
        <f>+'New Hire Salary Adjustment'!O16+'New Hire Salary Adjustment'!O18</f>
        <v>3270.7764812799992</v>
      </c>
      <c r="L67" s="116"/>
      <c r="M67" s="116"/>
      <c r="N67" s="116"/>
      <c r="O67" s="117">
        <f t="shared" si="2"/>
        <v>3287.4640942799992</v>
      </c>
      <c r="P67" s="99" t="s">
        <v>3248</v>
      </c>
    </row>
    <row r="68" spans="1:16" x14ac:dyDescent="0.25">
      <c r="A68" s="98" t="s">
        <v>281</v>
      </c>
      <c r="B68" s="98"/>
      <c r="C68" s="116"/>
      <c r="D68" s="116"/>
      <c r="E68" s="116"/>
      <c r="F68" s="116"/>
      <c r="G68" s="116"/>
      <c r="H68" s="116">
        <f>+'Medical Insurance '!N168</f>
        <v>5604.9335159999982</v>
      </c>
      <c r="I68" s="116"/>
      <c r="J68" s="116"/>
      <c r="K68" s="116">
        <f>+'New Hire Salary Adjustment'!O17</f>
        <v>1561.2298239999996</v>
      </c>
      <c r="L68" s="116"/>
      <c r="M68" s="116"/>
      <c r="N68" s="116"/>
      <c r="O68" s="117">
        <f t="shared" si="2"/>
        <v>7166.1633399999973</v>
      </c>
      <c r="P68" s="99" t="s">
        <v>3249</v>
      </c>
    </row>
    <row r="69" spans="1:16" x14ac:dyDescent="0.25">
      <c r="A69" s="98" t="s">
        <v>283</v>
      </c>
      <c r="B69" s="98"/>
      <c r="C69" s="116"/>
      <c r="D69" s="116"/>
      <c r="E69" s="116"/>
      <c r="F69" s="116"/>
      <c r="G69" s="116"/>
      <c r="H69" s="116"/>
      <c r="I69" s="116"/>
      <c r="J69" s="116"/>
      <c r="K69" s="116">
        <f>+'New Hire Salary Adjustment'!O15</f>
        <v>4683.6894719999982</v>
      </c>
      <c r="L69" s="116"/>
      <c r="M69" s="116"/>
      <c r="N69" s="116"/>
      <c r="O69" s="117">
        <f t="shared" si="2"/>
        <v>4683.6894719999982</v>
      </c>
      <c r="P69" s="99" t="s">
        <v>3250</v>
      </c>
    </row>
    <row r="70" spans="1:16" x14ac:dyDescent="0.25">
      <c r="A70" s="98" t="s">
        <v>285</v>
      </c>
      <c r="B70" s="98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7">
        <f t="shared" si="2"/>
        <v>0</v>
      </c>
    </row>
    <row r="71" spans="1:16" x14ac:dyDescent="0.25">
      <c r="A71" s="98"/>
      <c r="B71" s="98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7">
        <f t="shared" si="2"/>
        <v>0</v>
      </c>
      <c r="P71" s="99"/>
    </row>
    <row r="72" spans="1:16" x14ac:dyDescent="0.25">
      <c r="A72" s="98" t="str">
        <f>'Pro Forma'!A71</f>
        <v>City Taxes</v>
      </c>
      <c r="B72" s="98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7">
        <f t="shared" si="2"/>
        <v>0</v>
      </c>
      <c r="P72" s="99"/>
    </row>
    <row r="73" spans="1:16" x14ac:dyDescent="0.25">
      <c r="A73" s="98" t="str">
        <f>'Pro Forma'!A72</f>
        <v>State Excise Tax</v>
      </c>
      <c r="B73" s="98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7">
        <f t="shared" si="2"/>
        <v>0</v>
      </c>
      <c r="P73" s="99"/>
    </row>
    <row r="74" spans="1:16" x14ac:dyDescent="0.25">
      <c r="A74" s="98" t="str">
        <f>'Pro Forma'!A73</f>
        <v>WUTC Reg Fees</v>
      </c>
      <c r="B74" s="98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>
        <f>(+'Pro Forma'!I13*0.0051)-16991</f>
        <v>3987.9357309999941</v>
      </c>
      <c r="O74" s="117">
        <f t="shared" si="2"/>
        <v>3987.9357309999941</v>
      </c>
      <c r="P74" s="99"/>
    </row>
    <row r="75" spans="1:16" x14ac:dyDescent="0.25">
      <c r="A75" s="98" t="str">
        <f>'Pro Forma'!A74</f>
        <v xml:space="preserve">Other Taxes &amp; Licenses        </v>
      </c>
      <c r="B75" s="98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7">
        <f t="shared" si="2"/>
        <v>0</v>
      </c>
      <c r="P75" s="99"/>
    </row>
    <row r="76" spans="1:16" x14ac:dyDescent="0.25">
      <c r="A76" s="98" t="str">
        <f>'Pro Forma'!A75</f>
        <v xml:space="preserve">Building &amp; Prop Maint         </v>
      </c>
      <c r="B76" s="98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7">
        <f t="shared" si="2"/>
        <v>0</v>
      </c>
      <c r="P76" s="99"/>
    </row>
    <row r="77" spans="1:16" x14ac:dyDescent="0.25">
      <c r="A77" s="98" t="str">
        <f>'Pro Forma'!A76</f>
        <v xml:space="preserve">Office Supplies, Postage, &amp; Exp         </v>
      </c>
      <c r="B77" s="98"/>
      <c r="C77" s="116"/>
      <c r="D77" s="116"/>
      <c r="E77" s="116"/>
      <c r="F77" s="116">
        <f>+'Rate Case Expense'!E19</f>
        <v>7626</v>
      </c>
      <c r="G77" s="116"/>
      <c r="H77" s="116"/>
      <c r="I77" s="116"/>
      <c r="J77" s="116"/>
      <c r="K77" s="116"/>
      <c r="L77" s="116"/>
      <c r="M77" s="116"/>
      <c r="N77" s="116"/>
      <c r="O77" s="117">
        <f t="shared" si="2"/>
        <v>7626</v>
      </c>
      <c r="P77" s="99" t="s">
        <v>3251</v>
      </c>
    </row>
    <row r="78" spans="1:16" x14ac:dyDescent="0.25">
      <c r="A78" s="98" t="str">
        <f>'Pro Forma'!A77</f>
        <v xml:space="preserve">Utilities                     </v>
      </c>
      <c r="B78" s="98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7">
        <f t="shared" si="2"/>
        <v>0</v>
      </c>
      <c r="P78" s="99"/>
    </row>
    <row r="79" spans="1:16" x14ac:dyDescent="0.25">
      <c r="A79" s="98" t="str">
        <f>'Pro Forma'!A78</f>
        <v xml:space="preserve">Telephone, Internet, &amp; Radio  </v>
      </c>
      <c r="B79" s="98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7">
        <f t="shared" si="2"/>
        <v>0</v>
      </c>
      <c r="P79" s="99"/>
    </row>
    <row r="80" spans="1:16" x14ac:dyDescent="0.25">
      <c r="A80" s="98" t="str">
        <f>'Pro Forma'!A79</f>
        <v xml:space="preserve">Computer Expense              </v>
      </c>
      <c r="B80" s="98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7">
        <f t="shared" si="2"/>
        <v>0</v>
      </c>
      <c r="P80" s="99"/>
    </row>
    <row r="81" spans="1:16" x14ac:dyDescent="0.25">
      <c r="A81" s="98" t="str">
        <f>'Pro Forma'!A80</f>
        <v xml:space="preserve">Dues &amp; Subscriptions          </v>
      </c>
      <c r="B81" s="98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7">
        <f t="shared" si="2"/>
        <v>0</v>
      </c>
      <c r="P81" s="99"/>
    </row>
    <row r="82" spans="1:16" x14ac:dyDescent="0.25">
      <c r="A82" s="98" t="str">
        <f>'Pro Forma'!A81</f>
        <v xml:space="preserve">Contributions                 </v>
      </c>
      <c r="B82" s="98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7">
        <f t="shared" ref="O82:O97" si="3">SUM(C82:N82)</f>
        <v>0</v>
      </c>
      <c r="P82" s="99"/>
    </row>
    <row r="83" spans="1:16" x14ac:dyDescent="0.25">
      <c r="A83" s="98" t="str">
        <f>'Pro Forma'!A82</f>
        <v>Advertising</v>
      </c>
      <c r="B83" s="98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7">
        <f t="shared" si="3"/>
        <v>0</v>
      </c>
      <c r="P83" s="99"/>
    </row>
    <row r="84" spans="1:16" x14ac:dyDescent="0.25">
      <c r="A84" s="98" t="str">
        <f>'Pro Forma'!A83</f>
        <v>Newsletter Expense</v>
      </c>
      <c r="B84" s="98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7">
        <f t="shared" si="3"/>
        <v>0</v>
      </c>
      <c r="P84" s="99"/>
    </row>
    <row r="85" spans="1:16" x14ac:dyDescent="0.25">
      <c r="A85" s="98" t="str">
        <f>'Pro Forma'!A84</f>
        <v>Travel</v>
      </c>
      <c r="B85" s="98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7">
        <f t="shared" si="3"/>
        <v>0</v>
      </c>
      <c r="P85" s="99"/>
    </row>
    <row r="86" spans="1:16" x14ac:dyDescent="0.25">
      <c r="A86" s="98" t="str">
        <f>'Pro Forma'!A85</f>
        <v>Consulting &amp; Lobbying</v>
      </c>
      <c r="B86" s="98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7">
        <f t="shared" si="3"/>
        <v>0</v>
      </c>
      <c r="P86" s="99"/>
    </row>
    <row r="87" spans="1:16" x14ac:dyDescent="0.25">
      <c r="A87" s="98" t="str">
        <f>'Pro Forma'!A86</f>
        <v xml:space="preserve">Law &amp; Outside Accounting      </v>
      </c>
      <c r="B87" s="98"/>
      <c r="C87" s="116"/>
      <c r="D87" s="116"/>
      <c r="E87" s="116"/>
      <c r="F87" s="116"/>
      <c r="G87" s="116">
        <f>+'Rate Case Expense'!E14</f>
        <v>39364</v>
      </c>
      <c r="H87" s="116"/>
      <c r="I87" s="116"/>
      <c r="J87" s="116"/>
      <c r="K87" s="116"/>
      <c r="L87" s="116"/>
      <c r="M87" s="116"/>
      <c r="N87" s="116"/>
      <c r="O87" s="117">
        <f t="shared" si="3"/>
        <v>39364</v>
      </c>
      <c r="P87" s="99" t="s">
        <v>3251</v>
      </c>
    </row>
    <row r="88" spans="1:16" x14ac:dyDescent="0.25">
      <c r="A88" s="98" t="str">
        <f>'Pro Forma'!A87</f>
        <v xml:space="preserve">Legal Fees Plp Matters        </v>
      </c>
      <c r="B88" s="98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7">
        <f t="shared" si="3"/>
        <v>0</v>
      </c>
      <c r="P88" s="140"/>
    </row>
    <row r="89" spans="1:16" x14ac:dyDescent="0.25">
      <c r="A89" s="98" t="str">
        <f>'Pro Forma'!A88</f>
        <v xml:space="preserve">Depreciation - Office Equip   </v>
      </c>
      <c r="B89" s="98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7">
        <f t="shared" si="3"/>
        <v>0</v>
      </c>
      <c r="P89" s="99"/>
    </row>
    <row r="90" spans="1:16" x14ac:dyDescent="0.25">
      <c r="A90" s="98" t="str">
        <f>'Pro Forma'!A89</f>
        <v>Depreciation - Service Cars &amp; Equip</v>
      </c>
      <c r="B90" s="98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7">
        <f t="shared" si="3"/>
        <v>0</v>
      </c>
      <c r="P90" s="99"/>
    </row>
    <row r="91" spans="1:16" x14ac:dyDescent="0.25">
      <c r="A91" s="98" t="str">
        <f>'Pro Forma'!A90</f>
        <v xml:space="preserve">Rent - Office Facility        </v>
      </c>
      <c r="B91" s="98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7">
        <f t="shared" si="3"/>
        <v>0</v>
      </c>
      <c r="P91" s="99"/>
    </row>
    <row r="92" spans="1:16" x14ac:dyDescent="0.25">
      <c r="A92" s="98" t="str">
        <f>'Pro Forma'!A91</f>
        <v xml:space="preserve">Bad Debts &amp; Collection Exp    </v>
      </c>
      <c r="B92" s="98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7">
        <f t="shared" si="3"/>
        <v>0</v>
      </c>
      <c r="P92" s="99"/>
    </row>
    <row r="93" spans="1:16" x14ac:dyDescent="0.25">
      <c r="A93" s="98" t="str">
        <f>'Pro Forma'!A92</f>
        <v xml:space="preserve">Misc Expense                  </v>
      </c>
      <c r="B93" s="98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7">
        <f t="shared" si="3"/>
        <v>0</v>
      </c>
      <c r="P93" s="99"/>
    </row>
    <row r="94" spans="1:16" x14ac:dyDescent="0.25">
      <c r="A94" s="99" t="str">
        <f>'Pro Forma'!A93</f>
        <v>Dump Fees Pasco Coupons</v>
      </c>
      <c r="B94" s="98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7">
        <f t="shared" si="3"/>
        <v>0</v>
      </c>
      <c r="P94" s="99"/>
    </row>
    <row r="95" spans="1:16" x14ac:dyDescent="0.25">
      <c r="A95" s="99" t="str">
        <f>'Pro Forma'!A94</f>
        <v xml:space="preserve">Interest Income               </v>
      </c>
      <c r="B95" s="98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7">
        <f t="shared" si="3"/>
        <v>0</v>
      </c>
      <c r="P95" s="99"/>
    </row>
    <row r="96" spans="1:16" x14ac:dyDescent="0.25">
      <c r="A96" s="99" t="str">
        <f>'Pro Forma'!A95</f>
        <v xml:space="preserve">Interest Expense              </v>
      </c>
      <c r="B96" s="98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7">
        <f t="shared" si="3"/>
        <v>0</v>
      </c>
      <c r="P96" s="99"/>
    </row>
    <row r="97" spans="1:16" x14ac:dyDescent="0.25">
      <c r="A97" s="99" t="str">
        <f>'Pro Forma'!A96</f>
        <v xml:space="preserve">Federal Income Taxes          </v>
      </c>
      <c r="B97" s="98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7">
        <f t="shared" si="3"/>
        <v>0</v>
      </c>
      <c r="P97" s="99"/>
    </row>
    <row r="98" spans="1:16" x14ac:dyDescent="0.25">
      <c r="A98" s="98"/>
      <c r="B98" s="98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99"/>
    </row>
    <row r="99" spans="1:16" ht="16.5" thickBot="1" x14ac:dyDescent="0.3">
      <c r="A99" s="98" t="str">
        <f>'Pro Forma'!A98</f>
        <v>Total Expense</v>
      </c>
      <c r="B99" s="98"/>
      <c r="C99" s="148">
        <f t="shared" ref="C99:O99" si="4">SUM(C16:C97)</f>
        <v>0</v>
      </c>
      <c r="D99" s="148">
        <f t="shared" si="4"/>
        <v>249242.49</v>
      </c>
      <c r="E99" s="148">
        <f t="shared" si="4"/>
        <v>467013.07405000005</v>
      </c>
      <c r="F99" s="148">
        <f t="shared" si="4"/>
        <v>7626</v>
      </c>
      <c r="G99" s="148">
        <f t="shared" si="4"/>
        <v>39364</v>
      </c>
      <c r="H99" s="148">
        <f t="shared" si="4"/>
        <v>74799.694865999991</v>
      </c>
      <c r="I99" s="148">
        <f t="shared" si="4"/>
        <v>16389.509411999996</v>
      </c>
      <c r="J99" s="148">
        <f t="shared" si="4"/>
        <v>512902</v>
      </c>
      <c r="K99" s="148">
        <f t="shared" si="4"/>
        <v>192467.70974128001</v>
      </c>
      <c r="L99" s="148">
        <f t="shared" si="4"/>
        <v>8538.1249210682872</v>
      </c>
      <c r="M99" s="148">
        <f t="shared" si="4"/>
        <v>13073.75</v>
      </c>
      <c r="N99" s="148">
        <f t="shared" si="4"/>
        <v>3987.9357309999941</v>
      </c>
      <c r="O99" s="148">
        <f t="shared" si="4"/>
        <v>1585404.2887213484</v>
      </c>
      <c r="P99" s="99"/>
    </row>
    <row r="100" spans="1:16" ht="16.5" thickTop="1" x14ac:dyDescent="0.25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</row>
    <row r="101" spans="1:16" x14ac:dyDescent="0.25">
      <c r="A101" s="99"/>
      <c r="B101" s="99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99"/>
      <c r="P101" s="99"/>
    </row>
    <row r="102" spans="1:16" x14ac:dyDescent="0.25">
      <c r="A102" s="139"/>
      <c r="B102" s="139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99"/>
    </row>
    <row r="103" spans="1:16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99"/>
    </row>
    <row r="104" spans="1:16" x14ac:dyDescent="0.25">
      <c r="A104" s="139"/>
      <c r="B104" s="139"/>
      <c r="C104" s="152"/>
      <c r="D104" s="152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99"/>
    </row>
    <row r="105" spans="1:16" x14ac:dyDescent="0.25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</row>
  </sheetData>
  <pageMargins left="0.25" right="0.25" top="0.75" bottom="0.75" header="0.3" footer="0.3"/>
  <pageSetup scale="52" fitToHeight="0" orientation="landscape" r:id="rId1"/>
  <headerFooter>
    <oddFooter>&amp;L&amp;D&amp;C&amp;A&amp;RPage 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93"/>
  <sheetViews>
    <sheetView workbookViewId="0">
      <selection activeCell="A12" sqref="A12"/>
    </sheetView>
  </sheetViews>
  <sheetFormatPr defaultRowHeight="15.75" x14ac:dyDescent="0.25"/>
  <cols>
    <col min="1" max="1" width="23.77734375" customWidth="1"/>
    <col min="2" max="2" width="4.77734375" customWidth="1"/>
    <col min="3" max="3" width="12.33203125" customWidth="1"/>
    <col min="4" max="4" width="11.5546875" customWidth="1"/>
    <col min="5" max="5" width="10.77734375" customWidth="1"/>
    <col min="6" max="10" width="12.33203125" customWidth="1"/>
    <col min="11" max="11" width="10.44140625" customWidth="1"/>
    <col min="12" max="12" width="12.33203125" customWidth="1"/>
    <col min="13" max="13" width="11.5546875" customWidth="1"/>
    <col min="14" max="14" width="12.33203125" customWidth="1"/>
    <col min="15" max="15" width="12.33203125"/>
    <col min="16" max="16" width="10" bestFit="1" customWidth="1"/>
  </cols>
  <sheetData>
    <row r="1" spans="1:15" x14ac:dyDescent="0.25">
      <c r="A1" s="621" t="s">
        <v>67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1"/>
    </row>
    <row r="2" spans="1:15" x14ac:dyDescent="0.25">
      <c r="A2" s="621" t="s">
        <v>68</v>
      </c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  <c r="O2" s="621"/>
    </row>
    <row r="3" spans="1:15" x14ac:dyDescent="0.25">
      <c r="A3" s="36" t="s">
        <v>69</v>
      </c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15" x14ac:dyDescent="0.25">
      <c r="A4" s="36"/>
      <c r="B4" s="37"/>
      <c r="C4" s="39"/>
      <c r="D4" s="39"/>
      <c r="E4" s="39"/>
      <c r="F4" s="38"/>
      <c r="G4" s="39"/>
      <c r="H4" s="39"/>
      <c r="I4" s="39"/>
      <c r="J4" s="39"/>
      <c r="K4" s="39"/>
      <c r="L4" s="39"/>
      <c r="M4" s="39"/>
      <c r="N4" s="39"/>
      <c r="O4" s="39"/>
    </row>
    <row r="5" spans="1:15" ht="16.5" x14ac:dyDescent="0.3">
      <c r="A5" s="40"/>
      <c r="B5" s="41"/>
      <c r="C5" s="42" t="s">
        <v>70</v>
      </c>
      <c r="D5" s="42" t="s">
        <v>71</v>
      </c>
      <c r="E5" s="42" t="s">
        <v>72</v>
      </c>
      <c r="F5" s="42" t="s">
        <v>73</v>
      </c>
      <c r="G5" s="42" t="s">
        <v>74</v>
      </c>
      <c r="H5" s="42" t="s">
        <v>75</v>
      </c>
      <c r="I5" s="42" t="s">
        <v>76</v>
      </c>
      <c r="J5" s="42" t="s">
        <v>77</v>
      </c>
      <c r="K5" s="42" t="s">
        <v>78</v>
      </c>
      <c r="L5" s="42" t="s">
        <v>79</v>
      </c>
      <c r="M5" s="42" t="s">
        <v>80</v>
      </c>
      <c r="N5" s="42" t="s">
        <v>81</v>
      </c>
      <c r="O5" s="43" t="s">
        <v>82</v>
      </c>
    </row>
    <row r="6" spans="1:15" x14ac:dyDescent="0.25">
      <c r="A6" s="44"/>
      <c r="B6" s="45" t="s">
        <v>83</v>
      </c>
      <c r="C6" s="46" t="s">
        <v>84</v>
      </c>
      <c r="D6" s="46" t="s">
        <v>85</v>
      </c>
      <c r="E6" s="46" t="s">
        <v>86</v>
      </c>
      <c r="F6" s="46" t="s">
        <v>87</v>
      </c>
      <c r="G6" s="46" t="s">
        <v>88</v>
      </c>
      <c r="H6" s="46" t="s">
        <v>89</v>
      </c>
      <c r="I6" s="46" t="s">
        <v>90</v>
      </c>
      <c r="J6" s="46" t="s">
        <v>91</v>
      </c>
      <c r="K6" s="46" t="s">
        <v>92</v>
      </c>
      <c r="L6" s="46" t="s">
        <v>93</v>
      </c>
      <c r="M6" s="46" t="s">
        <v>94</v>
      </c>
      <c r="N6" s="46" t="s">
        <v>95</v>
      </c>
      <c r="O6" s="39"/>
    </row>
    <row r="7" spans="1:15" x14ac:dyDescent="0.25">
      <c r="A7" s="47" t="s">
        <v>96</v>
      </c>
      <c r="B7" s="41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9"/>
    </row>
    <row r="8" spans="1:15" x14ac:dyDescent="0.25">
      <c r="A8" s="40" t="s">
        <v>97</v>
      </c>
      <c r="B8" s="41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9"/>
    </row>
    <row r="9" spans="1:15" x14ac:dyDescent="0.25">
      <c r="A9" s="40" t="s">
        <v>98</v>
      </c>
      <c r="B9" s="41">
        <v>1</v>
      </c>
      <c r="C9" s="50">
        <v>106164.67</v>
      </c>
      <c r="D9" s="50">
        <v>107819.75</v>
      </c>
      <c r="E9" s="50">
        <v>104687.36</v>
      </c>
      <c r="F9" s="50">
        <v>107815.82999999999</v>
      </c>
      <c r="G9" s="50">
        <v>-1748.6</v>
      </c>
      <c r="H9" s="50">
        <v>107316.39000000001</v>
      </c>
      <c r="I9" s="50">
        <v>109283.61</v>
      </c>
      <c r="J9" s="50">
        <v>110035.11</v>
      </c>
      <c r="K9" s="50">
        <v>110367.98</v>
      </c>
      <c r="L9" s="50">
        <v>110476.81</v>
      </c>
      <c r="M9" s="50">
        <v>110428.76999999999</v>
      </c>
      <c r="N9" s="50">
        <v>110800.62</v>
      </c>
      <c r="O9" s="51">
        <f t="shared" ref="O9:O14" si="0">SUM(C9:N9)</f>
        <v>1193448.2999999998</v>
      </c>
    </row>
    <row r="10" spans="1:15" x14ac:dyDescent="0.25">
      <c r="A10" s="40" t="s">
        <v>99</v>
      </c>
      <c r="B10" s="41">
        <v>2</v>
      </c>
      <c r="C10" s="50">
        <v>69207.839999999997</v>
      </c>
      <c r="D10" s="50">
        <v>66734.75</v>
      </c>
      <c r="E10" s="50">
        <v>65241.36</v>
      </c>
      <c r="F10" s="50">
        <v>64406.6</v>
      </c>
      <c r="G10" s="50">
        <v>64644.789999999994</v>
      </c>
      <c r="H10" s="50">
        <v>67446.05</v>
      </c>
      <c r="I10" s="50">
        <v>67970.960000000006</v>
      </c>
      <c r="J10" s="50">
        <v>71813.87000000001</v>
      </c>
      <c r="K10" s="50">
        <v>77221.19</v>
      </c>
      <c r="L10" s="50">
        <v>87984.71</v>
      </c>
      <c r="M10" s="50">
        <v>80490.759999999995</v>
      </c>
      <c r="N10" s="50">
        <v>76400.469999999987</v>
      </c>
      <c r="O10" s="51">
        <f t="shared" si="0"/>
        <v>859563.34999999986</v>
      </c>
    </row>
    <row r="11" spans="1:15" x14ac:dyDescent="0.25">
      <c r="A11" s="40" t="s">
        <v>100</v>
      </c>
      <c r="B11" s="41">
        <v>3</v>
      </c>
      <c r="C11" s="50">
        <v>92360.59</v>
      </c>
      <c r="D11" s="50">
        <v>86068.24</v>
      </c>
      <c r="E11" s="50">
        <v>80755.33</v>
      </c>
      <c r="F11" s="50">
        <v>66940.41</v>
      </c>
      <c r="G11" s="50">
        <v>75730.920000000013</v>
      </c>
      <c r="H11" s="50">
        <v>81882.28</v>
      </c>
      <c r="I11" s="50">
        <v>74758.34</v>
      </c>
      <c r="J11" s="50">
        <v>77756.73000000001</v>
      </c>
      <c r="K11" s="50">
        <v>79460.540000000008</v>
      </c>
      <c r="L11" s="50">
        <v>62951.81</v>
      </c>
      <c r="M11" s="50">
        <v>82381.89</v>
      </c>
      <c r="N11" s="50">
        <v>82760.73</v>
      </c>
      <c r="O11" s="51">
        <f t="shared" si="0"/>
        <v>943807.81000000017</v>
      </c>
    </row>
    <row r="12" spans="1:15" x14ac:dyDescent="0.25">
      <c r="A12" s="40" t="s">
        <v>101</v>
      </c>
      <c r="B12" s="41">
        <v>4</v>
      </c>
      <c r="C12" s="50">
        <v>74655.55</v>
      </c>
      <c r="D12" s="50">
        <v>63066.79</v>
      </c>
      <c r="E12" s="50">
        <v>71542.66</v>
      </c>
      <c r="F12" s="50">
        <v>59519.229999999996</v>
      </c>
      <c r="G12" s="50">
        <v>67024.08</v>
      </c>
      <c r="H12" s="50">
        <v>63026.399999999994</v>
      </c>
      <c r="I12" s="50">
        <v>43060.4</v>
      </c>
      <c r="J12" s="50">
        <v>56997.31</v>
      </c>
      <c r="K12" s="50">
        <v>69380.27</v>
      </c>
      <c r="L12" s="50">
        <v>52363.7</v>
      </c>
      <c r="M12" s="50">
        <v>65222.770000000004</v>
      </c>
      <c r="N12" s="50">
        <v>63360.73</v>
      </c>
      <c r="O12" s="51">
        <f t="shared" si="0"/>
        <v>749219.8899999999</v>
      </c>
    </row>
    <row r="13" spans="1:15" x14ac:dyDescent="0.25">
      <c r="A13" s="40" t="s">
        <v>102</v>
      </c>
      <c r="B13" s="41">
        <v>5</v>
      </c>
      <c r="C13" s="52">
        <v>732.72</v>
      </c>
      <c r="D13" s="52">
        <v>978.1</v>
      </c>
      <c r="E13" s="52">
        <v>1237.54</v>
      </c>
      <c r="F13" s="52">
        <v>871.44</v>
      </c>
      <c r="G13" s="52">
        <v>240.02999999999997</v>
      </c>
      <c r="H13" s="52">
        <v>735.12</v>
      </c>
      <c r="I13" s="52">
        <v>699.12</v>
      </c>
      <c r="J13" s="52">
        <v>605.5</v>
      </c>
      <c r="K13" s="52">
        <v>682.52</v>
      </c>
      <c r="L13" s="52">
        <v>915.13000000000011</v>
      </c>
      <c r="M13" s="52">
        <v>668.13</v>
      </c>
      <c r="N13" s="52">
        <v>1126.1099999999999</v>
      </c>
      <c r="O13" s="51">
        <f t="shared" si="0"/>
        <v>9491.4600000000009</v>
      </c>
    </row>
    <row r="14" spans="1:15" x14ac:dyDescent="0.25">
      <c r="A14" s="53" t="s">
        <v>103</v>
      </c>
      <c r="B14" s="54"/>
      <c r="C14" s="55">
        <f>SUM(C9:C13)</f>
        <v>343121.36999999994</v>
      </c>
      <c r="D14" s="55">
        <f>SUM(D9:D13)</f>
        <v>324667.62999999995</v>
      </c>
      <c r="E14" s="55">
        <f>SUM(E9:E13)</f>
        <v>323464.24999999994</v>
      </c>
      <c r="F14" s="55">
        <f t="shared" ref="F14:N14" si="1">SUM(F9:F13)</f>
        <v>299553.51</v>
      </c>
      <c r="G14" s="55">
        <f t="shared" si="1"/>
        <v>205891.22</v>
      </c>
      <c r="H14" s="55">
        <f t="shared" si="1"/>
        <v>320406.24</v>
      </c>
      <c r="I14" s="55">
        <f t="shared" si="1"/>
        <v>295772.43</v>
      </c>
      <c r="J14" s="55">
        <f t="shared" si="1"/>
        <v>317208.52</v>
      </c>
      <c r="K14" s="55">
        <f t="shared" si="1"/>
        <v>337112.5</v>
      </c>
      <c r="L14" s="55">
        <f t="shared" si="1"/>
        <v>314692.16000000003</v>
      </c>
      <c r="M14" s="55">
        <f t="shared" si="1"/>
        <v>339192.32000000001</v>
      </c>
      <c r="N14" s="55">
        <f t="shared" si="1"/>
        <v>334448.65999999992</v>
      </c>
      <c r="O14" s="56">
        <f t="shared" si="0"/>
        <v>3755530.8099999996</v>
      </c>
    </row>
    <row r="15" spans="1:15" x14ac:dyDescent="0.25">
      <c r="A15" s="40"/>
      <c r="B15" s="41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51"/>
    </row>
    <row r="16" spans="1:15" x14ac:dyDescent="0.25">
      <c r="A16" s="57" t="s">
        <v>104</v>
      </c>
      <c r="B16" s="41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51"/>
    </row>
    <row r="17" spans="1:15" x14ac:dyDescent="0.25">
      <c r="A17" s="40" t="s">
        <v>105</v>
      </c>
      <c r="B17" s="41">
        <v>6</v>
      </c>
      <c r="C17" s="50">
        <v>638832.19000000006</v>
      </c>
      <c r="D17" s="50">
        <v>616039.96</v>
      </c>
      <c r="E17" s="50">
        <v>702947.37</v>
      </c>
      <c r="F17" s="50">
        <v>724638.97000000009</v>
      </c>
      <c r="G17" s="50">
        <v>725916.46</v>
      </c>
      <c r="H17" s="50">
        <v>792610.87</v>
      </c>
      <c r="I17" s="50">
        <v>739398.29</v>
      </c>
      <c r="J17" s="50">
        <v>760749.80999999994</v>
      </c>
      <c r="K17" s="50">
        <v>751235.83000000007</v>
      </c>
      <c r="L17" s="50">
        <v>774006.73</v>
      </c>
      <c r="M17" s="50">
        <v>796222.5</v>
      </c>
      <c r="N17" s="50">
        <v>776070.27</v>
      </c>
      <c r="O17" s="51">
        <f t="shared" ref="O17:O30" si="2">SUM(C17:N17)</f>
        <v>8798669.25</v>
      </c>
    </row>
    <row r="18" spans="1:15" x14ac:dyDescent="0.25">
      <c r="A18" s="40" t="s">
        <v>106</v>
      </c>
      <c r="B18" s="41">
        <v>7</v>
      </c>
      <c r="C18" s="50">
        <v>71257.649999999994</v>
      </c>
      <c r="D18" s="50">
        <v>71966.59</v>
      </c>
      <c r="E18" s="50">
        <v>66931.58</v>
      </c>
      <c r="F18" s="50">
        <v>66529.5</v>
      </c>
      <c r="G18" s="50">
        <v>67121.490000000005</v>
      </c>
      <c r="H18" s="50">
        <v>65972.639999999999</v>
      </c>
      <c r="I18" s="50">
        <v>68627.489999999991</v>
      </c>
      <c r="J18" s="50">
        <v>67931.66</v>
      </c>
      <c r="K18" s="50">
        <v>65175.69</v>
      </c>
      <c r="L18" s="50">
        <v>84713.540000000008</v>
      </c>
      <c r="M18" s="50">
        <v>73080.95</v>
      </c>
      <c r="N18" s="50">
        <v>74337.55</v>
      </c>
      <c r="O18" s="51">
        <f t="shared" si="2"/>
        <v>843646.33000000007</v>
      </c>
    </row>
    <row r="19" spans="1:15" x14ac:dyDescent="0.25">
      <c r="A19" s="40" t="s">
        <v>107</v>
      </c>
      <c r="B19" s="41">
        <v>8</v>
      </c>
      <c r="C19" s="50">
        <v>2142</v>
      </c>
      <c r="D19" s="50">
        <v>1097</v>
      </c>
      <c r="E19" s="50">
        <v>1115</v>
      </c>
      <c r="F19" s="50">
        <v>717</v>
      </c>
      <c r="G19" s="50">
        <v>935</v>
      </c>
      <c r="H19" s="50">
        <v>1672</v>
      </c>
      <c r="I19" s="50">
        <v>2610.96</v>
      </c>
      <c r="J19" s="50">
        <v>1767.05</v>
      </c>
      <c r="K19" s="50">
        <v>2701.71</v>
      </c>
      <c r="L19" s="50">
        <v>1485</v>
      </c>
      <c r="M19" s="50">
        <v>2307.5</v>
      </c>
      <c r="N19" s="50">
        <v>2473.38</v>
      </c>
      <c r="O19" s="51">
        <f t="shared" si="2"/>
        <v>21023.599999999999</v>
      </c>
    </row>
    <row r="20" spans="1:15" x14ac:dyDescent="0.25">
      <c r="A20" s="40" t="s">
        <v>108</v>
      </c>
      <c r="B20" s="41">
        <v>9</v>
      </c>
      <c r="C20" s="50">
        <v>29897.79</v>
      </c>
      <c r="D20" s="50">
        <v>29836.440000000002</v>
      </c>
      <c r="E20" s="50">
        <v>30395.520000000004</v>
      </c>
      <c r="F20" s="50">
        <v>36595.999999999993</v>
      </c>
      <c r="G20" s="50">
        <v>36341.740000000005</v>
      </c>
      <c r="H20" s="50">
        <v>32638.290000000005</v>
      </c>
      <c r="I20" s="50">
        <v>31276.52</v>
      </c>
      <c r="J20" s="50">
        <v>31880.440000000002</v>
      </c>
      <c r="K20" s="50">
        <v>33275.339999999997</v>
      </c>
      <c r="L20" s="50">
        <v>33542.93</v>
      </c>
      <c r="M20" s="50">
        <v>34055.68</v>
      </c>
      <c r="N20" s="50">
        <v>33538.299999999996</v>
      </c>
      <c r="O20" s="51">
        <f t="shared" si="2"/>
        <v>393274.98999999993</v>
      </c>
    </row>
    <row r="21" spans="1:15" x14ac:dyDescent="0.25">
      <c r="A21" s="40" t="s">
        <v>109</v>
      </c>
      <c r="B21" s="41">
        <v>10</v>
      </c>
      <c r="C21" s="50">
        <v>24467.320000000003</v>
      </c>
      <c r="D21" s="50">
        <v>23413.979999999996</v>
      </c>
      <c r="E21" s="50">
        <v>23427.74</v>
      </c>
      <c r="F21" s="50">
        <v>23114.979999999996</v>
      </c>
      <c r="G21" s="50">
        <v>23061.699999999997</v>
      </c>
      <c r="H21" s="50">
        <v>24160.199999999997</v>
      </c>
      <c r="I21" s="50">
        <v>23650.399999999998</v>
      </c>
      <c r="J21" s="50">
        <v>24090.29</v>
      </c>
      <c r="K21" s="50">
        <v>23680.27</v>
      </c>
      <c r="L21" s="50">
        <v>26016.2</v>
      </c>
      <c r="M21" s="50">
        <v>27169.289999999997</v>
      </c>
      <c r="N21" s="50">
        <v>24834.57</v>
      </c>
      <c r="O21" s="51">
        <f t="shared" si="2"/>
        <v>291086.94</v>
      </c>
    </row>
    <row r="22" spans="1:15" x14ac:dyDescent="0.25">
      <c r="A22" s="40" t="s">
        <v>110</v>
      </c>
      <c r="B22" s="41">
        <v>11</v>
      </c>
      <c r="C22" s="50">
        <v>12726.849999999999</v>
      </c>
      <c r="D22" s="50">
        <v>12772.510000000002</v>
      </c>
      <c r="E22" s="50">
        <v>11607.65</v>
      </c>
      <c r="F22" s="50">
        <v>11993.080000000004</v>
      </c>
      <c r="G22" s="50">
        <v>11800.349999999999</v>
      </c>
      <c r="H22" s="50">
        <v>12491.34</v>
      </c>
      <c r="I22" s="50">
        <v>14207.01</v>
      </c>
      <c r="J22" s="50">
        <v>13249.69</v>
      </c>
      <c r="K22" s="50">
        <v>12177.01</v>
      </c>
      <c r="L22" s="50">
        <v>12133.1</v>
      </c>
      <c r="M22" s="50">
        <v>12998.05</v>
      </c>
      <c r="N22" s="50">
        <v>12774.759999999998</v>
      </c>
      <c r="O22" s="51">
        <f t="shared" si="2"/>
        <v>150931.4</v>
      </c>
    </row>
    <row r="23" spans="1:15" x14ac:dyDescent="0.25">
      <c r="A23" s="40" t="s">
        <v>111</v>
      </c>
      <c r="B23" s="41">
        <v>12</v>
      </c>
      <c r="C23" s="50">
        <v>2803.59</v>
      </c>
      <c r="D23" s="50">
        <v>1764.34</v>
      </c>
      <c r="E23" s="50">
        <v>2523.8199999999997</v>
      </c>
      <c r="F23" s="50">
        <v>2043.5</v>
      </c>
      <c r="G23" s="50">
        <v>2427.84</v>
      </c>
      <c r="H23" s="50">
        <v>1602.24</v>
      </c>
      <c r="I23" s="50">
        <v>2200.73</v>
      </c>
      <c r="J23" s="50">
        <v>1649.85</v>
      </c>
      <c r="K23" s="50">
        <v>2371.4</v>
      </c>
      <c r="L23" s="50">
        <v>1653.2800000000002</v>
      </c>
      <c r="M23" s="50">
        <v>2268.3800000000006</v>
      </c>
      <c r="N23" s="50">
        <v>1641.6000000000001</v>
      </c>
      <c r="O23" s="51">
        <f t="shared" si="2"/>
        <v>24950.57</v>
      </c>
    </row>
    <row r="24" spans="1:15" x14ac:dyDescent="0.25">
      <c r="A24" s="40" t="s">
        <v>112</v>
      </c>
      <c r="B24" s="41">
        <v>13</v>
      </c>
      <c r="C24" s="50">
        <v>4113.93</v>
      </c>
      <c r="D24" s="50">
        <v>4428.8999999999996</v>
      </c>
      <c r="E24" s="50">
        <v>3258.3700000000003</v>
      </c>
      <c r="F24" s="50">
        <v>4244.5599999999995</v>
      </c>
      <c r="G24" s="50">
        <v>3705.93</v>
      </c>
      <c r="H24" s="50">
        <v>3741.2400000000002</v>
      </c>
      <c r="I24" s="50">
        <v>4286.6099999999997</v>
      </c>
      <c r="J24" s="50">
        <v>3696.2</v>
      </c>
      <c r="K24" s="50">
        <v>3702.5</v>
      </c>
      <c r="L24" s="50">
        <v>3382.0499999999997</v>
      </c>
      <c r="M24" s="50">
        <v>3622.94</v>
      </c>
      <c r="N24" s="50">
        <v>3447.11</v>
      </c>
      <c r="O24" s="51">
        <f t="shared" si="2"/>
        <v>45630.340000000011</v>
      </c>
    </row>
    <row r="25" spans="1:15" x14ac:dyDescent="0.25">
      <c r="A25" s="40" t="s">
        <v>113</v>
      </c>
      <c r="B25" s="41">
        <v>14</v>
      </c>
      <c r="C25" s="50">
        <v>1710.73</v>
      </c>
      <c r="D25" s="50">
        <v>1710.73</v>
      </c>
      <c r="E25" s="50">
        <v>1710.73</v>
      </c>
      <c r="F25" s="50">
        <v>1710.73</v>
      </c>
      <c r="G25" s="50">
        <v>1795.73</v>
      </c>
      <c r="H25" s="50">
        <v>1747.96</v>
      </c>
      <c r="I25" s="50">
        <v>2224</v>
      </c>
      <c r="J25" s="50">
        <v>1864.0299999999997</v>
      </c>
      <c r="K25" s="50">
        <v>2407.9</v>
      </c>
      <c r="L25" s="50">
        <v>1747.51</v>
      </c>
      <c r="M25" s="50">
        <v>1741.8400000000001</v>
      </c>
      <c r="N25" s="50">
        <v>1741.8400000000001</v>
      </c>
      <c r="O25" s="51">
        <f t="shared" si="2"/>
        <v>22113.73</v>
      </c>
    </row>
    <row r="26" spans="1:15" x14ac:dyDescent="0.25">
      <c r="A26" s="40" t="s">
        <v>114</v>
      </c>
      <c r="B26" s="41">
        <v>15</v>
      </c>
      <c r="C26" s="50">
        <v>400</v>
      </c>
      <c r="D26" s="50">
        <v>400</v>
      </c>
      <c r="E26" s="50">
        <v>400</v>
      </c>
      <c r="F26" s="50">
        <v>400</v>
      </c>
      <c r="G26" s="50">
        <v>400</v>
      </c>
      <c r="H26" s="50">
        <v>400</v>
      </c>
      <c r="I26" s="50">
        <v>400</v>
      </c>
      <c r="J26" s="50">
        <v>400</v>
      </c>
      <c r="K26" s="50">
        <v>400</v>
      </c>
      <c r="L26" s="50">
        <v>400</v>
      </c>
      <c r="M26" s="50">
        <v>400</v>
      </c>
      <c r="N26" s="50">
        <v>400</v>
      </c>
      <c r="O26" s="51">
        <f t="shared" si="2"/>
        <v>4800</v>
      </c>
    </row>
    <row r="27" spans="1:15" x14ac:dyDescent="0.25">
      <c r="A27" s="40" t="s">
        <v>115</v>
      </c>
      <c r="B27" s="41">
        <v>16</v>
      </c>
      <c r="C27" s="58">
        <v>1849.62</v>
      </c>
      <c r="D27" s="58">
        <v>1063.92</v>
      </c>
      <c r="E27" s="58">
        <v>1631.71</v>
      </c>
      <c r="F27" s="58">
        <v>1229.6500000000001</v>
      </c>
      <c r="G27" s="58">
        <v>1056.69</v>
      </c>
      <c r="H27" s="58">
        <v>1786.67</v>
      </c>
      <c r="I27" s="58">
        <v>1327.65</v>
      </c>
      <c r="J27" s="58">
        <v>1517.71</v>
      </c>
      <c r="K27" s="58">
        <v>1520.67</v>
      </c>
      <c r="L27" s="58">
        <v>2005.69</v>
      </c>
      <c r="M27" s="58">
        <v>1660.69</v>
      </c>
      <c r="N27" s="58">
        <v>1845.73</v>
      </c>
      <c r="O27" s="51">
        <f t="shared" si="2"/>
        <v>18496.399999999998</v>
      </c>
    </row>
    <row r="28" spans="1:15" x14ac:dyDescent="0.25">
      <c r="A28" s="40" t="s">
        <v>116</v>
      </c>
      <c r="B28" s="41">
        <v>17</v>
      </c>
      <c r="C28" s="58">
        <v>0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1">
        <f t="shared" si="2"/>
        <v>0</v>
      </c>
    </row>
    <row r="29" spans="1:15" x14ac:dyDescent="0.25">
      <c r="A29" s="40" t="s">
        <v>117</v>
      </c>
      <c r="B29" s="41">
        <v>18</v>
      </c>
      <c r="C29" s="52">
        <v>9561.119999999999</v>
      </c>
      <c r="D29" s="52">
        <v>10996.03</v>
      </c>
      <c r="E29" s="52">
        <v>10500.42</v>
      </c>
      <c r="F29" s="52">
        <v>12206.8</v>
      </c>
      <c r="G29" s="52">
        <v>9273.59</v>
      </c>
      <c r="H29" s="52">
        <v>9367.26</v>
      </c>
      <c r="I29" s="52">
        <v>8916.18</v>
      </c>
      <c r="J29" s="52">
        <v>8127.84</v>
      </c>
      <c r="K29" s="52">
        <v>8369.18</v>
      </c>
      <c r="L29" s="52">
        <v>5928.7300000000005</v>
      </c>
      <c r="M29" s="52">
        <v>6964.17</v>
      </c>
      <c r="N29" s="52">
        <v>8994.73</v>
      </c>
      <c r="O29" s="51">
        <f t="shared" si="2"/>
        <v>109206.04999999997</v>
      </c>
    </row>
    <row r="30" spans="1:15" x14ac:dyDescent="0.25">
      <c r="A30" s="53" t="s">
        <v>118</v>
      </c>
      <c r="B30" s="54"/>
      <c r="C30" s="55">
        <f>SUM(C17:C29)</f>
        <v>799762.79</v>
      </c>
      <c r="D30" s="55">
        <f>SUM(D17:D29)</f>
        <v>775490.4</v>
      </c>
      <c r="E30" s="55">
        <f>SUM(E17:E29)</f>
        <v>856449.90999999992</v>
      </c>
      <c r="F30" s="55">
        <f>SUM(F17:F29)</f>
        <v>885424.77000000014</v>
      </c>
      <c r="G30" s="55">
        <f t="shared" ref="G30:N30" si="3">SUM(G17:G29)</f>
        <v>883836.51999999979</v>
      </c>
      <c r="H30" s="55">
        <f t="shared" si="3"/>
        <v>948190.71</v>
      </c>
      <c r="I30" s="55">
        <f t="shared" si="3"/>
        <v>899125.84000000008</v>
      </c>
      <c r="J30" s="55">
        <f t="shared" si="3"/>
        <v>916924.56999999983</v>
      </c>
      <c r="K30" s="55">
        <f t="shared" si="3"/>
        <v>907017.50000000012</v>
      </c>
      <c r="L30" s="55">
        <f t="shared" si="3"/>
        <v>947014.76</v>
      </c>
      <c r="M30" s="55">
        <f t="shared" si="3"/>
        <v>962491.99</v>
      </c>
      <c r="N30" s="55">
        <f t="shared" si="3"/>
        <v>942099.84</v>
      </c>
      <c r="O30" s="56">
        <f t="shared" si="2"/>
        <v>10723829.6</v>
      </c>
    </row>
    <row r="31" spans="1:15" x14ac:dyDescent="0.25">
      <c r="A31" s="40"/>
      <c r="B31" s="41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51"/>
    </row>
    <row r="32" spans="1:15" x14ac:dyDescent="0.25">
      <c r="A32" s="40" t="s">
        <v>119</v>
      </c>
      <c r="B32" s="41">
        <v>19</v>
      </c>
      <c r="C32" s="50">
        <v>3370.5599999999977</v>
      </c>
      <c r="D32" s="50">
        <v>2036.8999999999942</v>
      </c>
      <c r="E32" s="50">
        <v>1784.2699999999895</v>
      </c>
      <c r="F32" s="50">
        <v>1893.6699999999983</v>
      </c>
      <c r="G32" s="50">
        <v>-1347.2599999999948</v>
      </c>
      <c r="H32" s="50">
        <v>4759.8300000000017</v>
      </c>
      <c r="I32" s="50">
        <v>1455.0300000000134</v>
      </c>
      <c r="J32" s="50">
        <v>4743.1000000000058</v>
      </c>
      <c r="K32" s="50">
        <v>5226.6399999999994</v>
      </c>
      <c r="L32" s="50">
        <v>1471.3800000000047</v>
      </c>
      <c r="M32" s="50">
        <v>1032.7100000000064</v>
      </c>
      <c r="N32" s="50">
        <v>1093.1600000000035</v>
      </c>
      <c r="O32" s="51">
        <f>SUM(C32:N32)</f>
        <v>27519.99000000002</v>
      </c>
    </row>
    <row r="33" spans="1:15" x14ac:dyDescent="0.25">
      <c r="A33" s="40" t="s">
        <v>120</v>
      </c>
      <c r="B33" s="41">
        <v>20</v>
      </c>
      <c r="C33" s="50">
        <v>1558.41</v>
      </c>
      <c r="D33" s="50">
        <v>532.14</v>
      </c>
      <c r="E33" s="50">
        <v>912.24</v>
      </c>
      <c r="F33" s="50">
        <v>2280.6</v>
      </c>
      <c r="G33" s="50">
        <v>1178.31</v>
      </c>
      <c r="H33" s="50">
        <v>836.22</v>
      </c>
      <c r="I33" s="50">
        <v>1178.31</v>
      </c>
      <c r="J33" s="50">
        <v>1672.44</v>
      </c>
      <c r="K33" s="50">
        <v>950.25</v>
      </c>
      <c r="L33" s="50">
        <v>380.1</v>
      </c>
      <c r="M33" s="50">
        <v>646.16999999999996</v>
      </c>
      <c r="N33" s="50">
        <v>646.16999999999996</v>
      </c>
      <c r="O33" s="51">
        <f>SUM(C33:N33)</f>
        <v>12771.36</v>
      </c>
    </row>
    <row r="34" spans="1:15" x14ac:dyDescent="0.25">
      <c r="A34" s="40" t="s">
        <v>121</v>
      </c>
      <c r="B34" s="41">
        <v>21</v>
      </c>
      <c r="C34" s="52">
        <v>7252.45</v>
      </c>
      <c r="D34" s="52">
        <v>4536.6499999999996</v>
      </c>
      <c r="E34" s="52">
        <v>5254.8</v>
      </c>
      <c r="F34" s="52">
        <v>4156.13</v>
      </c>
      <c r="G34" s="52">
        <v>4042.25</v>
      </c>
      <c r="H34" s="52">
        <v>6562.55</v>
      </c>
      <c r="I34" s="52">
        <v>5425.13</v>
      </c>
      <c r="J34" s="52">
        <v>6088.7</v>
      </c>
      <c r="K34" s="52">
        <v>5612.35</v>
      </c>
      <c r="L34" s="52">
        <v>7048.85</v>
      </c>
      <c r="M34" s="52">
        <v>8753</v>
      </c>
      <c r="N34" s="52">
        <v>7099.5</v>
      </c>
      <c r="O34" s="51">
        <f>SUM(C34:N34)</f>
        <v>71832.359999999986</v>
      </c>
    </row>
    <row r="35" spans="1:15" x14ac:dyDescent="0.25">
      <c r="A35" s="53" t="s">
        <v>122</v>
      </c>
      <c r="B35" s="54"/>
      <c r="C35" s="59">
        <f>SUM(C32:C34)</f>
        <v>12181.419999999998</v>
      </c>
      <c r="D35" s="59">
        <f>SUM(D32:D34)</f>
        <v>7105.6899999999932</v>
      </c>
      <c r="E35" s="59">
        <f>SUM(E32:E34)</f>
        <v>7951.3099999999895</v>
      </c>
      <c r="F35" s="59">
        <f t="shared" ref="F35:N35" si="4">SUM(F32:F34)</f>
        <v>8330.3999999999978</v>
      </c>
      <c r="G35" s="59">
        <f t="shared" si="4"/>
        <v>3873.3000000000052</v>
      </c>
      <c r="H35" s="59">
        <f t="shared" si="4"/>
        <v>12158.600000000002</v>
      </c>
      <c r="I35" s="59">
        <f t="shared" si="4"/>
        <v>8058.4700000000139</v>
      </c>
      <c r="J35" s="59">
        <f t="shared" si="4"/>
        <v>12504.240000000005</v>
      </c>
      <c r="K35" s="59">
        <f t="shared" si="4"/>
        <v>11789.24</v>
      </c>
      <c r="L35" s="59">
        <f t="shared" si="4"/>
        <v>8900.3300000000054</v>
      </c>
      <c r="M35" s="59">
        <f t="shared" si="4"/>
        <v>10431.880000000006</v>
      </c>
      <c r="N35" s="59">
        <f t="shared" si="4"/>
        <v>8838.8300000000036</v>
      </c>
      <c r="O35" s="56">
        <f>SUM(C35:N35)</f>
        <v>112123.71000000002</v>
      </c>
    </row>
    <row r="36" spans="1:15" x14ac:dyDescent="0.25">
      <c r="A36" s="40"/>
      <c r="B36" s="41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1"/>
    </row>
    <row r="37" spans="1:15" x14ac:dyDescent="0.25">
      <c r="A37" s="60" t="s">
        <v>123</v>
      </c>
      <c r="B37" s="61"/>
      <c r="C37" s="62">
        <f>C14+C30+C35</f>
        <v>1155065.5799999998</v>
      </c>
      <c r="D37" s="62">
        <f>D14+D30+D35</f>
        <v>1107263.72</v>
      </c>
      <c r="E37" s="62">
        <f>E14+E30+E35</f>
        <v>1187865.47</v>
      </c>
      <c r="F37" s="62">
        <f>F14+F30+F35</f>
        <v>1193308.6800000002</v>
      </c>
      <c r="G37" s="62">
        <f t="shared" ref="G37:O37" si="5">G14+G30+G35</f>
        <v>1093601.0399999998</v>
      </c>
      <c r="H37" s="62">
        <f t="shared" si="5"/>
        <v>1280755.55</v>
      </c>
      <c r="I37" s="62">
        <f t="shared" si="5"/>
        <v>1202956.74</v>
      </c>
      <c r="J37" s="62">
        <f t="shared" si="5"/>
        <v>1246637.3299999998</v>
      </c>
      <c r="K37" s="62">
        <f t="shared" si="5"/>
        <v>1255919.24</v>
      </c>
      <c r="L37" s="62">
        <f t="shared" si="5"/>
        <v>1270607.25</v>
      </c>
      <c r="M37" s="62">
        <f t="shared" si="5"/>
        <v>1312116.1900000002</v>
      </c>
      <c r="N37" s="62">
        <f t="shared" si="5"/>
        <v>1285387.33</v>
      </c>
      <c r="O37" s="62">
        <f t="shared" si="5"/>
        <v>14591484.120000001</v>
      </c>
    </row>
    <row r="38" spans="1:15" x14ac:dyDescent="0.25">
      <c r="A38" s="40"/>
      <c r="B38" s="41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51"/>
    </row>
    <row r="39" spans="1:15" x14ac:dyDescent="0.25">
      <c r="A39" s="40" t="s">
        <v>124</v>
      </c>
      <c r="B39" s="41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51"/>
    </row>
    <row r="40" spans="1:15" x14ac:dyDescent="0.25">
      <c r="A40" s="40" t="s">
        <v>125</v>
      </c>
      <c r="B40" s="41">
        <v>22</v>
      </c>
      <c r="C40" s="50">
        <v>400134.87</v>
      </c>
      <c r="D40" s="50">
        <v>353915.01</v>
      </c>
      <c r="E40" s="50">
        <v>363700.25</v>
      </c>
      <c r="F40" s="50">
        <v>299468.44999999995</v>
      </c>
      <c r="G40" s="50">
        <v>323943.36</v>
      </c>
      <c r="H40" s="50">
        <v>375434.4</v>
      </c>
      <c r="I40" s="50">
        <v>367873.70999999996</v>
      </c>
      <c r="J40" s="50">
        <v>401564.13</v>
      </c>
      <c r="K40" s="50">
        <v>397423.41000000003</v>
      </c>
      <c r="L40" s="50">
        <v>364414.35000000003</v>
      </c>
      <c r="M40" s="50">
        <v>438111.21</v>
      </c>
      <c r="N40" s="50">
        <v>386174.49</v>
      </c>
      <c r="O40" s="51">
        <f>SUM(C40:N40)</f>
        <v>4472157.6399999997</v>
      </c>
    </row>
    <row r="41" spans="1:15" x14ac:dyDescent="0.25">
      <c r="A41" s="40" t="s">
        <v>126</v>
      </c>
      <c r="B41" s="41">
        <v>23</v>
      </c>
      <c r="C41" s="50">
        <v>693.51</v>
      </c>
      <c r="D41" s="50">
        <v>0</v>
      </c>
      <c r="E41" s="50">
        <v>-15415.6</v>
      </c>
      <c r="F41" s="50">
        <v>581.79</v>
      </c>
      <c r="G41" s="50">
        <v>0</v>
      </c>
      <c r="H41" s="50">
        <v>530.05999999999995</v>
      </c>
      <c r="I41" s="50">
        <v>0</v>
      </c>
      <c r="J41" s="50">
        <v>0</v>
      </c>
      <c r="K41" s="50">
        <v>582.59</v>
      </c>
      <c r="L41" s="50">
        <v>400</v>
      </c>
      <c r="M41" s="50">
        <v>0</v>
      </c>
      <c r="N41" s="50">
        <v>10287.89</v>
      </c>
      <c r="O41" s="51">
        <f>SUM(C41:N41)</f>
        <v>-2339.7600000000002</v>
      </c>
    </row>
    <row r="42" spans="1:15" x14ac:dyDescent="0.25">
      <c r="A42" s="40" t="s">
        <v>127</v>
      </c>
      <c r="B42" s="41">
        <v>24</v>
      </c>
      <c r="C42" s="52">
        <v>0</v>
      </c>
      <c r="D42" s="52">
        <v>1265.5999999999999</v>
      </c>
      <c r="E42" s="52">
        <v>0</v>
      </c>
      <c r="F42" s="52">
        <v>0</v>
      </c>
      <c r="G42" s="52">
        <v>2528</v>
      </c>
      <c r="H42" s="52">
        <v>0</v>
      </c>
      <c r="I42" s="52">
        <v>0</v>
      </c>
      <c r="J42" s="52">
        <v>0</v>
      </c>
      <c r="K42" s="52">
        <v>5385.2</v>
      </c>
      <c r="L42" s="52">
        <v>2360</v>
      </c>
      <c r="M42" s="52">
        <v>2298</v>
      </c>
      <c r="N42" s="52">
        <v>0</v>
      </c>
      <c r="O42" s="51">
        <f>SUM(C42:N42)</f>
        <v>13836.8</v>
      </c>
    </row>
    <row r="43" spans="1:15" x14ac:dyDescent="0.25">
      <c r="A43" s="53" t="s">
        <v>128</v>
      </c>
      <c r="B43" s="54"/>
      <c r="C43" s="55">
        <f>SUM(C40:C42)</f>
        <v>400828.38</v>
      </c>
      <c r="D43" s="55">
        <f>SUM(D40:D42)</f>
        <v>355180.61</v>
      </c>
      <c r="E43" s="55">
        <f>SUM(E40:E42)</f>
        <v>348284.65</v>
      </c>
      <c r="F43" s="55">
        <f>SUM(F40:F42)</f>
        <v>300050.23999999993</v>
      </c>
      <c r="G43" s="55">
        <f t="shared" ref="G43:N43" si="6">SUM(G40:G42)</f>
        <v>326471.36</v>
      </c>
      <c r="H43" s="55">
        <f t="shared" si="6"/>
        <v>375964.46</v>
      </c>
      <c r="I43" s="55">
        <f t="shared" si="6"/>
        <v>367873.70999999996</v>
      </c>
      <c r="J43" s="55">
        <f t="shared" si="6"/>
        <v>401564.13</v>
      </c>
      <c r="K43" s="55">
        <f t="shared" si="6"/>
        <v>403391.20000000007</v>
      </c>
      <c r="L43" s="55">
        <f t="shared" si="6"/>
        <v>367174.35000000003</v>
      </c>
      <c r="M43" s="55">
        <f t="shared" si="6"/>
        <v>440409.21</v>
      </c>
      <c r="N43" s="55">
        <f t="shared" si="6"/>
        <v>396462.38</v>
      </c>
      <c r="O43" s="56">
        <f>SUM(C43:N43)</f>
        <v>4483654.6800000006</v>
      </c>
    </row>
    <row r="44" spans="1:15" x14ac:dyDescent="0.25">
      <c r="A44" s="40"/>
      <c r="B44" s="41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51"/>
    </row>
    <row r="45" spans="1:15" x14ac:dyDescent="0.25">
      <c r="A45" s="40"/>
      <c r="B45" s="41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51"/>
    </row>
    <row r="46" spans="1:15" x14ac:dyDescent="0.25">
      <c r="A46" s="60" t="s">
        <v>129</v>
      </c>
      <c r="B46" s="61"/>
      <c r="C46" s="62">
        <f>+C37-C43</f>
        <v>754237.19999999984</v>
      </c>
      <c r="D46" s="62">
        <f>+D37-D43</f>
        <v>752083.11</v>
      </c>
      <c r="E46" s="62">
        <f>+E37-E43</f>
        <v>839580.82</v>
      </c>
      <c r="F46" s="62">
        <f t="shared" ref="F46:O46" si="7">+F37-F43</f>
        <v>893258.44000000018</v>
      </c>
      <c r="G46" s="62">
        <f t="shared" si="7"/>
        <v>767129.67999999982</v>
      </c>
      <c r="H46" s="62">
        <f t="shared" si="7"/>
        <v>904791.09000000008</v>
      </c>
      <c r="I46" s="62">
        <f t="shared" si="7"/>
        <v>835083.03</v>
      </c>
      <c r="J46" s="62">
        <f t="shared" si="7"/>
        <v>845073.19999999984</v>
      </c>
      <c r="K46" s="62">
        <f t="shared" si="7"/>
        <v>852528.03999999992</v>
      </c>
      <c r="L46" s="62">
        <f t="shared" si="7"/>
        <v>903432.89999999991</v>
      </c>
      <c r="M46" s="62">
        <f t="shared" si="7"/>
        <v>871706.98000000021</v>
      </c>
      <c r="N46" s="62">
        <f t="shared" si="7"/>
        <v>888924.95000000007</v>
      </c>
      <c r="O46" s="62">
        <f t="shared" si="7"/>
        <v>10107829.440000001</v>
      </c>
    </row>
    <row r="47" spans="1:15" x14ac:dyDescent="0.25">
      <c r="A47" s="40"/>
      <c r="B47" s="41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51">
        <f>SUM(F47:N47)</f>
        <v>0</v>
      </c>
    </row>
    <row r="48" spans="1:15" x14ac:dyDescent="0.25">
      <c r="A48" s="47" t="s">
        <v>130</v>
      </c>
      <c r="B48" s="41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51"/>
    </row>
    <row r="49" spans="1:16" x14ac:dyDescent="0.25">
      <c r="A49" s="40" t="s">
        <v>131</v>
      </c>
      <c r="B49" s="41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51"/>
    </row>
    <row r="50" spans="1:16" x14ac:dyDescent="0.25">
      <c r="A50" s="40" t="s">
        <v>132</v>
      </c>
      <c r="B50" s="41">
        <v>25</v>
      </c>
      <c r="C50" s="50">
        <v>11292.8</v>
      </c>
      <c r="D50" s="50">
        <v>8040.15</v>
      </c>
      <c r="E50" s="50">
        <v>14147.48</v>
      </c>
      <c r="F50" s="50">
        <v>8873.32</v>
      </c>
      <c r="G50" s="50">
        <v>9289.7999999999993</v>
      </c>
      <c r="H50" s="50">
        <v>9999.409999999998</v>
      </c>
      <c r="I50" s="50">
        <v>9580.73</v>
      </c>
      <c r="J50" s="50">
        <v>9289.8099999999977</v>
      </c>
      <c r="K50" s="50">
        <v>9246.1499999999978</v>
      </c>
      <c r="L50" s="50">
        <v>8908.1299999999992</v>
      </c>
      <c r="M50" s="50">
        <v>8284.66</v>
      </c>
      <c r="N50" s="50">
        <v>9824.61</v>
      </c>
      <c r="O50" s="51">
        <f t="shared" ref="O50:O59" si="8">SUM(C50:N50)</f>
        <v>116777.04999999999</v>
      </c>
    </row>
    <row r="51" spans="1:16" x14ac:dyDescent="0.25">
      <c r="A51" s="40" t="s">
        <v>133</v>
      </c>
      <c r="B51" s="41">
        <v>26</v>
      </c>
      <c r="C51" s="50">
        <v>88600.42</v>
      </c>
      <c r="D51" s="50">
        <v>60346.39</v>
      </c>
      <c r="E51" s="50">
        <v>56602.770000000004</v>
      </c>
      <c r="F51" s="50">
        <v>59803.46</v>
      </c>
      <c r="G51" s="50">
        <v>57682.36</v>
      </c>
      <c r="H51" s="50">
        <v>64249.39</v>
      </c>
      <c r="I51" s="50">
        <v>61002.83</v>
      </c>
      <c r="J51" s="50">
        <v>71521.890000000014</v>
      </c>
      <c r="K51" s="50">
        <v>67904.69</v>
      </c>
      <c r="L51" s="50">
        <v>63978.380000000005</v>
      </c>
      <c r="M51" s="50">
        <v>69814.310000000012</v>
      </c>
      <c r="N51" s="50">
        <v>64646.17</v>
      </c>
      <c r="O51" s="51">
        <f t="shared" si="8"/>
        <v>786153.06000000017</v>
      </c>
    </row>
    <row r="52" spans="1:16" x14ac:dyDescent="0.25">
      <c r="A52" s="40" t="s">
        <v>134</v>
      </c>
      <c r="B52" s="41">
        <v>27</v>
      </c>
      <c r="C52" s="50">
        <v>8361.09</v>
      </c>
      <c r="D52" s="50">
        <v>3304.51</v>
      </c>
      <c r="E52" s="50">
        <v>2930.42</v>
      </c>
      <c r="F52" s="50">
        <v>2597.48</v>
      </c>
      <c r="G52" s="50">
        <v>1769.88</v>
      </c>
      <c r="H52" s="50">
        <v>1834.35</v>
      </c>
      <c r="I52" s="50">
        <v>10984.85</v>
      </c>
      <c r="J52" s="50">
        <v>5328.11</v>
      </c>
      <c r="K52" s="50">
        <v>5844.3600000000006</v>
      </c>
      <c r="L52" s="50">
        <v>6270.95</v>
      </c>
      <c r="M52" s="50">
        <v>6146.49</v>
      </c>
      <c r="N52" s="50">
        <v>7476.9599999999991</v>
      </c>
      <c r="O52" s="51">
        <f t="shared" si="8"/>
        <v>62849.45</v>
      </c>
    </row>
    <row r="53" spans="1:16" x14ac:dyDescent="0.25">
      <c r="A53" s="40" t="s">
        <v>135</v>
      </c>
      <c r="B53" s="41">
        <v>28</v>
      </c>
      <c r="C53" s="50">
        <v>7028.9</v>
      </c>
      <c r="D53" s="50">
        <v>5736.6</v>
      </c>
      <c r="E53" s="50">
        <v>8072.84</v>
      </c>
      <c r="F53" s="50">
        <v>4946.84</v>
      </c>
      <c r="G53" s="50">
        <v>4946.84</v>
      </c>
      <c r="H53" s="50">
        <v>4946.84</v>
      </c>
      <c r="I53" s="50">
        <v>4946.84</v>
      </c>
      <c r="J53" s="50">
        <v>4946.84</v>
      </c>
      <c r="K53" s="50">
        <v>4946.84</v>
      </c>
      <c r="L53" s="50">
        <v>4946.84</v>
      </c>
      <c r="M53" s="50">
        <v>4946.84</v>
      </c>
      <c r="N53" s="50">
        <v>4946.84</v>
      </c>
      <c r="O53" s="51">
        <f t="shared" si="8"/>
        <v>65359.89999999998</v>
      </c>
      <c r="P53" s="592"/>
    </row>
    <row r="54" spans="1:16" x14ac:dyDescent="0.25">
      <c r="A54" s="40" t="s">
        <v>136</v>
      </c>
      <c r="B54" s="41">
        <v>29</v>
      </c>
      <c r="C54" s="50">
        <v>9516</v>
      </c>
      <c r="D54" s="50">
        <v>6978</v>
      </c>
      <c r="E54" s="50">
        <v>19669</v>
      </c>
      <c r="F54" s="50">
        <v>13524</v>
      </c>
      <c r="G54" s="50">
        <v>10222</v>
      </c>
      <c r="H54" s="50">
        <v>9666</v>
      </c>
      <c r="I54" s="50">
        <v>9666</v>
      </c>
      <c r="J54" s="50">
        <v>8921</v>
      </c>
      <c r="K54" s="50">
        <v>8921</v>
      </c>
      <c r="L54" s="50">
        <v>8921</v>
      </c>
      <c r="M54" s="50">
        <v>9479</v>
      </c>
      <c r="N54" s="50">
        <v>10125</v>
      </c>
      <c r="O54" s="51">
        <f t="shared" si="8"/>
        <v>125608</v>
      </c>
      <c r="P54" s="593"/>
    </row>
    <row r="55" spans="1:16" x14ac:dyDescent="0.25">
      <c r="A55" s="40" t="s">
        <v>137</v>
      </c>
      <c r="B55" s="41">
        <v>30</v>
      </c>
      <c r="C55" s="50">
        <v>4893</v>
      </c>
      <c r="D55" s="50">
        <v>3099</v>
      </c>
      <c r="E55" s="50">
        <v>3079</v>
      </c>
      <c r="F55" s="50">
        <v>3030</v>
      </c>
      <c r="G55" s="50">
        <v>2596</v>
      </c>
      <c r="H55" s="50">
        <v>2548</v>
      </c>
      <c r="I55" s="50">
        <v>4226</v>
      </c>
      <c r="J55" s="50">
        <v>2714</v>
      </c>
      <c r="K55" s="50">
        <v>2582</v>
      </c>
      <c r="L55" s="50">
        <v>2904</v>
      </c>
      <c r="M55" s="50">
        <v>2827</v>
      </c>
      <c r="N55" s="50">
        <v>4329</v>
      </c>
      <c r="O55" s="51">
        <f t="shared" si="8"/>
        <v>38827</v>
      </c>
      <c r="P55" s="593"/>
    </row>
    <row r="56" spans="1:16" x14ac:dyDescent="0.25">
      <c r="A56" s="40" t="s">
        <v>138</v>
      </c>
      <c r="B56" s="41">
        <v>31</v>
      </c>
      <c r="C56" s="50">
        <v>8109</v>
      </c>
      <c r="D56" s="50">
        <v>5105</v>
      </c>
      <c r="E56" s="50">
        <v>4911</v>
      </c>
      <c r="F56" s="50">
        <v>5175</v>
      </c>
      <c r="G56" s="50">
        <v>5004</v>
      </c>
      <c r="H56" s="50">
        <v>4820</v>
      </c>
      <c r="I56" s="50">
        <v>8950</v>
      </c>
      <c r="J56" s="50">
        <v>6313</v>
      </c>
      <c r="K56" s="50">
        <v>2773</v>
      </c>
      <c r="L56" s="50">
        <v>5899</v>
      </c>
      <c r="M56" s="50">
        <v>5714</v>
      </c>
      <c r="N56" s="50">
        <v>8327</v>
      </c>
      <c r="O56" s="51">
        <f t="shared" si="8"/>
        <v>71100</v>
      </c>
      <c r="P56" s="593"/>
    </row>
    <row r="57" spans="1:16" x14ac:dyDescent="0.25">
      <c r="A57" s="40" t="s">
        <v>139</v>
      </c>
      <c r="B57" s="41">
        <v>32</v>
      </c>
      <c r="C57" s="50">
        <v>8471</v>
      </c>
      <c r="D57" s="50">
        <v>5596</v>
      </c>
      <c r="E57" s="50">
        <v>5410</v>
      </c>
      <c r="F57" s="50">
        <v>6197</v>
      </c>
      <c r="G57" s="50">
        <v>5126</v>
      </c>
      <c r="H57" s="50">
        <v>4797</v>
      </c>
      <c r="I57" s="50">
        <v>8656</v>
      </c>
      <c r="J57" s="50">
        <v>6181</v>
      </c>
      <c r="K57" s="50">
        <v>6038</v>
      </c>
      <c r="L57" s="50">
        <v>5952</v>
      </c>
      <c r="M57" s="50">
        <v>5779</v>
      </c>
      <c r="N57" s="50">
        <v>8725</v>
      </c>
      <c r="O57" s="51">
        <f t="shared" si="8"/>
        <v>76928</v>
      </c>
      <c r="P57" s="593"/>
    </row>
    <row r="58" spans="1:16" x14ac:dyDescent="0.25">
      <c r="A58" s="40" t="s">
        <v>140</v>
      </c>
      <c r="B58" s="41">
        <v>33</v>
      </c>
      <c r="C58" s="52">
        <v>5951.54</v>
      </c>
      <c r="D58" s="52">
        <v>4988.1099999999997</v>
      </c>
      <c r="E58" s="52">
        <v>7343.92</v>
      </c>
      <c r="F58" s="52">
        <v>15669.63</v>
      </c>
      <c r="G58" s="52">
        <v>7361.12</v>
      </c>
      <c r="H58" s="52">
        <v>2427.4699999999998</v>
      </c>
      <c r="I58" s="52">
        <v>1131.56</v>
      </c>
      <c r="J58" s="52">
        <v>3397.84</v>
      </c>
      <c r="K58" s="52">
        <v>1038.3599999999999</v>
      </c>
      <c r="L58" s="52">
        <v>1095.0999999999999</v>
      </c>
      <c r="M58" s="52">
        <v>4540.8100000000004</v>
      </c>
      <c r="N58" s="52">
        <v>1473.4</v>
      </c>
      <c r="O58" s="51">
        <f t="shared" si="8"/>
        <v>56418.86</v>
      </c>
    </row>
    <row r="59" spans="1:16" x14ac:dyDescent="0.25">
      <c r="A59" s="63" t="s">
        <v>141</v>
      </c>
      <c r="B59" s="64"/>
      <c r="C59" s="65">
        <f>SUM(C50:C58)</f>
        <v>152223.75</v>
      </c>
      <c r="D59" s="65">
        <f>SUM(D50:D58)</f>
        <v>103193.76</v>
      </c>
      <c r="E59" s="65">
        <f>SUM(E50:E58)</f>
        <v>122166.43</v>
      </c>
      <c r="F59" s="65">
        <f t="shared" ref="F59:N59" si="9">SUM(F50:F58)</f>
        <v>119816.73</v>
      </c>
      <c r="G59" s="65">
        <f t="shared" si="9"/>
        <v>103998</v>
      </c>
      <c r="H59" s="65">
        <f t="shared" si="9"/>
        <v>105288.46</v>
      </c>
      <c r="I59" s="65">
        <f t="shared" si="9"/>
        <v>119144.81</v>
      </c>
      <c r="J59" s="65">
        <f t="shared" si="9"/>
        <v>118613.49</v>
      </c>
      <c r="K59" s="65">
        <f t="shared" si="9"/>
        <v>109294.39999999999</v>
      </c>
      <c r="L59" s="65">
        <f t="shared" si="9"/>
        <v>108875.40000000001</v>
      </c>
      <c r="M59" s="65">
        <f t="shared" si="9"/>
        <v>117532.11000000002</v>
      </c>
      <c r="N59" s="65">
        <f t="shared" si="9"/>
        <v>119873.97999999998</v>
      </c>
      <c r="O59" s="66">
        <f t="shared" si="8"/>
        <v>1400021.3199999998</v>
      </c>
    </row>
    <row r="60" spans="1:16" x14ac:dyDescent="0.25">
      <c r="A60" s="40"/>
      <c r="B60" s="41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51"/>
    </row>
    <row r="61" spans="1:16" x14ac:dyDescent="0.25">
      <c r="A61" s="40" t="s">
        <v>142</v>
      </c>
      <c r="B61" s="41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51"/>
    </row>
    <row r="62" spans="1:16" x14ac:dyDescent="0.25">
      <c r="A62" s="40" t="s">
        <v>133</v>
      </c>
      <c r="B62" s="41">
        <v>34</v>
      </c>
      <c r="C62" s="50">
        <v>39242.68</v>
      </c>
      <c r="D62" s="50">
        <v>25568.14</v>
      </c>
      <c r="E62" s="50">
        <v>30852.400000000001</v>
      </c>
      <c r="F62" s="50">
        <v>30683.15</v>
      </c>
      <c r="G62" s="50">
        <v>39608.92</v>
      </c>
      <c r="H62" s="50">
        <v>42687.37</v>
      </c>
      <c r="I62" s="50">
        <v>30426.22</v>
      </c>
      <c r="J62" s="50">
        <v>32395.83</v>
      </c>
      <c r="K62" s="50">
        <v>33375.050000000003</v>
      </c>
      <c r="L62" s="50">
        <v>30610.81</v>
      </c>
      <c r="M62" s="50">
        <v>37874.050000000003</v>
      </c>
      <c r="N62" s="50">
        <v>38188.949999999997</v>
      </c>
      <c r="O62" s="51">
        <f t="shared" ref="O62:O70" si="10">SUM(C62:N62)</f>
        <v>411513.56999999995</v>
      </c>
    </row>
    <row r="63" spans="1:16" x14ac:dyDescent="0.25">
      <c r="A63" s="40" t="s">
        <v>134</v>
      </c>
      <c r="B63" s="41">
        <v>35</v>
      </c>
      <c r="C63" s="50">
        <v>9744.08</v>
      </c>
      <c r="D63" s="50">
        <v>6303.87</v>
      </c>
      <c r="E63" s="50">
        <v>4733.99</v>
      </c>
      <c r="F63" s="50">
        <v>3989.09</v>
      </c>
      <c r="G63" s="50">
        <v>5394.56</v>
      </c>
      <c r="H63" s="50">
        <v>5849.58</v>
      </c>
      <c r="I63" s="50">
        <v>10148.51</v>
      </c>
      <c r="J63" s="50">
        <v>6785.48</v>
      </c>
      <c r="K63" s="50">
        <v>6852.17</v>
      </c>
      <c r="L63" s="50">
        <v>5396.34</v>
      </c>
      <c r="M63" s="50">
        <v>6362.71</v>
      </c>
      <c r="N63" s="50">
        <v>9033.82</v>
      </c>
      <c r="O63" s="51">
        <f t="shared" si="10"/>
        <v>80594.200000000012</v>
      </c>
    </row>
    <row r="64" spans="1:16" x14ac:dyDescent="0.25">
      <c r="A64" s="40" t="s">
        <v>135</v>
      </c>
      <c r="B64" s="41">
        <v>36</v>
      </c>
      <c r="C64" s="50">
        <v>3324.72</v>
      </c>
      <c r="D64" s="50">
        <v>3483.04</v>
      </c>
      <c r="E64" s="50">
        <v>2824.24</v>
      </c>
      <c r="F64" s="50">
        <v>2246.5500000000002</v>
      </c>
      <c r="G64" s="50">
        <v>2246.5500000000002</v>
      </c>
      <c r="H64" s="50">
        <v>2246.5500000000002</v>
      </c>
      <c r="I64" s="50">
        <v>2246.5500000000002</v>
      </c>
      <c r="J64" s="50">
        <v>2246.5500000000002</v>
      </c>
      <c r="K64" s="50">
        <v>2246.5500000000002</v>
      </c>
      <c r="L64" s="50">
        <v>2246.5500000000002</v>
      </c>
      <c r="M64" s="50">
        <v>2246.5500000000002</v>
      </c>
      <c r="N64" s="50">
        <v>2246.5500000000002</v>
      </c>
      <c r="O64" s="51">
        <f t="shared" si="10"/>
        <v>29850.949999999993</v>
      </c>
    </row>
    <row r="65" spans="1:16" x14ac:dyDescent="0.25">
      <c r="A65" s="40" t="s">
        <v>136</v>
      </c>
      <c r="B65" s="41">
        <v>37</v>
      </c>
      <c r="C65" s="50">
        <v>7547.66</v>
      </c>
      <c r="D65" s="50">
        <v>3305.16</v>
      </c>
      <c r="E65" s="50">
        <v>9834.4</v>
      </c>
      <c r="F65" s="50">
        <v>5018.04</v>
      </c>
      <c r="G65" s="50">
        <v>5575.6</v>
      </c>
      <c r="H65" s="50">
        <v>6690.72</v>
      </c>
      <c r="I65" s="50">
        <v>6690.72</v>
      </c>
      <c r="J65" s="50">
        <v>6690.72</v>
      </c>
      <c r="K65" s="50">
        <v>6690.72</v>
      </c>
      <c r="L65" s="50">
        <v>6690.72</v>
      </c>
      <c r="M65" s="50">
        <v>7248.28</v>
      </c>
      <c r="N65" s="50">
        <v>7805.84</v>
      </c>
      <c r="O65" s="51">
        <f t="shared" si="10"/>
        <v>79788.58</v>
      </c>
      <c r="P65" s="593"/>
    </row>
    <row r="66" spans="1:16" x14ac:dyDescent="0.25">
      <c r="A66" s="40" t="s">
        <v>137</v>
      </c>
      <c r="B66" s="41">
        <v>38</v>
      </c>
      <c r="C66" s="50">
        <v>2710.63</v>
      </c>
      <c r="D66" s="50">
        <v>1632.05</v>
      </c>
      <c r="E66" s="50">
        <v>1715.47</v>
      </c>
      <c r="F66" s="50">
        <v>1674.95</v>
      </c>
      <c r="G66" s="50">
        <v>1713.33</v>
      </c>
      <c r="H66" s="50">
        <v>1711.79</v>
      </c>
      <c r="I66" s="50">
        <v>2543.73</v>
      </c>
      <c r="J66" s="50">
        <v>1848.66</v>
      </c>
      <c r="K66" s="50">
        <v>1850.04</v>
      </c>
      <c r="L66" s="50">
        <v>1931.83</v>
      </c>
      <c r="M66" s="50">
        <v>1861.95</v>
      </c>
      <c r="N66" s="50">
        <v>4345.26</v>
      </c>
      <c r="O66" s="51">
        <f t="shared" si="10"/>
        <v>25539.690000000002</v>
      </c>
    </row>
    <row r="67" spans="1:16" x14ac:dyDescent="0.25">
      <c r="A67" s="40" t="s">
        <v>138</v>
      </c>
      <c r="B67" s="41">
        <v>39</v>
      </c>
      <c r="C67" s="50">
        <v>4262.62</v>
      </c>
      <c r="D67" s="50">
        <v>2788.93</v>
      </c>
      <c r="E67" s="50">
        <v>3157.86</v>
      </c>
      <c r="F67" s="50">
        <v>3251.17</v>
      </c>
      <c r="G67" s="50">
        <v>3872.12</v>
      </c>
      <c r="H67" s="50">
        <v>3878.2</v>
      </c>
      <c r="I67" s="50">
        <v>5174.9799999999996</v>
      </c>
      <c r="J67" s="50">
        <v>3174.45</v>
      </c>
      <c r="K67" s="50">
        <v>1006.42</v>
      </c>
      <c r="L67" s="50">
        <v>3213.02</v>
      </c>
      <c r="M67" s="50">
        <v>3498.54</v>
      </c>
      <c r="N67" s="50">
        <v>4824.09</v>
      </c>
      <c r="O67" s="51">
        <f t="shared" si="10"/>
        <v>42102.399999999994</v>
      </c>
    </row>
    <row r="68" spans="1:16" x14ac:dyDescent="0.25">
      <c r="A68" s="40" t="s">
        <v>139</v>
      </c>
      <c r="B68" s="41">
        <v>40</v>
      </c>
      <c r="C68" s="50">
        <v>4180.16</v>
      </c>
      <c r="D68" s="50">
        <v>2750.8699999999994</v>
      </c>
      <c r="E68" s="50">
        <v>3007.8199999999997</v>
      </c>
      <c r="F68" s="50">
        <v>3517.16</v>
      </c>
      <c r="G68" s="50">
        <v>3694.1899999999996</v>
      </c>
      <c r="H68" s="50">
        <v>3518.05</v>
      </c>
      <c r="I68" s="50">
        <v>4804.84</v>
      </c>
      <c r="J68" s="50">
        <v>3012.28</v>
      </c>
      <c r="K68" s="50">
        <v>3149.7100000000005</v>
      </c>
      <c r="L68" s="50">
        <v>3254.35</v>
      </c>
      <c r="M68" s="50">
        <v>3171.52</v>
      </c>
      <c r="N68" s="50">
        <v>4940.33</v>
      </c>
      <c r="O68" s="51">
        <f t="shared" si="10"/>
        <v>43001.279999999992</v>
      </c>
    </row>
    <row r="69" spans="1:16" x14ac:dyDescent="0.25">
      <c r="A69" s="40" t="s">
        <v>140</v>
      </c>
      <c r="B69" s="41">
        <v>41</v>
      </c>
      <c r="C69" s="52">
        <v>861.95</v>
      </c>
      <c r="D69" s="52">
        <v>0</v>
      </c>
      <c r="E69" s="52">
        <v>0</v>
      </c>
      <c r="F69" s="52">
        <v>0</v>
      </c>
      <c r="G69" s="52">
        <v>0</v>
      </c>
      <c r="H69" s="52">
        <v>166.16</v>
      </c>
      <c r="I69" s="52">
        <v>0</v>
      </c>
      <c r="J69" s="52">
        <v>136</v>
      </c>
      <c r="K69" s="52">
        <v>0</v>
      </c>
      <c r="L69" s="52">
        <v>50</v>
      </c>
      <c r="M69" s="52">
        <v>103.03</v>
      </c>
      <c r="N69" s="52">
        <v>0</v>
      </c>
      <c r="O69" s="51">
        <f t="shared" si="10"/>
        <v>1317.14</v>
      </c>
    </row>
    <row r="70" spans="1:16" x14ac:dyDescent="0.25">
      <c r="A70" s="63" t="s">
        <v>143</v>
      </c>
      <c r="B70" s="64"/>
      <c r="C70" s="65">
        <f>SUM(C62:C69)</f>
        <v>71874.5</v>
      </c>
      <c r="D70" s="65">
        <f>SUM(D62:D69)</f>
        <v>45832.06</v>
      </c>
      <c r="E70" s="65">
        <f>SUM(E62:E69)</f>
        <v>56126.18</v>
      </c>
      <c r="F70" s="65">
        <f t="shared" ref="F70:N70" si="11">SUM(F62:F69)</f>
        <v>50380.11</v>
      </c>
      <c r="G70" s="65">
        <f t="shared" si="11"/>
        <v>62105.270000000004</v>
      </c>
      <c r="H70" s="65">
        <f t="shared" si="11"/>
        <v>66748.420000000013</v>
      </c>
      <c r="I70" s="65">
        <f t="shared" si="11"/>
        <v>62035.55</v>
      </c>
      <c r="J70" s="65">
        <f t="shared" si="11"/>
        <v>56289.97</v>
      </c>
      <c r="K70" s="65">
        <f t="shared" si="11"/>
        <v>55170.66</v>
      </c>
      <c r="L70" s="65">
        <f t="shared" si="11"/>
        <v>53393.62</v>
      </c>
      <c r="M70" s="65">
        <f t="shared" si="11"/>
        <v>62366.63</v>
      </c>
      <c r="N70" s="65">
        <f t="shared" si="11"/>
        <v>71384.840000000011</v>
      </c>
      <c r="O70" s="66">
        <f t="shared" si="10"/>
        <v>713707.81</v>
      </c>
    </row>
    <row r="71" spans="1:16" x14ac:dyDescent="0.25">
      <c r="A71" s="40"/>
      <c r="B71" s="41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51"/>
    </row>
    <row r="72" spans="1:16" x14ac:dyDescent="0.25">
      <c r="A72" s="67" t="s">
        <v>144</v>
      </c>
      <c r="B72" s="41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51"/>
    </row>
    <row r="73" spans="1:16" x14ac:dyDescent="0.25">
      <c r="A73" s="67" t="s">
        <v>145</v>
      </c>
      <c r="B73" s="41">
        <v>42</v>
      </c>
      <c r="C73" s="50">
        <v>5824.34</v>
      </c>
      <c r="D73" s="50">
        <v>6076.6</v>
      </c>
      <c r="E73" s="50">
        <v>5943.05</v>
      </c>
      <c r="F73" s="50">
        <v>6074.84</v>
      </c>
      <c r="G73" s="50">
        <v>6130.31</v>
      </c>
      <c r="H73" s="50">
        <v>6228.34</v>
      </c>
      <c r="I73" s="50">
        <v>6228.34</v>
      </c>
      <c r="J73" s="50">
        <v>6392.67</v>
      </c>
      <c r="K73" s="50">
        <v>6427.1</v>
      </c>
      <c r="L73" s="50">
        <v>3905.78</v>
      </c>
      <c r="M73" s="50">
        <v>3906.75</v>
      </c>
      <c r="N73" s="50">
        <v>3906.07</v>
      </c>
      <c r="O73" s="51">
        <f t="shared" ref="O73:O79" si="12">SUM(C73:N73)</f>
        <v>67044.19</v>
      </c>
    </row>
    <row r="74" spans="1:16" x14ac:dyDescent="0.25">
      <c r="A74" s="67" t="s">
        <v>146</v>
      </c>
      <c r="B74" s="41">
        <v>43</v>
      </c>
      <c r="C74" s="50">
        <v>48399.909999999996</v>
      </c>
      <c r="D74" s="50">
        <v>48399.909999999996</v>
      </c>
      <c r="E74" s="50">
        <v>49941.25</v>
      </c>
      <c r="F74" s="50">
        <v>52332.93</v>
      </c>
      <c r="G74" s="50">
        <v>55467.96</v>
      </c>
      <c r="H74" s="50">
        <v>55467.96</v>
      </c>
      <c r="I74" s="50">
        <v>55467.96</v>
      </c>
      <c r="J74" s="50">
        <v>55467.96</v>
      </c>
      <c r="K74" s="50">
        <v>55467.979999999996</v>
      </c>
      <c r="L74" s="50">
        <v>55467.979999999996</v>
      </c>
      <c r="M74" s="50">
        <v>60163.17</v>
      </c>
      <c r="N74" s="50">
        <v>63546.11</v>
      </c>
      <c r="O74" s="51">
        <f t="shared" si="12"/>
        <v>655591.08000000007</v>
      </c>
    </row>
    <row r="75" spans="1:16" x14ac:dyDescent="0.25">
      <c r="A75" s="67" t="s">
        <v>147</v>
      </c>
      <c r="B75" s="41">
        <v>44</v>
      </c>
      <c r="C75" s="50">
        <v>1093.9100000000001</v>
      </c>
      <c r="D75" s="50">
        <v>1093.9100000000001</v>
      </c>
      <c r="E75" s="50">
        <v>1093.9000000000001</v>
      </c>
      <c r="F75" s="50">
        <v>1093.9100000000001</v>
      </c>
      <c r="G75" s="50">
        <v>1093.9100000000001</v>
      </c>
      <c r="H75" s="50">
        <v>1093.9100000000001</v>
      </c>
      <c r="I75" s="50">
        <v>1093.9100000000001</v>
      </c>
      <c r="J75" s="50">
        <v>1093.9100000000001</v>
      </c>
      <c r="K75" s="50">
        <v>1093.9100000000001</v>
      </c>
      <c r="L75" s="50">
        <v>1093.9100000000001</v>
      </c>
      <c r="M75" s="50">
        <v>1315.93</v>
      </c>
      <c r="N75" s="50">
        <v>1315.93</v>
      </c>
      <c r="O75" s="51">
        <f t="shared" si="12"/>
        <v>13570.95</v>
      </c>
    </row>
    <row r="76" spans="1:16" x14ac:dyDescent="0.25">
      <c r="A76" s="67" t="s">
        <v>148</v>
      </c>
      <c r="B76" s="41">
        <v>45</v>
      </c>
      <c r="C76" s="50">
        <v>12825</v>
      </c>
      <c r="D76" s="50">
        <v>12825</v>
      </c>
      <c r="E76" s="50">
        <v>12825</v>
      </c>
      <c r="F76" s="50">
        <v>12825</v>
      </c>
      <c r="G76" s="50">
        <v>12825</v>
      </c>
      <c r="H76" s="50">
        <v>12825</v>
      </c>
      <c r="I76" s="50">
        <v>12825</v>
      </c>
      <c r="J76" s="50">
        <v>12825</v>
      </c>
      <c r="K76" s="50">
        <v>12825</v>
      </c>
      <c r="L76" s="50">
        <v>12825</v>
      </c>
      <c r="M76" s="50">
        <v>12825</v>
      </c>
      <c r="N76" s="50">
        <v>12825</v>
      </c>
      <c r="O76" s="51">
        <f t="shared" si="12"/>
        <v>153900</v>
      </c>
    </row>
    <row r="77" spans="1:16" x14ac:dyDescent="0.25">
      <c r="A77" s="67" t="s">
        <v>149</v>
      </c>
      <c r="B77" s="41">
        <v>46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1">
        <f t="shared" si="12"/>
        <v>0</v>
      </c>
    </row>
    <row r="78" spans="1:16" x14ac:dyDescent="0.25">
      <c r="A78" s="67" t="s">
        <v>150</v>
      </c>
      <c r="B78" s="41">
        <v>47</v>
      </c>
      <c r="C78" s="52">
        <v>5033.5</v>
      </c>
      <c r="D78" s="52">
        <v>781</v>
      </c>
      <c r="E78" s="52">
        <v>2426</v>
      </c>
      <c r="F78" s="52">
        <v>6189.75</v>
      </c>
      <c r="G78" s="52">
        <v>2868.25</v>
      </c>
      <c r="H78" s="52">
        <v>0</v>
      </c>
      <c r="I78" s="52">
        <v>3528</v>
      </c>
      <c r="J78" s="52">
        <v>7874</v>
      </c>
      <c r="K78" s="52">
        <v>2870</v>
      </c>
      <c r="L78" s="52">
        <v>1006</v>
      </c>
      <c r="M78" s="52">
        <v>8144</v>
      </c>
      <c r="N78" s="52">
        <v>3328.24</v>
      </c>
      <c r="O78" s="51">
        <f t="shared" si="12"/>
        <v>44048.74</v>
      </c>
    </row>
    <row r="79" spans="1:16" x14ac:dyDescent="0.25">
      <c r="A79" s="63" t="s">
        <v>151</v>
      </c>
      <c r="B79" s="64"/>
      <c r="C79" s="65">
        <f>SUM(C73:C78)</f>
        <v>73176.66</v>
      </c>
      <c r="D79" s="65">
        <f>SUM(D73:D78)</f>
        <v>69176.42</v>
      </c>
      <c r="E79" s="65">
        <f>SUM(E73:E78)</f>
        <v>72229.200000000012</v>
      </c>
      <c r="F79" s="65">
        <f t="shared" ref="F79:N79" si="13">SUM(F73:F78)</f>
        <v>78516.430000000008</v>
      </c>
      <c r="G79" s="65">
        <f t="shared" si="13"/>
        <v>78385.429999999993</v>
      </c>
      <c r="H79" s="65">
        <f t="shared" si="13"/>
        <v>75615.210000000006</v>
      </c>
      <c r="I79" s="65">
        <f t="shared" si="13"/>
        <v>79143.210000000006</v>
      </c>
      <c r="J79" s="65">
        <f t="shared" si="13"/>
        <v>83653.540000000008</v>
      </c>
      <c r="K79" s="65">
        <f t="shared" si="13"/>
        <v>78683.989999999991</v>
      </c>
      <c r="L79" s="65">
        <f t="shared" si="13"/>
        <v>74298.67</v>
      </c>
      <c r="M79" s="65">
        <f t="shared" si="13"/>
        <v>86354.85</v>
      </c>
      <c r="N79" s="65">
        <f t="shared" si="13"/>
        <v>84921.35</v>
      </c>
      <c r="O79" s="66">
        <f t="shared" si="12"/>
        <v>934154.96000000008</v>
      </c>
    </row>
    <row r="80" spans="1:16" x14ac:dyDescent="0.25">
      <c r="A80" s="40"/>
      <c r="B80" s="41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51"/>
    </row>
    <row r="81" spans="1:16" x14ac:dyDescent="0.25">
      <c r="A81" s="40" t="s">
        <v>152</v>
      </c>
      <c r="B81" s="41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51"/>
    </row>
    <row r="82" spans="1:16" x14ac:dyDescent="0.25">
      <c r="A82" s="40" t="s">
        <v>132</v>
      </c>
      <c r="B82" s="41">
        <v>48</v>
      </c>
      <c r="C82" s="50">
        <v>8019.87</v>
      </c>
      <c r="D82" s="50">
        <v>4009.78</v>
      </c>
      <c r="E82" s="50">
        <v>10346.58</v>
      </c>
      <c r="F82" s="50">
        <v>4611.21</v>
      </c>
      <c r="G82" s="50">
        <v>5754</v>
      </c>
      <c r="H82" s="50">
        <v>6302</v>
      </c>
      <c r="I82" s="50">
        <v>5754</v>
      </c>
      <c r="J82" s="50">
        <v>5754</v>
      </c>
      <c r="K82" s="50">
        <v>6009.96</v>
      </c>
      <c r="L82" s="50">
        <v>5095.92</v>
      </c>
      <c r="M82" s="50">
        <v>6894.48</v>
      </c>
      <c r="N82" s="50">
        <v>6085.11</v>
      </c>
      <c r="O82" s="51">
        <f t="shared" ref="O82:O92" si="14">SUM(C82:N82)</f>
        <v>74636.91</v>
      </c>
    </row>
    <row r="83" spans="1:16" x14ac:dyDescent="0.25">
      <c r="A83" s="40" t="s">
        <v>133</v>
      </c>
      <c r="B83" s="41">
        <v>49</v>
      </c>
      <c r="C83" s="50">
        <v>17233.699999999997</v>
      </c>
      <c r="D83" s="50">
        <v>9549.58</v>
      </c>
      <c r="E83" s="50">
        <v>7353.29</v>
      </c>
      <c r="F83" s="50">
        <v>11779.05</v>
      </c>
      <c r="G83" s="50">
        <v>15598.5</v>
      </c>
      <c r="H83" s="50">
        <v>17482.02</v>
      </c>
      <c r="I83" s="50">
        <v>13478.02</v>
      </c>
      <c r="J83" s="50">
        <v>12353.59</v>
      </c>
      <c r="K83" s="50">
        <v>13928.48</v>
      </c>
      <c r="L83" s="50">
        <v>10041.98</v>
      </c>
      <c r="M83" s="50">
        <v>15375.09</v>
      </c>
      <c r="N83" s="50">
        <v>15590.240000000002</v>
      </c>
      <c r="O83" s="51">
        <f t="shared" si="14"/>
        <v>159763.53999999998</v>
      </c>
    </row>
    <row r="84" spans="1:16" x14ac:dyDescent="0.25">
      <c r="A84" s="40" t="s">
        <v>134</v>
      </c>
      <c r="B84" s="41">
        <v>50</v>
      </c>
      <c r="C84" s="50">
        <v>2934.18</v>
      </c>
      <c r="D84" s="50">
        <v>2212.27</v>
      </c>
      <c r="E84" s="50">
        <v>1598.78</v>
      </c>
      <c r="F84" s="50">
        <v>2284.65</v>
      </c>
      <c r="G84" s="50">
        <v>2553.1400000000003</v>
      </c>
      <c r="H84" s="50">
        <v>2806.48</v>
      </c>
      <c r="I84" s="50">
        <v>5108.0399999999991</v>
      </c>
      <c r="J84" s="50">
        <v>3432.9700000000003</v>
      </c>
      <c r="K84" s="50">
        <v>2259.2399999999998</v>
      </c>
      <c r="L84" s="50">
        <v>2341.6800000000003</v>
      </c>
      <c r="M84" s="50">
        <v>2927.01</v>
      </c>
      <c r="N84" s="50">
        <v>5262.16</v>
      </c>
      <c r="O84" s="51">
        <f t="shared" si="14"/>
        <v>35720.600000000006</v>
      </c>
    </row>
    <row r="85" spans="1:16" x14ac:dyDescent="0.25">
      <c r="A85" s="40" t="s">
        <v>135</v>
      </c>
      <c r="B85" s="41">
        <v>51</v>
      </c>
      <c r="C85" s="50">
        <v>4366.55</v>
      </c>
      <c r="D85" s="50">
        <v>2375.36</v>
      </c>
      <c r="E85" s="50">
        <v>1666.17</v>
      </c>
      <c r="F85" s="50">
        <v>1909.36</v>
      </c>
      <c r="G85" s="50">
        <v>1909.36</v>
      </c>
      <c r="H85" s="50">
        <v>1909.3700000000001</v>
      </c>
      <c r="I85" s="50">
        <v>1909.3700000000001</v>
      </c>
      <c r="J85" s="50">
        <v>1909.3700000000001</v>
      </c>
      <c r="K85" s="50">
        <v>1909.3700000000001</v>
      </c>
      <c r="L85" s="50">
        <v>1909.3700000000001</v>
      </c>
      <c r="M85" s="50">
        <v>1909.3700000000001</v>
      </c>
      <c r="N85" s="50">
        <v>1909.3700000000001</v>
      </c>
      <c r="O85" s="51">
        <f t="shared" si="14"/>
        <v>25592.39</v>
      </c>
      <c r="P85" s="592"/>
    </row>
    <row r="86" spans="1:16" x14ac:dyDescent="0.25">
      <c r="A86" s="40" t="s">
        <v>136</v>
      </c>
      <c r="B86" s="41">
        <v>52</v>
      </c>
      <c r="C86" s="50">
        <v>2585.1900000000005</v>
      </c>
      <c r="D86" s="50">
        <v>2209.11</v>
      </c>
      <c r="E86" s="50">
        <v>5836.4800000000005</v>
      </c>
      <c r="F86" s="50">
        <v>3158.18</v>
      </c>
      <c r="G86" s="50">
        <v>3158.18</v>
      </c>
      <c r="H86" s="50">
        <v>2970.62</v>
      </c>
      <c r="I86" s="50">
        <v>2970.62</v>
      </c>
      <c r="J86" s="50">
        <v>3158.18</v>
      </c>
      <c r="K86" s="50">
        <v>3158.18</v>
      </c>
      <c r="L86" s="50">
        <v>3158.18</v>
      </c>
      <c r="M86" s="50">
        <v>3158.18</v>
      </c>
      <c r="N86" s="50">
        <v>3158.18</v>
      </c>
      <c r="O86" s="51">
        <f t="shared" si="14"/>
        <v>38679.279999999999</v>
      </c>
      <c r="P86" s="593"/>
    </row>
    <row r="87" spans="1:16" x14ac:dyDescent="0.25">
      <c r="A87" s="40" t="s">
        <v>153</v>
      </c>
      <c r="B87" s="41">
        <v>53</v>
      </c>
      <c r="C87" s="50">
        <v>1680.3400000000001</v>
      </c>
      <c r="D87" s="50">
        <v>1296.4099999999999</v>
      </c>
      <c r="E87" s="50">
        <v>1265.9699999999998</v>
      </c>
      <c r="F87" s="50">
        <v>1501.6</v>
      </c>
      <c r="G87" s="50">
        <v>1454.6299999999999</v>
      </c>
      <c r="H87" s="50">
        <v>1447.13</v>
      </c>
      <c r="I87" s="50">
        <v>2218.59</v>
      </c>
      <c r="J87" s="50">
        <v>1366.48</v>
      </c>
      <c r="K87" s="50">
        <v>1278.73</v>
      </c>
      <c r="L87" s="50">
        <v>1316.24</v>
      </c>
      <c r="M87" s="50">
        <v>1316.8899999999999</v>
      </c>
      <c r="N87" s="50">
        <v>2165.75</v>
      </c>
      <c r="O87" s="51">
        <f t="shared" si="14"/>
        <v>18308.759999999998</v>
      </c>
      <c r="P87" s="593"/>
    </row>
    <row r="88" spans="1:16" x14ac:dyDescent="0.25">
      <c r="A88" s="40" t="s">
        <v>138</v>
      </c>
      <c r="B88" s="41">
        <v>54</v>
      </c>
      <c r="C88" s="50">
        <v>2255.44</v>
      </c>
      <c r="D88" s="50">
        <v>1630.6499999999999</v>
      </c>
      <c r="E88" s="50">
        <v>1657.39</v>
      </c>
      <c r="F88" s="50">
        <v>2186.17</v>
      </c>
      <c r="G88" s="50">
        <v>2558.38</v>
      </c>
      <c r="H88" s="50">
        <v>2474.33</v>
      </c>
      <c r="I88" s="50">
        <v>3638.3799999999997</v>
      </c>
      <c r="J88" s="50">
        <v>2313.5100000000002</v>
      </c>
      <c r="K88" s="50">
        <v>979.75</v>
      </c>
      <c r="L88" s="50">
        <v>1900.73</v>
      </c>
      <c r="M88" s="50">
        <v>2125.15</v>
      </c>
      <c r="N88" s="50">
        <v>3654.36</v>
      </c>
      <c r="O88" s="51">
        <f t="shared" si="14"/>
        <v>27374.240000000002</v>
      </c>
      <c r="P88" s="593"/>
    </row>
    <row r="89" spans="1:16" x14ac:dyDescent="0.25">
      <c r="A89" s="40" t="s">
        <v>139</v>
      </c>
      <c r="B89" s="41">
        <v>55</v>
      </c>
      <c r="C89" s="50">
        <v>2661.54</v>
      </c>
      <c r="D89" s="50">
        <v>1825.0100000000002</v>
      </c>
      <c r="E89" s="50">
        <v>2146.5</v>
      </c>
      <c r="F89" s="50">
        <v>2471.27</v>
      </c>
      <c r="G89" s="50">
        <v>2408.13</v>
      </c>
      <c r="H89" s="50">
        <v>2287.1</v>
      </c>
      <c r="I89" s="50">
        <v>3529.01</v>
      </c>
      <c r="J89" s="50">
        <v>2138.88</v>
      </c>
      <c r="K89" s="50">
        <v>2007.55</v>
      </c>
      <c r="L89" s="50">
        <v>2067.69</v>
      </c>
      <c r="M89" s="50">
        <v>2050.62</v>
      </c>
      <c r="N89" s="50">
        <v>3635.0099999999998</v>
      </c>
      <c r="O89" s="51">
        <f t="shared" si="14"/>
        <v>29228.309999999998</v>
      </c>
      <c r="P89" s="593"/>
    </row>
    <row r="90" spans="1:16" x14ac:dyDescent="0.25">
      <c r="A90" s="40" t="s">
        <v>140</v>
      </c>
      <c r="B90" s="41">
        <v>56</v>
      </c>
      <c r="C90" s="50">
        <v>0</v>
      </c>
      <c r="D90" s="50">
        <v>524.75</v>
      </c>
      <c r="E90" s="50">
        <v>0</v>
      </c>
      <c r="F90" s="50">
        <v>0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4263</v>
      </c>
      <c r="M90" s="50">
        <v>0</v>
      </c>
      <c r="N90" s="50">
        <v>500</v>
      </c>
      <c r="O90" s="51">
        <f t="shared" si="14"/>
        <v>5287.75</v>
      </c>
    </row>
    <row r="91" spans="1:16" x14ac:dyDescent="0.25">
      <c r="A91" s="40" t="s">
        <v>154</v>
      </c>
      <c r="B91" s="41">
        <v>57</v>
      </c>
      <c r="C91" s="52">
        <v>6234.51</v>
      </c>
      <c r="D91" s="52">
        <v>7128.48</v>
      </c>
      <c r="E91" s="52">
        <v>5113.8999999999996</v>
      </c>
      <c r="F91" s="52">
        <v>7883.71</v>
      </c>
      <c r="G91" s="52">
        <v>7109.04</v>
      </c>
      <c r="H91" s="52">
        <v>6181.9</v>
      </c>
      <c r="I91" s="52">
        <v>8955.06</v>
      </c>
      <c r="J91" s="52">
        <v>14696.92</v>
      </c>
      <c r="K91" s="52">
        <v>16423.68</v>
      </c>
      <c r="L91" s="52">
        <v>12754.97</v>
      </c>
      <c r="M91" s="52">
        <v>13391.7</v>
      </c>
      <c r="N91" s="52">
        <v>12362.59</v>
      </c>
      <c r="O91" s="51">
        <f t="shared" si="14"/>
        <v>118236.45999999999</v>
      </c>
    </row>
    <row r="92" spans="1:16" x14ac:dyDescent="0.25">
      <c r="A92" s="68" t="s">
        <v>155</v>
      </c>
      <c r="B92" s="64"/>
      <c r="C92" s="65">
        <f>SUM(C82:C91)</f>
        <v>47971.320000000007</v>
      </c>
      <c r="D92" s="65">
        <f>SUM(D82:D91)</f>
        <v>32761.400000000005</v>
      </c>
      <c r="E92" s="65">
        <f>SUM(E82:E91)</f>
        <v>36985.06</v>
      </c>
      <c r="F92" s="65">
        <f t="shared" ref="F92:N92" si="15">SUM(F82:F91)</f>
        <v>37785.200000000004</v>
      </c>
      <c r="G92" s="65">
        <f t="shared" si="15"/>
        <v>42503.360000000001</v>
      </c>
      <c r="H92" s="65">
        <f t="shared" si="15"/>
        <v>43860.95</v>
      </c>
      <c r="I92" s="65">
        <f t="shared" si="15"/>
        <v>47561.09</v>
      </c>
      <c r="J92" s="65">
        <f t="shared" si="15"/>
        <v>47123.9</v>
      </c>
      <c r="K92" s="65">
        <f t="shared" si="15"/>
        <v>47954.94</v>
      </c>
      <c r="L92" s="65">
        <f t="shared" si="15"/>
        <v>44849.760000000002</v>
      </c>
      <c r="M92" s="65">
        <f t="shared" si="15"/>
        <v>49148.490000000005</v>
      </c>
      <c r="N92" s="65">
        <f t="shared" si="15"/>
        <v>54322.770000000004</v>
      </c>
      <c r="O92" s="66">
        <f t="shared" si="14"/>
        <v>532828.24</v>
      </c>
    </row>
    <row r="93" spans="1:16" x14ac:dyDescent="0.25">
      <c r="A93" s="69"/>
      <c r="B93" s="41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51"/>
    </row>
    <row r="94" spans="1:16" x14ac:dyDescent="0.25">
      <c r="A94" s="40" t="s">
        <v>156</v>
      </c>
      <c r="B94" s="41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51"/>
    </row>
    <row r="95" spans="1:16" x14ac:dyDescent="0.25">
      <c r="A95" s="40" t="s">
        <v>157</v>
      </c>
      <c r="B95" s="41">
        <v>58</v>
      </c>
      <c r="C95" s="50">
        <v>27273.96</v>
      </c>
      <c r="D95" s="50">
        <v>30899.34</v>
      </c>
      <c r="E95" s="50">
        <v>4042.7900000000018</v>
      </c>
      <c r="F95" s="50">
        <v>45130.560000000005</v>
      </c>
      <c r="G95" s="50">
        <v>31280.379999999997</v>
      </c>
      <c r="H95" s="50">
        <v>23164.400000000001</v>
      </c>
      <c r="I95" s="50">
        <v>15764.53</v>
      </c>
      <c r="J95" s="50">
        <v>25980.9</v>
      </c>
      <c r="K95" s="50">
        <v>26204.639999999999</v>
      </c>
      <c r="L95" s="50">
        <v>18681.520000000004</v>
      </c>
      <c r="M95" s="50">
        <v>41143.890000000007</v>
      </c>
      <c r="N95" s="50">
        <v>34064.74</v>
      </c>
      <c r="O95" s="51">
        <f t="shared" ref="O95:O103" si="16">SUM(C95:N95)</f>
        <v>323631.65000000002</v>
      </c>
    </row>
    <row r="96" spans="1:16" x14ac:dyDescent="0.25">
      <c r="A96" s="40" t="s">
        <v>158</v>
      </c>
      <c r="B96" s="41">
        <v>59</v>
      </c>
      <c r="C96" s="50">
        <v>14119.31</v>
      </c>
      <c r="D96" s="50">
        <v>2836.88</v>
      </c>
      <c r="E96" s="50">
        <v>4598.6099999999997</v>
      </c>
      <c r="F96" s="50">
        <v>5167.1899999999996</v>
      </c>
      <c r="G96" s="50">
        <v>1727.07</v>
      </c>
      <c r="H96" s="50">
        <v>7330.27</v>
      </c>
      <c r="I96" s="50">
        <v>8038.14</v>
      </c>
      <c r="J96" s="50">
        <v>2332.9</v>
      </c>
      <c r="K96" s="50">
        <v>6245.27</v>
      </c>
      <c r="L96" s="50">
        <v>4527.92</v>
      </c>
      <c r="M96" s="50">
        <v>11979.68</v>
      </c>
      <c r="N96" s="50">
        <v>5796.41</v>
      </c>
      <c r="O96" s="51">
        <f t="shared" si="16"/>
        <v>74699.649999999994</v>
      </c>
    </row>
    <row r="97" spans="1:15" x14ac:dyDescent="0.25">
      <c r="A97" s="40" t="s">
        <v>159</v>
      </c>
      <c r="B97" s="41">
        <v>60</v>
      </c>
      <c r="C97" s="50">
        <v>20539.95</v>
      </c>
      <c r="D97" s="50">
        <v>29616.58</v>
      </c>
      <c r="E97" s="50">
        <v>8114.07</v>
      </c>
      <c r="F97" s="50">
        <v>22120.6</v>
      </c>
      <c r="G97" s="50">
        <v>26652.800000000003</v>
      </c>
      <c r="H97" s="50">
        <v>22131.99</v>
      </c>
      <c r="I97" s="50">
        <v>8560.68</v>
      </c>
      <c r="J97" s="50">
        <v>25564.800000000003</v>
      </c>
      <c r="K97" s="50">
        <v>14930.6</v>
      </c>
      <c r="L97" s="50">
        <v>38170.51</v>
      </c>
      <c r="M97" s="50">
        <v>20580.129999999997</v>
      </c>
      <c r="N97" s="50">
        <v>30442.840000000004</v>
      </c>
      <c r="O97" s="51">
        <f t="shared" si="16"/>
        <v>267425.55000000005</v>
      </c>
    </row>
    <row r="98" spans="1:15" x14ac:dyDescent="0.25">
      <c r="A98" s="40" t="s">
        <v>160</v>
      </c>
      <c r="B98" s="41">
        <v>61</v>
      </c>
      <c r="C98" s="50">
        <v>2284.9699999999998</v>
      </c>
      <c r="D98" s="50">
        <v>25668.05</v>
      </c>
      <c r="E98" s="50">
        <v>3865.12</v>
      </c>
      <c r="F98" s="50">
        <v>2710.1400000000003</v>
      </c>
      <c r="G98" s="50">
        <v>6348.77</v>
      </c>
      <c r="H98" s="50">
        <v>2150</v>
      </c>
      <c r="I98" s="50">
        <v>215.27</v>
      </c>
      <c r="J98" s="50">
        <v>3386.14</v>
      </c>
      <c r="K98" s="50">
        <v>8164.53</v>
      </c>
      <c r="L98" s="50">
        <v>3347.46</v>
      </c>
      <c r="M98" s="50">
        <v>1474.19</v>
      </c>
      <c r="N98" s="50">
        <v>2163.56</v>
      </c>
      <c r="O98" s="51">
        <f t="shared" si="16"/>
        <v>61778.2</v>
      </c>
    </row>
    <row r="99" spans="1:15" x14ac:dyDescent="0.25">
      <c r="A99" s="40" t="s">
        <v>161</v>
      </c>
      <c r="B99" s="41">
        <v>62</v>
      </c>
      <c r="C99" s="50">
        <v>759.49</v>
      </c>
      <c r="D99" s="50">
        <v>178.1</v>
      </c>
      <c r="E99" s="50">
        <v>432</v>
      </c>
      <c r="F99" s="50">
        <v>2098.5700000000002</v>
      </c>
      <c r="G99" s="50">
        <v>2924.42</v>
      </c>
      <c r="H99" s="50">
        <v>475.83</v>
      </c>
      <c r="I99" s="50">
        <v>2148.36</v>
      </c>
      <c r="J99" s="50">
        <v>-93.19</v>
      </c>
      <c r="K99" s="50">
        <v>256.85000000000002</v>
      </c>
      <c r="L99" s="50">
        <v>1601.51</v>
      </c>
      <c r="M99" s="50">
        <v>438.83</v>
      </c>
      <c r="N99" s="50">
        <v>1116.24</v>
      </c>
      <c r="O99" s="51">
        <f t="shared" si="16"/>
        <v>12337.01</v>
      </c>
    </row>
    <row r="100" spans="1:15" x14ac:dyDescent="0.25">
      <c r="A100" s="40" t="s">
        <v>162</v>
      </c>
      <c r="B100" s="41">
        <v>63</v>
      </c>
      <c r="C100" s="50">
        <v>3642.29</v>
      </c>
      <c r="D100" s="50">
        <v>2005.55</v>
      </c>
      <c r="E100" s="50">
        <v>2861.28</v>
      </c>
      <c r="F100" s="50">
        <v>1913.69</v>
      </c>
      <c r="G100" s="50">
        <v>2510.73</v>
      </c>
      <c r="H100" s="50">
        <v>5284.32</v>
      </c>
      <c r="I100" s="50">
        <v>7676.48</v>
      </c>
      <c r="J100" s="50">
        <v>3132.03</v>
      </c>
      <c r="K100" s="50">
        <v>3226.42</v>
      </c>
      <c r="L100" s="50">
        <v>2169.39</v>
      </c>
      <c r="M100" s="50">
        <v>15355.2</v>
      </c>
      <c r="N100" s="50">
        <v>7984.71</v>
      </c>
      <c r="O100" s="51">
        <f t="shared" si="16"/>
        <v>57762.090000000004</v>
      </c>
    </row>
    <row r="101" spans="1:15" x14ac:dyDescent="0.25">
      <c r="A101" s="40" t="s">
        <v>163</v>
      </c>
      <c r="B101" s="41">
        <v>64</v>
      </c>
      <c r="C101" s="50">
        <v>1527.18</v>
      </c>
      <c r="D101" s="50">
        <v>2408.89</v>
      </c>
      <c r="E101" s="50">
        <v>2204.13</v>
      </c>
      <c r="F101" s="50">
        <v>7257.27</v>
      </c>
      <c r="G101" s="50">
        <v>1379.05</v>
      </c>
      <c r="H101" s="50">
        <v>6019.05</v>
      </c>
      <c r="I101" s="50">
        <v>2103.1799999999998</v>
      </c>
      <c r="J101" s="50">
        <v>2331.7800000000002</v>
      </c>
      <c r="K101" s="50">
        <v>529.92999999999995</v>
      </c>
      <c r="L101" s="50">
        <v>1270.8</v>
      </c>
      <c r="M101" s="50">
        <v>1460.15</v>
      </c>
      <c r="N101" s="50">
        <v>1655.05</v>
      </c>
      <c r="O101" s="51">
        <f t="shared" si="16"/>
        <v>30146.46</v>
      </c>
    </row>
    <row r="102" spans="1:15" x14ac:dyDescent="0.25">
      <c r="A102" s="40" t="s">
        <v>164</v>
      </c>
      <c r="B102" s="41">
        <v>65</v>
      </c>
      <c r="C102" s="52">
        <v>62997.919999999998</v>
      </c>
      <c r="D102" s="52">
        <v>56777.33</v>
      </c>
      <c r="E102" s="52">
        <v>57389.03</v>
      </c>
      <c r="F102" s="52">
        <v>46245.960000000006</v>
      </c>
      <c r="G102" s="52">
        <v>48310.47</v>
      </c>
      <c r="H102" s="52">
        <v>14964.000000000004</v>
      </c>
      <c r="I102" s="52">
        <v>57166.229999999996</v>
      </c>
      <c r="J102" s="52">
        <v>62934.539999999994</v>
      </c>
      <c r="K102" s="52">
        <v>71308.490000000005</v>
      </c>
      <c r="L102" s="52">
        <v>64711.6</v>
      </c>
      <c r="M102" s="52">
        <v>71178.83</v>
      </c>
      <c r="N102" s="52">
        <v>69980.77</v>
      </c>
      <c r="O102" s="51">
        <f t="shared" si="16"/>
        <v>683965.16999999993</v>
      </c>
    </row>
    <row r="103" spans="1:15" x14ac:dyDescent="0.25">
      <c r="A103" s="63" t="s">
        <v>165</v>
      </c>
      <c r="B103" s="64"/>
      <c r="C103" s="65">
        <f>SUM(C95:C102)</f>
        <v>133145.07</v>
      </c>
      <c r="D103" s="65">
        <f>SUM(D95:D102)</f>
        <v>150390.72000000003</v>
      </c>
      <c r="E103" s="65">
        <f>SUM(E95:E102)</f>
        <v>83507.03</v>
      </c>
      <c r="F103" s="65">
        <f t="shared" ref="F103:N103" si="17">SUM(F95:F102)</f>
        <v>132643.98000000004</v>
      </c>
      <c r="G103" s="65">
        <f t="shared" si="17"/>
        <v>121133.69</v>
      </c>
      <c r="H103" s="65">
        <f t="shared" si="17"/>
        <v>81519.86</v>
      </c>
      <c r="I103" s="65">
        <f t="shared" si="17"/>
        <v>101672.87</v>
      </c>
      <c r="J103" s="65">
        <f t="shared" si="17"/>
        <v>125569.9</v>
      </c>
      <c r="K103" s="65">
        <f t="shared" si="17"/>
        <v>130866.73000000001</v>
      </c>
      <c r="L103" s="65">
        <f t="shared" si="17"/>
        <v>134480.71</v>
      </c>
      <c r="M103" s="65">
        <f t="shared" si="17"/>
        <v>163610.90000000002</v>
      </c>
      <c r="N103" s="65">
        <f t="shared" si="17"/>
        <v>153204.32</v>
      </c>
      <c r="O103" s="66">
        <f t="shared" si="16"/>
        <v>1511745.78</v>
      </c>
    </row>
    <row r="104" spans="1:15" x14ac:dyDescent="0.25">
      <c r="A104" s="67"/>
      <c r="B104" s="70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51"/>
    </row>
    <row r="105" spans="1:15" x14ac:dyDescent="0.25">
      <c r="A105" s="40" t="s">
        <v>166</v>
      </c>
      <c r="B105" s="41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51"/>
    </row>
    <row r="106" spans="1:15" x14ac:dyDescent="0.25">
      <c r="A106" s="40" t="s">
        <v>167</v>
      </c>
      <c r="B106" s="41">
        <v>66</v>
      </c>
      <c r="C106" s="50">
        <v>58375.42</v>
      </c>
      <c r="D106" s="50">
        <v>58697.33</v>
      </c>
      <c r="E106" s="50">
        <v>57738.58</v>
      </c>
      <c r="F106" s="50">
        <v>58865.53</v>
      </c>
      <c r="G106" s="50">
        <v>57902.69</v>
      </c>
      <c r="H106" s="50">
        <v>58639.4</v>
      </c>
      <c r="I106" s="50">
        <v>52380.08</v>
      </c>
      <c r="J106" s="50">
        <v>57853.22</v>
      </c>
      <c r="K106" s="50">
        <v>58191.21</v>
      </c>
      <c r="L106" s="50">
        <v>56934.68</v>
      </c>
      <c r="M106" s="50">
        <v>56072.33</v>
      </c>
      <c r="N106" s="50">
        <v>63225.53</v>
      </c>
      <c r="O106" s="51">
        <f>SUM(C106:N106)</f>
        <v>694876.00000000012</v>
      </c>
    </row>
    <row r="107" spans="1:15" x14ac:dyDescent="0.25">
      <c r="A107" s="40" t="s">
        <v>168</v>
      </c>
      <c r="B107" s="41">
        <v>67</v>
      </c>
      <c r="C107" s="50">
        <v>1356.2099999999996</v>
      </c>
      <c r="D107" s="50">
        <v>-3415.2500000000009</v>
      </c>
      <c r="E107" s="50">
        <v>1996.98</v>
      </c>
      <c r="F107" s="50">
        <v>4201.24</v>
      </c>
      <c r="G107" s="50">
        <v>4201.24</v>
      </c>
      <c r="H107" s="50">
        <v>4201.24</v>
      </c>
      <c r="I107" s="50">
        <v>4362.33</v>
      </c>
      <c r="J107" s="50">
        <v>4487.41</v>
      </c>
      <c r="K107" s="50">
        <v>5587.31</v>
      </c>
      <c r="L107" s="50">
        <v>5925.72</v>
      </c>
      <c r="M107" s="50">
        <v>6797.8</v>
      </c>
      <c r="N107" s="50">
        <v>6463.7300000000005</v>
      </c>
      <c r="O107" s="51">
        <f>SUM(C107:N107)</f>
        <v>46165.960000000006</v>
      </c>
    </row>
    <row r="108" spans="1:15" x14ac:dyDescent="0.25">
      <c r="A108" s="40" t="s">
        <v>169</v>
      </c>
      <c r="B108" s="41">
        <v>68</v>
      </c>
      <c r="C108" s="52">
        <v>8427.08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1486.5</v>
      </c>
      <c r="K108" s="52">
        <v>0</v>
      </c>
      <c r="L108" s="52">
        <v>0</v>
      </c>
      <c r="M108" s="52">
        <v>0</v>
      </c>
      <c r="N108" s="52">
        <v>0</v>
      </c>
      <c r="O108" s="51">
        <f>SUM(C108:N108)</f>
        <v>9913.58</v>
      </c>
    </row>
    <row r="109" spans="1:15" x14ac:dyDescent="0.25">
      <c r="A109" s="63" t="s">
        <v>170</v>
      </c>
      <c r="B109" s="64"/>
      <c r="C109" s="65">
        <f>SUM(C106:C108)</f>
        <v>68158.709999999992</v>
      </c>
      <c r="D109" s="65">
        <f>SUM(D106:D108)</f>
        <v>55282.080000000002</v>
      </c>
      <c r="E109" s="65">
        <f>SUM(E106:E108)</f>
        <v>59735.560000000005</v>
      </c>
      <c r="F109" s="65">
        <f t="shared" ref="F109:N109" si="18">SUM(F106:F108)</f>
        <v>63066.77</v>
      </c>
      <c r="G109" s="65">
        <f t="shared" si="18"/>
        <v>62103.93</v>
      </c>
      <c r="H109" s="65">
        <f t="shared" si="18"/>
        <v>62840.639999999999</v>
      </c>
      <c r="I109" s="65">
        <f t="shared" si="18"/>
        <v>56742.41</v>
      </c>
      <c r="J109" s="65">
        <f t="shared" si="18"/>
        <v>63827.130000000005</v>
      </c>
      <c r="K109" s="65">
        <f t="shared" si="18"/>
        <v>63778.52</v>
      </c>
      <c r="L109" s="65">
        <f t="shared" si="18"/>
        <v>62860.4</v>
      </c>
      <c r="M109" s="65">
        <f t="shared" si="18"/>
        <v>62870.130000000005</v>
      </c>
      <c r="N109" s="65">
        <f t="shared" si="18"/>
        <v>69689.259999999995</v>
      </c>
      <c r="O109" s="66">
        <f>SUM(C109:N109)</f>
        <v>750955.54</v>
      </c>
    </row>
    <row r="110" spans="1:15" x14ac:dyDescent="0.25">
      <c r="A110" s="40"/>
      <c r="B110" s="41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51"/>
    </row>
    <row r="111" spans="1:15" x14ac:dyDescent="0.25">
      <c r="A111" s="40" t="s">
        <v>133</v>
      </c>
      <c r="B111" s="41">
        <v>69</v>
      </c>
      <c r="C111" s="50">
        <v>7703.8200000000006</v>
      </c>
      <c r="D111" s="50">
        <v>4902.71</v>
      </c>
      <c r="E111" s="50">
        <v>4718.2900000000009</v>
      </c>
      <c r="F111" s="50">
        <v>4901.79</v>
      </c>
      <c r="G111" s="50">
        <v>6282.5199999999995</v>
      </c>
      <c r="H111" s="50">
        <v>6734.36</v>
      </c>
      <c r="I111" s="50">
        <v>5014.76</v>
      </c>
      <c r="J111" s="50">
        <v>2460.62</v>
      </c>
      <c r="K111" s="50">
        <v>5618.13</v>
      </c>
      <c r="L111" s="50">
        <v>5236.33</v>
      </c>
      <c r="M111" s="50">
        <v>5537.9900000000007</v>
      </c>
      <c r="N111" s="50">
        <v>9268.89</v>
      </c>
      <c r="O111" s="51">
        <f t="shared" ref="O111:O117" si="19">SUM(C111:N111)</f>
        <v>68380.209999999992</v>
      </c>
    </row>
    <row r="112" spans="1:15" x14ac:dyDescent="0.25">
      <c r="A112" s="40" t="s">
        <v>136</v>
      </c>
      <c r="B112" s="41" t="s">
        <v>171</v>
      </c>
      <c r="C112" s="50">
        <v>535.02</v>
      </c>
      <c r="D112" s="50">
        <v>367.24</v>
      </c>
      <c r="E112" s="50">
        <v>1092.71</v>
      </c>
      <c r="F112" s="50">
        <v>557.55999999999995</v>
      </c>
      <c r="G112" s="50">
        <v>557.55999999999995</v>
      </c>
      <c r="H112" s="50">
        <v>1672.68</v>
      </c>
      <c r="I112" s="50">
        <v>1672.68</v>
      </c>
      <c r="J112" s="50">
        <v>1672.68</v>
      </c>
      <c r="K112" s="50">
        <v>1115.1199999999999</v>
      </c>
      <c r="L112" s="50">
        <v>1115.1199999999999</v>
      </c>
      <c r="M112" s="50">
        <v>1672.68</v>
      </c>
      <c r="N112" s="50">
        <v>1672.68</v>
      </c>
      <c r="O112" s="51">
        <f t="shared" si="19"/>
        <v>13703.73</v>
      </c>
    </row>
    <row r="113" spans="1:15" x14ac:dyDescent="0.25">
      <c r="A113" s="40" t="s">
        <v>153</v>
      </c>
      <c r="B113" s="41" t="s">
        <v>172</v>
      </c>
      <c r="C113" s="50">
        <v>21.5</v>
      </c>
      <c r="D113" s="50">
        <v>21.5</v>
      </c>
      <c r="E113" s="50">
        <v>51.95</v>
      </c>
      <c r="F113" s="50">
        <v>21.5</v>
      </c>
      <c r="G113" s="50">
        <v>0</v>
      </c>
      <c r="H113" s="50">
        <v>0</v>
      </c>
      <c r="I113" s="50">
        <v>21.5</v>
      </c>
      <c r="J113" s="50">
        <v>21.5</v>
      </c>
      <c r="K113" s="50">
        <v>150.5</v>
      </c>
      <c r="L113" s="50">
        <v>-107.5</v>
      </c>
      <c r="M113" s="50">
        <v>21.5</v>
      </c>
      <c r="N113" s="50">
        <v>820.78</v>
      </c>
      <c r="O113" s="51">
        <f t="shared" si="19"/>
        <v>1044.73</v>
      </c>
    </row>
    <row r="114" spans="1:15" x14ac:dyDescent="0.25">
      <c r="A114" s="40" t="s">
        <v>138</v>
      </c>
      <c r="B114" s="41" t="s">
        <v>173</v>
      </c>
      <c r="C114" s="50">
        <v>736.17</v>
      </c>
      <c r="D114" s="50">
        <v>439.82</v>
      </c>
      <c r="E114" s="50">
        <v>442.23</v>
      </c>
      <c r="F114" s="50">
        <v>514.37</v>
      </c>
      <c r="G114" s="50">
        <v>630.92999999999995</v>
      </c>
      <c r="H114" s="50">
        <v>609.05999999999995</v>
      </c>
      <c r="I114" s="50">
        <v>688.24</v>
      </c>
      <c r="J114" s="50">
        <v>287.7</v>
      </c>
      <c r="K114" s="50">
        <v>344.95</v>
      </c>
      <c r="L114" s="50">
        <v>660.79</v>
      </c>
      <c r="M114" s="50">
        <v>617.55999999999995</v>
      </c>
      <c r="N114" s="50">
        <v>1041.28</v>
      </c>
      <c r="O114" s="51">
        <f t="shared" si="19"/>
        <v>7013.0999999999995</v>
      </c>
    </row>
    <row r="115" spans="1:15" x14ac:dyDescent="0.25">
      <c r="A115" s="40" t="s">
        <v>139</v>
      </c>
      <c r="B115" s="41" t="s">
        <v>174</v>
      </c>
      <c r="C115" s="50">
        <v>636.24</v>
      </c>
      <c r="D115" s="50">
        <v>401.34000000000003</v>
      </c>
      <c r="E115" s="50">
        <v>391.49</v>
      </c>
      <c r="F115" s="50">
        <v>452.76</v>
      </c>
      <c r="G115" s="50">
        <v>515.76</v>
      </c>
      <c r="H115" s="50">
        <v>486.28000000000003</v>
      </c>
      <c r="I115" s="50">
        <v>574.54</v>
      </c>
      <c r="J115" s="50">
        <v>191.48</v>
      </c>
      <c r="K115" s="50">
        <v>423.44999999999993</v>
      </c>
      <c r="L115" s="50">
        <v>444.96000000000004</v>
      </c>
      <c r="M115" s="50">
        <v>396.94</v>
      </c>
      <c r="N115" s="50">
        <v>711.49</v>
      </c>
      <c r="O115" s="51">
        <f t="shared" si="19"/>
        <v>5626.73</v>
      </c>
    </row>
    <row r="116" spans="1:15" x14ac:dyDescent="0.25">
      <c r="A116" s="40" t="s">
        <v>175</v>
      </c>
      <c r="B116" s="41">
        <v>70</v>
      </c>
      <c r="C116" s="52">
        <v>1918.26</v>
      </c>
      <c r="D116" s="52">
        <v>569.33000000000004</v>
      </c>
      <c r="E116" s="52">
        <v>173.36</v>
      </c>
      <c r="F116" s="52">
        <v>729.18</v>
      </c>
      <c r="G116" s="52">
        <v>9490.0400000000009</v>
      </c>
      <c r="H116" s="52">
        <v>1214.73</v>
      </c>
      <c r="I116" s="52">
        <v>759.11</v>
      </c>
      <c r="J116" s="52">
        <v>2170.77</v>
      </c>
      <c r="K116" s="52">
        <v>4892.3599999999997</v>
      </c>
      <c r="L116" s="52">
        <v>0</v>
      </c>
      <c r="M116" s="52">
        <v>2475.6799999999998</v>
      </c>
      <c r="N116" s="52">
        <v>1036.82</v>
      </c>
      <c r="O116" s="51">
        <f t="shared" si="19"/>
        <v>25429.640000000003</v>
      </c>
    </row>
    <row r="117" spans="1:15" x14ac:dyDescent="0.25">
      <c r="A117" s="63" t="s">
        <v>176</v>
      </c>
      <c r="B117" s="64"/>
      <c r="C117" s="65">
        <f>SUM(C111:C116)</f>
        <v>11551.01</v>
      </c>
      <c r="D117" s="65">
        <f>SUM(D111:D116)</f>
        <v>6701.94</v>
      </c>
      <c r="E117" s="65">
        <f>SUM(E111:E116)</f>
        <v>6870.03</v>
      </c>
      <c r="F117" s="65">
        <f t="shared" ref="F117:N117" si="20">SUM(F111:F116)</f>
        <v>7177.1600000000008</v>
      </c>
      <c r="G117" s="65">
        <f t="shared" si="20"/>
        <v>17476.810000000001</v>
      </c>
      <c r="H117" s="65">
        <f t="shared" si="20"/>
        <v>10717.109999999999</v>
      </c>
      <c r="I117" s="65">
        <f t="shared" si="20"/>
        <v>8730.83</v>
      </c>
      <c r="J117" s="65">
        <f t="shared" si="20"/>
        <v>6804.75</v>
      </c>
      <c r="K117" s="65">
        <f t="shared" si="20"/>
        <v>12544.509999999998</v>
      </c>
      <c r="L117" s="65">
        <f t="shared" si="20"/>
        <v>7349.7</v>
      </c>
      <c r="M117" s="65">
        <f t="shared" si="20"/>
        <v>10722.350000000002</v>
      </c>
      <c r="N117" s="65">
        <f t="shared" si="20"/>
        <v>14551.94</v>
      </c>
      <c r="O117" s="66">
        <f t="shared" si="19"/>
        <v>121198.14</v>
      </c>
    </row>
    <row r="118" spans="1:15" x14ac:dyDescent="0.25">
      <c r="A118" s="40"/>
      <c r="B118" s="41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51"/>
    </row>
    <row r="119" spans="1:15" x14ac:dyDescent="0.25">
      <c r="A119" s="40" t="s">
        <v>177</v>
      </c>
      <c r="B119" s="41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51"/>
    </row>
    <row r="120" spans="1:15" x14ac:dyDescent="0.25">
      <c r="A120" s="40" t="s">
        <v>178</v>
      </c>
      <c r="B120" s="41">
        <v>71</v>
      </c>
      <c r="C120" s="50">
        <v>704.33</v>
      </c>
      <c r="D120" s="50">
        <v>734.84</v>
      </c>
      <c r="E120" s="50">
        <v>718.68</v>
      </c>
      <c r="F120" s="50">
        <v>734.63</v>
      </c>
      <c r="G120" s="50">
        <v>741.32</v>
      </c>
      <c r="H120" s="50">
        <v>753.19</v>
      </c>
      <c r="I120" s="50">
        <v>753.19</v>
      </c>
      <c r="J120" s="50">
        <v>773.06</v>
      </c>
      <c r="K120" s="50">
        <v>777.22</v>
      </c>
      <c r="L120" s="50">
        <v>4557.74</v>
      </c>
      <c r="M120" s="50">
        <v>4558.88</v>
      </c>
      <c r="N120" s="50">
        <v>4558.08</v>
      </c>
      <c r="O120" s="51">
        <f>SUM(C120:N120)</f>
        <v>20365.160000000003</v>
      </c>
    </row>
    <row r="121" spans="1:15" x14ac:dyDescent="0.25">
      <c r="A121" s="40" t="s">
        <v>179</v>
      </c>
      <c r="B121" s="41">
        <v>72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1">
        <f>SUM(C121:N121)</f>
        <v>0</v>
      </c>
    </row>
    <row r="122" spans="1:15" x14ac:dyDescent="0.25">
      <c r="A122" s="40" t="s">
        <v>180</v>
      </c>
      <c r="B122" s="41">
        <v>73</v>
      </c>
      <c r="C122" s="52">
        <v>1854.02</v>
      </c>
      <c r="D122" s="52">
        <v>1970.03</v>
      </c>
      <c r="E122" s="52">
        <v>0</v>
      </c>
      <c r="F122" s="52">
        <v>0</v>
      </c>
      <c r="G122" s="52">
        <v>2280.6</v>
      </c>
      <c r="H122" s="52">
        <v>783.84</v>
      </c>
      <c r="I122" s="52">
        <v>29.66</v>
      </c>
      <c r="J122" s="52">
        <v>0</v>
      </c>
      <c r="K122" s="52">
        <v>10926.54</v>
      </c>
      <c r="L122" s="52">
        <v>269.18</v>
      </c>
      <c r="M122" s="52">
        <v>2602.5700000000002</v>
      </c>
      <c r="N122" s="52">
        <v>0</v>
      </c>
      <c r="O122" s="51">
        <f>SUM(C122:N122)</f>
        <v>20716.440000000002</v>
      </c>
    </row>
    <row r="123" spans="1:15" x14ac:dyDescent="0.25">
      <c r="A123" s="63" t="s">
        <v>181</v>
      </c>
      <c r="B123" s="64"/>
      <c r="C123" s="65">
        <f>SUM(C120:C122)</f>
        <v>2558.35</v>
      </c>
      <c r="D123" s="65">
        <f>SUM(D120:D122)</f>
        <v>2704.87</v>
      </c>
      <c r="E123" s="65">
        <f>SUM(E120:E122)</f>
        <v>718.68</v>
      </c>
      <c r="F123" s="65">
        <f t="shared" ref="F123:N123" si="21">SUM(F120:F122)</f>
        <v>734.63</v>
      </c>
      <c r="G123" s="65">
        <f t="shared" si="21"/>
        <v>3021.92</v>
      </c>
      <c r="H123" s="65">
        <f t="shared" si="21"/>
        <v>1537.0300000000002</v>
      </c>
      <c r="I123" s="65">
        <f t="shared" si="21"/>
        <v>782.85</v>
      </c>
      <c r="J123" s="65">
        <f t="shared" si="21"/>
        <v>773.06</v>
      </c>
      <c r="K123" s="65">
        <f t="shared" si="21"/>
        <v>11703.76</v>
      </c>
      <c r="L123" s="65">
        <f t="shared" si="21"/>
        <v>4826.92</v>
      </c>
      <c r="M123" s="65">
        <f t="shared" si="21"/>
        <v>7161.4500000000007</v>
      </c>
      <c r="N123" s="65">
        <f t="shared" si="21"/>
        <v>4558.08</v>
      </c>
      <c r="O123" s="66">
        <f>SUM(C123:N123)</f>
        <v>41081.600000000006</v>
      </c>
    </row>
    <row r="124" spans="1:15" x14ac:dyDescent="0.25">
      <c r="A124" s="40"/>
      <c r="B124" s="41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51"/>
    </row>
    <row r="125" spans="1:15" x14ac:dyDescent="0.25">
      <c r="A125" s="40" t="s">
        <v>182</v>
      </c>
      <c r="B125" s="41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51"/>
    </row>
    <row r="126" spans="1:15" x14ac:dyDescent="0.25">
      <c r="A126" s="40" t="s">
        <v>183</v>
      </c>
      <c r="B126" s="41">
        <v>74</v>
      </c>
      <c r="C126" s="50">
        <v>39413.61</v>
      </c>
      <c r="D126" s="50">
        <v>38499.050000000003</v>
      </c>
      <c r="E126" s="50">
        <v>45352.09</v>
      </c>
      <c r="F126" s="50">
        <v>56145.66</v>
      </c>
      <c r="G126" s="50">
        <v>56233.83</v>
      </c>
      <c r="H126" s="50">
        <v>60229.31</v>
      </c>
      <c r="I126" s="50">
        <v>57590.3</v>
      </c>
      <c r="J126" s="50">
        <v>58655.19</v>
      </c>
      <c r="K126" s="50">
        <v>58181.9</v>
      </c>
      <c r="L126" s="50">
        <v>59992.18</v>
      </c>
      <c r="M126" s="50">
        <v>61828.14</v>
      </c>
      <c r="N126" s="50">
        <v>59575.6</v>
      </c>
      <c r="O126" s="51">
        <f>SUM(C126:N126)</f>
        <v>651696.86</v>
      </c>
    </row>
    <row r="127" spans="1:15" x14ac:dyDescent="0.25">
      <c r="A127" s="40" t="s">
        <v>184</v>
      </c>
      <c r="B127" s="41">
        <v>75</v>
      </c>
      <c r="C127" s="50">
        <v>17889.54</v>
      </c>
      <c r="D127" s="50">
        <v>16747.43</v>
      </c>
      <c r="E127" s="50">
        <v>17951.099999999999</v>
      </c>
      <c r="F127" s="50">
        <v>18128.080000000002</v>
      </c>
      <c r="G127" s="50">
        <v>16590.09</v>
      </c>
      <c r="H127" s="50">
        <v>19098.080000000002</v>
      </c>
      <c r="I127" s="50">
        <v>18218.52</v>
      </c>
      <c r="J127" s="50">
        <v>18854.34</v>
      </c>
      <c r="K127" s="50">
        <v>19000.02</v>
      </c>
      <c r="L127" s="50">
        <v>19188.11</v>
      </c>
      <c r="M127" s="50">
        <v>19835.84</v>
      </c>
      <c r="N127" s="50">
        <v>19441.400000000001</v>
      </c>
      <c r="O127" s="51">
        <f>SUM(C127:N127)</f>
        <v>220942.55</v>
      </c>
    </row>
    <row r="128" spans="1:15" x14ac:dyDescent="0.25">
      <c r="A128" s="40" t="s">
        <v>185</v>
      </c>
      <c r="B128" s="41">
        <v>76</v>
      </c>
      <c r="C128" s="50">
        <v>1623.76</v>
      </c>
      <c r="D128" s="50">
        <v>1440.09</v>
      </c>
      <c r="E128" s="50">
        <v>1738.39</v>
      </c>
      <c r="F128" s="50">
        <v>1335.6</v>
      </c>
      <c r="G128" s="50">
        <v>922.01</v>
      </c>
      <c r="H128" s="50">
        <v>1414.91</v>
      </c>
      <c r="I128" s="50">
        <v>1305.5999999999999</v>
      </c>
      <c r="J128" s="50">
        <v>1394.7</v>
      </c>
      <c r="K128" s="50">
        <v>1480.84</v>
      </c>
      <c r="L128" s="50">
        <v>1376.67</v>
      </c>
      <c r="M128" s="50">
        <v>1484.81</v>
      </c>
      <c r="N128" s="50">
        <v>1473.48</v>
      </c>
      <c r="O128" s="51">
        <f>SUM(C128:N128)</f>
        <v>16990.86</v>
      </c>
    </row>
    <row r="129" spans="1:15" x14ac:dyDescent="0.25">
      <c r="A129" s="40" t="s">
        <v>186</v>
      </c>
      <c r="B129" s="41">
        <v>77</v>
      </c>
      <c r="C129" s="52">
        <v>77.7</v>
      </c>
      <c r="D129" s="52">
        <v>16.850000000000001</v>
      </c>
      <c r="E129" s="52">
        <v>106.83</v>
      </c>
      <c r="F129" s="52">
        <v>1465.73</v>
      </c>
      <c r="G129" s="52">
        <v>7228.02</v>
      </c>
      <c r="H129" s="52">
        <v>731.7</v>
      </c>
      <c r="I129" s="52">
        <v>0</v>
      </c>
      <c r="J129" s="52">
        <v>2352.1799999999998</v>
      </c>
      <c r="K129" s="52">
        <v>24.85</v>
      </c>
      <c r="L129" s="52">
        <v>87.85</v>
      </c>
      <c r="M129" s="52">
        <v>0</v>
      </c>
      <c r="N129" s="52">
        <v>78.7</v>
      </c>
      <c r="O129" s="51">
        <f>SUM(C129:N129)</f>
        <v>12170.410000000003</v>
      </c>
    </row>
    <row r="130" spans="1:15" x14ac:dyDescent="0.25">
      <c r="A130" s="63" t="s">
        <v>187</v>
      </c>
      <c r="B130" s="64"/>
      <c r="C130" s="65">
        <f>SUM(C126:C129)</f>
        <v>59004.61</v>
      </c>
      <c r="D130" s="65">
        <f>SUM(D126:D129)</f>
        <v>56703.42</v>
      </c>
      <c r="E130" s="65">
        <f>SUM(E126:E129)</f>
        <v>65148.409999999996</v>
      </c>
      <c r="F130" s="65">
        <f t="shared" ref="F130:N130" si="22">SUM(F126:F129)</f>
        <v>77075.070000000007</v>
      </c>
      <c r="G130" s="65">
        <f t="shared" si="22"/>
        <v>80973.95</v>
      </c>
      <c r="H130" s="65">
        <f t="shared" si="22"/>
        <v>81474</v>
      </c>
      <c r="I130" s="65">
        <f t="shared" si="22"/>
        <v>77114.420000000013</v>
      </c>
      <c r="J130" s="65">
        <f t="shared" si="22"/>
        <v>81256.409999999989</v>
      </c>
      <c r="K130" s="65">
        <f t="shared" si="22"/>
        <v>78687.61</v>
      </c>
      <c r="L130" s="65">
        <f t="shared" si="22"/>
        <v>80644.810000000012</v>
      </c>
      <c r="M130" s="65">
        <f t="shared" si="22"/>
        <v>83148.789999999994</v>
      </c>
      <c r="N130" s="65">
        <f t="shared" si="22"/>
        <v>80569.179999999993</v>
      </c>
      <c r="O130" s="66">
        <f>SUM(C130:N130)</f>
        <v>901800.68000000017</v>
      </c>
    </row>
    <row r="131" spans="1:15" x14ac:dyDescent="0.25">
      <c r="A131" s="40"/>
      <c r="B131" s="41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51"/>
    </row>
    <row r="132" spans="1:15" x14ac:dyDescent="0.25">
      <c r="A132" s="72" t="s">
        <v>188</v>
      </c>
      <c r="B132" s="73"/>
      <c r="C132" s="74">
        <f>C59+C70+C79+C92+C103+C109+C117+C123+C130</f>
        <v>619663.98</v>
      </c>
      <c r="D132" s="74">
        <f>D59+D70+D79+D92+D103+D109+D117+D123+D130</f>
        <v>522746.67</v>
      </c>
      <c r="E132" s="74">
        <f>E59+E70+E79+E92+E103+E109+E117+E123+E130</f>
        <v>503486.58</v>
      </c>
      <c r="F132" s="74">
        <f t="shared" ref="F132:N132" si="23">F59+F70+F79+F92+F103+F109+F117+F123+F130</f>
        <v>567196.08000000007</v>
      </c>
      <c r="G132" s="74">
        <f t="shared" si="23"/>
        <v>571702.36</v>
      </c>
      <c r="H132" s="74">
        <f t="shared" si="23"/>
        <v>529601.68000000005</v>
      </c>
      <c r="I132" s="74">
        <f t="shared" si="23"/>
        <v>552928.04</v>
      </c>
      <c r="J132" s="74">
        <f t="shared" si="23"/>
        <v>583912.15</v>
      </c>
      <c r="K132" s="74">
        <f t="shared" si="23"/>
        <v>588685.12</v>
      </c>
      <c r="L132" s="74">
        <f t="shared" si="23"/>
        <v>571579.99000000011</v>
      </c>
      <c r="M132" s="74">
        <f t="shared" si="23"/>
        <v>642915.70000000007</v>
      </c>
      <c r="N132" s="74">
        <f t="shared" si="23"/>
        <v>653075.72</v>
      </c>
      <c r="O132" s="75">
        <f>SUM(C132:N132)</f>
        <v>6907494.0700000003</v>
      </c>
    </row>
    <row r="133" spans="1:15" x14ac:dyDescent="0.25">
      <c r="A133" s="40"/>
      <c r="B133" s="41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51"/>
    </row>
    <row r="134" spans="1:15" ht="16.5" thickBot="1" x14ac:dyDescent="0.3">
      <c r="A134" s="76" t="s">
        <v>189</v>
      </c>
      <c r="B134" s="77"/>
      <c r="C134" s="78">
        <f>C46-C132</f>
        <v>134573.21999999986</v>
      </c>
      <c r="D134" s="78">
        <f>D46-D132</f>
        <v>229336.44</v>
      </c>
      <c r="E134" s="78">
        <f>E46-E132</f>
        <v>336094.23999999993</v>
      </c>
      <c r="F134" s="78">
        <f t="shared" ref="F134:N134" si="24">F46-F132</f>
        <v>326062.3600000001</v>
      </c>
      <c r="G134" s="78">
        <f t="shared" si="24"/>
        <v>195427.31999999983</v>
      </c>
      <c r="H134" s="78">
        <f t="shared" si="24"/>
        <v>375189.41000000003</v>
      </c>
      <c r="I134" s="78">
        <f t="shared" si="24"/>
        <v>282154.99</v>
      </c>
      <c r="J134" s="78">
        <f t="shared" si="24"/>
        <v>261161.04999999981</v>
      </c>
      <c r="K134" s="78">
        <f t="shared" si="24"/>
        <v>263842.91999999993</v>
      </c>
      <c r="L134" s="78">
        <f t="shared" si="24"/>
        <v>331852.9099999998</v>
      </c>
      <c r="M134" s="78">
        <f t="shared" si="24"/>
        <v>228791.28000000014</v>
      </c>
      <c r="N134" s="78">
        <f t="shared" si="24"/>
        <v>235849.2300000001</v>
      </c>
      <c r="O134" s="79">
        <f>SUM(C134:N134)</f>
        <v>3200335.3699999992</v>
      </c>
    </row>
    <row r="135" spans="1:15" x14ac:dyDescent="0.25">
      <c r="A135" s="40"/>
      <c r="B135" s="41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51"/>
    </row>
    <row r="136" spans="1:15" x14ac:dyDescent="0.25">
      <c r="A136" s="47" t="s">
        <v>190</v>
      </c>
      <c r="B136" s="41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51"/>
    </row>
    <row r="137" spans="1:15" x14ac:dyDescent="0.25">
      <c r="A137" s="40" t="s">
        <v>191</v>
      </c>
      <c r="B137" s="41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51"/>
    </row>
    <row r="138" spans="1:15" x14ac:dyDescent="0.25">
      <c r="A138" s="40" t="s">
        <v>192</v>
      </c>
      <c r="B138" s="41">
        <v>78</v>
      </c>
      <c r="C138" s="50">
        <v>45380.060000000005</v>
      </c>
      <c r="D138" s="50">
        <v>30253.370000000003</v>
      </c>
      <c r="E138" s="50">
        <v>30253.370000000003</v>
      </c>
      <c r="F138" s="50">
        <v>31414.9</v>
      </c>
      <c r="G138" s="50">
        <v>33682.559999999998</v>
      </c>
      <c r="H138" s="50">
        <v>38217.879999999997</v>
      </c>
      <c r="I138" s="50">
        <v>55417.54</v>
      </c>
      <c r="J138" s="50">
        <v>55417.560000000005</v>
      </c>
      <c r="K138" s="50">
        <v>55087.32</v>
      </c>
      <c r="L138" s="50">
        <v>0</v>
      </c>
      <c r="M138" s="50">
        <v>0</v>
      </c>
      <c r="N138" s="50">
        <v>0</v>
      </c>
      <c r="O138" s="51">
        <f t="shared" ref="O138:O145" si="25">SUM(C138:N138)</f>
        <v>375124.56</v>
      </c>
    </row>
    <row r="139" spans="1:15" x14ac:dyDescent="0.25">
      <c r="A139" s="40" t="s">
        <v>193</v>
      </c>
      <c r="B139" s="41">
        <v>79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1">
        <f t="shared" si="25"/>
        <v>0</v>
      </c>
    </row>
    <row r="140" spans="1:15" x14ac:dyDescent="0.25">
      <c r="A140" s="40" t="s">
        <v>136</v>
      </c>
      <c r="B140" s="41">
        <v>80</v>
      </c>
      <c r="C140" s="50">
        <v>508.48</v>
      </c>
      <c r="D140" s="50">
        <v>367.24</v>
      </c>
      <c r="E140" s="50">
        <v>1092.71</v>
      </c>
      <c r="F140" s="50">
        <v>557.55999999999995</v>
      </c>
      <c r="G140" s="50">
        <v>557.55999999999995</v>
      </c>
      <c r="H140" s="50">
        <v>557.55999999999995</v>
      </c>
      <c r="I140" s="50">
        <v>557.55999999999995</v>
      </c>
      <c r="J140" s="50">
        <v>557.55999999999995</v>
      </c>
      <c r="K140" s="50">
        <v>557.55999999999995</v>
      </c>
      <c r="L140" s="50">
        <v>557.55999999999995</v>
      </c>
      <c r="M140" s="50">
        <v>557.55999999999995</v>
      </c>
      <c r="N140" s="50">
        <v>557.55999999999995</v>
      </c>
      <c r="O140" s="51">
        <f t="shared" si="25"/>
        <v>6986.4699999999975</v>
      </c>
    </row>
    <row r="141" spans="1:15" x14ac:dyDescent="0.25">
      <c r="A141" s="40" t="s">
        <v>138</v>
      </c>
      <c r="B141" s="41">
        <v>81</v>
      </c>
      <c r="C141" s="50">
        <v>18.36</v>
      </c>
      <c r="D141" s="50">
        <v>12.24</v>
      </c>
      <c r="E141" s="50">
        <v>11.62</v>
      </c>
      <c r="F141" s="50">
        <v>11.5</v>
      </c>
      <c r="G141" s="50">
        <v>12.78</v>
      </c>
      <c r="H141" s="50">
        <v>12.78</v>
      </c>
      <c r="I141" s="50">
        <v>19.170000000000002</v>
      </c>
      <c r="J141" s="50">
        <v>12.78</v>
      </c>
      <c r="K141" s="50">
        <v>12.14</v>
      </c>
      <c r="L141" s="50">
        <v>0</v>
      </c>
      <c r="M141" s="50">
        <v>0</v>
      </c>
      <c r="N141" s="50">
        <v>0</v>
      </c>
      <c r="O141" s="51">
        <f t="shared" si="25"/>
        <v>123.37</v>
      </c>
    </row>
    <row r="142" spans="1:15" x14ac:dyDescent="0.25">
      <c r="A142" s="40" t="s">
        <v>194</v>
      </c>
      <c r="B142" s="41">
        <v>82</v>
      </c>
      <c r="C142" s="50">
        <v>188.54</v>
      </c>
      <c r="D142" s="50">
        <v>1876</v>
      </c>
      <c r="E142" s="50">
        <v>43</v>
      </c>
      <c r="F142" s="50">
        <v>2310.66</v>
      </c>
      <c r="G142" s="50">
        <v>4143.66</v>
      </c>
      <c r="H142" s="50">
        <v>2310.66</v>
      </c>
      <c r="I142" s="50">
        <v>1190.02</v>
      </c>
      <c r="J142" s="50">
        <v>1876</v>
      </c>
      <c r="K142" s="50">
        <v>43</v>
      </c>
      <c r="L142" s="50">
        <v>43</v>
      </c>
      <c r="M142" s="50">
        <v>1876</v>
      </c>
      <c r="N142" s="50">
        <v>43</v>
      </c>
      <c r="O142" s="51">
        <f t="shared" si="25"/>
        <v>15943.54</v>
      </c>
    </row>
    <row r="143" spans="1:15" x14ac:dyDescent="0.25">
      <c r="A143" s="40" t="s">
        <v>139</v>
      </c>
      <c r="B143" s="41">
        <v>83</v>
      </c>
      <c r="C143" s="50">
        <v>986.43</v>
      </c>
      <c r="D143" s="50">
        <v>657.62</v>
      </c>
      <c r="E143" s="50">
        <v>658</v>
      </c>
      <c r="F143" s="50">
        <v>3685.66</v>
      </c>
      <c r="G143" s="50">
        <v>3469.5099999999998</v>
      </c>
      <c r="H143" s="50">
        <v>2380.83</v>
      </c>
      <c r="I143" s="50">
        <v>1436.66</v>
      </c>
      <c r="J143" s="50">
        <v>957.77</v>
      </c>
      <c r="K143" s="50">
        <v>957.77</v>
      </c>
      <c r="L143" s="50">
        <v>0</v>
      </c>
      <c r="M143" s="50">
        <v>0</v>
      </c>
      <c r="N143" s="50">
        <v>0</v>
      </c>
      <c r="O143" s="51">
        <f t="shared" si="25"/>
        <v>15190.25</v>
      </c>
    </row>
    <row r="144" spans="1:15" x14ac:dyDescent="0.25">
      <c r="A144" s="40" t="s">
        <v>195</v>
      </c>
      <c r="B144" s="80">
        <v>84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1">
        <f t="shared" si="25"/>
        <v>0</v>
      </c>
    </row>
    <row r="145" spans="1:15" x14ac:dyDescent="0.25">
      <c r="A145" s="81" t="s">
        <v>196</v>
      </c>
      <c r="B145" s="82"/>
      <c r="C145" s="83">
        <f>SUM(C138:C144)</f>
        <v>47081.87000000001</v>
      </c>
      <c r="D145" s="83">
        <f>SUM(D138:D144)</f>
        <v>33166.470000000008</v>
      </c>
      <c r="E145" s="83">
        <f>SUM(E138:E144)</f>
        <v>32058.7</v>
      </c>
      <c r="F145" s="83">
        <f t="shared" ref="F145:N145" si="26">SUM(F138:F144)</f>
        <v>37980.28</v>
      </c>
      <c r="G145" s="83">
        <f t="shared" si="26"/>
        <v>41866.07</v>
      </c>
      <c r="H145" s="83">
        <f t="shared" si="26"/>
        <v>43479.709999999992</v>
      </c>
      <c r="I145" s="83">
        <f t="shared" si="26"/>
        <v>58620.95</v>
      </c>
      <c r="J145" s="83">
        <f t="shared" si="26"/>
        <v>58821.67</v>
      </c>
      <c r="K145" s="83">
        <f t="shared" si="26"/>
        <v>56657.789999999994</v>
      </c>
      <c r="L145" s="83">
        <f t="shared" si="26"/>
        <v>600.55999999999995</v>
      </c>
      <c r="M145" s="83">
        <f t="shared" si="26"/>
        <v>2433.56</v>
      </c>
      <c r="N145" s="83">
        <f t="shared" si="26"/>
        <v>600.55999999999995</v>
      </c>
      <c r="O145" s="84">
        <f t="shared" si="25"/>
        <v>413368.18999999994</v>
      </c>
    </row>
    <row r="146" spans="1:15" x14ac:dyDescent="0.25">
      <c r="A146" s="40"/>
      <c r="B146" s="41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51"/>
    </row>
    <row r="147" spans="1:15" x14ac:dyDescent="0.25">
      <c r="A147" s="40" t="s">
        <v>197</v>
      </c>
      <c r="B147" s="41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51"/>
    </row>
    <row r="148" spans="1:15" x14ac:dyDescent="0.25">
      <c r="A148" s="40" t="s">
        <v>198</v>
      </c>
      <c r="B148" s="41">
        <v>85</v>
      </c>
      <c r="C148" s="50">
        <v>58004.75</v>
      </c>
      <c r="D148" s="50">
        <v>41916.589999999997</v>
      </c>
      <c r="E148" s="50">
        <v>42468.71</v>
      </c>
      <c r="F148" s="50">
        <v>33946.090000000004</v>
      </c>
      <c r="G148" s="50">
        <v>42251.97</v>
      </c>
      <c r="H148" s="50">
        <v>47216.140000000007</v>
      </c>
      <c r="I148" s="50">
        <v>51183.7</v>
      </c>
      <c r="J148" s="50">
        <v>39962.25</v>
      </c>
      <c r="K148" s="50">
        <v>45340.36</v>
      </c>
      <c r="L148" s="50">
        <v>46877.95</v>
      </c>
      <c r="M148" s="50">
        <v>60330.76</v>
      </c>
      <c r="N148" s="50">
        <v>67639.08</v>
      </c>
      <c r="O148" s="51">
        <f t="shared" ref="O148:O156" si="27">SUM(C148:N148)</f>
        <v>577138.35</v>
      </c>
    </row>
    <row r="149" spans="1:15" x14ac:dyDescent="0.25">
      <c r="A149" s="40" t="s">
        <v>199</v>
      </c>
      <c r="B149" s="41">
        <v>86</v>
      </c>
      <c r="C149" s="50">
        <v>4000.34</v>
      </c>
      <c r="D149" s="50">
        <v>999.6</v>
      </c>
      <c r="E149" s="50">
        <v>2989.04</v>
      </c>
      <c r="F149" s="50">
        <v>4239.79</v>
      </c>
      <c r="G149" s="50">
        <v>4239.79</v>
      </c>
      <c r="H149" s="50">
        <v>4239.79</v>
      </c>
      <c r="I149" s="50">
        <v>4239.79</v>
      </c>
      <c r="J149" s="50">
        <v>4239.79</v>
      </c>
      <c r="K149" s="50">
        <v>4239.79</v>
      </c>
      <c r="L149" s="50">
        <v>4239.79</v>
      </c>
      <c r="M149" s="50">
        <v>4239.79</v>
      </c>
      <c r="N149" s="50">
        <v>4239.79</v>
      </c>
      <c r="O149" s="51">
        <f t="shared" si="27"/>
        <v>46147.090000000004</v>
      </c>
    </row>
    <row r="150" spans="1:15" x14ac:dyDescent="0.25">
      <c r="A150" s="40" t="s">
        <v>136</v>
      </c>
      <c r="B150" s="41">
        <v>87</v>
      </c>
      <c r="C150" s="50">
        <v>4576.3599999999997</v>
      </c>
      <c r="D150" s="50">
        <v>3305.1600000000003</v>
      </c>
      <c r="E150" s="50">
        <v>9834.4000000000015</v>
      </c>
      <c r="F150" s="50">
        <v>5018.04</v>
      </c>
      <c r="G150" s="50">
        <v>5018.04</v>
      </c>
      <c r="H150" s="50">
        <v>5018.04</v>
      </c>
      <c r="I150" s="50">
        <v>5018.04</v>
      </c>
      <c r="J150" s="50">
        <v>5018.04</v>
      </c>
      <c r="K150" s="50">
        <v>4460.4799999999996</v>
      </c>
      <c r="L150" s="50">
        <v>4460.4799999999996</v>
      </c>
      <c r="M150" s="50">
        <v>5760.79</v>
      </c>
      <c r="N150" s="50">
        <v>5760.79</v>
      </c>
      <c r="O150" s="51">
        <f t="shared" si="27"/>
        <v>63248.66</v>
      </c>
    </row>
    <row r="151" spans="1:15" x14ac:dyDescent="0.25">
      <c r="A151" s="40" t="s">
        <v>138</v>
      </c>
      <c r="B151" s="41">
        <v>88</v>
      </c>
      <c r="C151" s="50">
        <v>172.28</v>
      </c>
      <c r="D151" s="50">
        <v>113.00000000000001</v>
      </c>
      <c r="E151" s="50">
        <v>112.86</v>
      </c>
      <c r="F151" s="50">
        <v>104.42</v>
      </c>
      <c r="G151" s="50">
        <v>126.42</v>
      </c>
      <c r="H151" s="50">
        <v>124.66</v>
      </c>
      <c r="I151" s="50">
        <v>188.95</v>
      </c>
      <c r="J151" s="50">
        <v>120.11</v>
      </c>
      <c r="K151" s="50">
        <v>-497.4</v>
      </c>
      <c r="L151" s="50">
        <v>142.58000000000001</v>
      </c>
      <c r="M151" s="50">
        <v>173.64</v>
      </c>
      <c r="N151" s="50">
        <v>258.32</v>
      </c>
      <c r="O151" s="51">
        <f t="shared" si="27"/>
        <v>1139.8399999999999</v>
      </c>
    </row>
    <row r="152" spans="1:15" x14ac:dyDescent="0.25">
      <c r="A152" s="40" t="s">
        <v>153</v>
      </c>
      <c r="B152" s="41">
        <v>89</v>
      </c>
      <c r="C152" s="50">
        <v>2766.4399999999996</v>
      </c>
      <c r="D152" s="50">
        <v>1602.14</v>
      </c>
      <c r="E152" s="50">
        <v>1920.41</v>
      </c>
      <c r="F152" s="50">
        <v>1894.46</v>
      </c>
      <c r="G152" s="50">
        <v>1945.91</v>
      </c>
      <c r="H152" s="50">
        <v>2175.02</v>
      </c>
      <c r="I152" s="50">
        <v>2959.6400000000003</v>
      </c>
      <c r="J152" s="50">
        <v>1744.01</v>
      </c>
      <c r="K152" s="50">
        <v>1751.08</v>
      </c>
      <c r="L152" s="50">
        <v>2111.8599999999997</v>
      </c>
      <c r="M152" s="50">
        <v>2152.38</v>
      </c>
      <c r="N152" s="50">
        <v>3183.67</v>
      </c>
      <c r="O152" s="51">
        <f t="shared" si="27"/>
        <v>26207.020000000004</v>
      </c>
    </row>
    <row r="153" spans="1:15" x14ac:dyDescent="0.25">
      <c r="A153" s="40" t="s">
        <v>139</v>
      </c>
      <c r="B153" s="41">
        <v>90</v>
      </c>
      <c r="C153" s="50">
        <v>4940.8100000000013</v>
      </c>
      <c r="D153" s="50">
        <v>3387.1100000000006</v>
      </c>
      <c r="E153" s="50">
        <v>3554.4800000000005</v>
      </c>
      <c r="F153" s="50">
        <v>3538.9000000000005</v>
      </c>
      <c r="G153" s="50">
        <v>3550.6099999999997</v>
      </c>
      <c r="H153" s="50">
        <v>3598.7400000000002</v>
      </c>
      <c r="I153" s="50">
        <v>5546.6800000000012</v>
      </c>
      <c r="J153" s="50">
        <v>3141.79</v>
      </c>
      <c r="K153" s="50">
        <v>3789.4099999999994</v>
      </c>
      <c r="L153" s="50">
        <v>4244.9800000000005</v>
      </c>
      <c r="M153" s="50">
        <v>4698.72</v>
      </c>
      <c r="N153" s="50">
        <v>7023.5300000000007</v>
      </c>
      <c r="O153" s="51">
        <f t="shared" si="27"/>
        <v>51015.760000000009</v>
      </c>
    </row>
    <row r="154" spans="1:15" x14ac:dyDescent="0.25">
      <c r="A154" s="40" t="s">
        <v>140</v>
      </c>
      <c r="B154" s="41">
        <v>91</v>
      </c>
      <c r="C154" s="50">
        <v>278.43</v>
      </c>
      <c r="D154" s="50">
        <v>0</v>
      </c>
      <c r="E154" s="50">
        <v>320.47000000000003</v>
      </c>
      <c r="F154" s="50">
        <v>199.76</v>
      </c>
      <c r="G154" s="50">
        <v>73.81</v>
      </c>
      <c r="H154" s="50">
        <v>253.43</v>
      </c>
      <c r="I154" s="50">
        <v>0</v>
      </c>
      <c r="J154" s="50">
        <v>243.47</v>
      </c>
      <c r="K154" s="50">
        <v>153.97999999999999</v>
      </c>
      <c r="L154" s="50">
        <v>448.8</v>
      </c>
      <c r="M154" s="50">
        <v>309.91000000000003</v>
      </c>
      <c r="N154" s="50">
        <v>554.46</v>
      </c>
      <c r="O154" s="51">
        <f t="shared" si="27"/>
        <v>2836.52</v>
      </c>
    </row>
    <row r="155" spans="1:15" x14ac:dyDescent="0.25">
      <c r="A155" s="40" t="s">
        <v>154</v>
      </c>
      <c r="B155" s="80">
        <v>92</v>
      </c>
      <c r="C155" s="52">
        <v>0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1">
        <f t="shared" si="27"/>
        <v>0</v>
      </c>
    </row>
    <row r="156" spans="1:15" x14ac:dyDescent="0.25">
      <c r="A156" s="81" t="s">
        <v>200</v>
      </c>
      <c r="B156" s="82"/>
      <c r="C156" s="83">
        <f>SUM(C148:C155)</f>
        <v>74739.409999999989</v>
      </c>
      <c r="D156" s="83">
        <f>SUM(D148:D155)</f>
        <v>51323.6</v>
      </c>
      <c r="E156" s="83">
        <f>SUM(E148:E155)</f>
        <v>61200.37000000001</v>
      </c>
      <c r="F156" s="83">
        <f t="shared" ref="F156:N156" si="28">SUM(F148:F155)</f>
        <v>48941.460000000006</v>
      </c>
      <c r="G156" s="83">
        <f t="shared" si="28"/>
        <v>57206.55</v>
      </c>
      <c r="H156" s="83">
        <f t="shared" si="28"/>
        <v>62625.820000000007</v>
      </c>
      <c r="I156" s="83">
        <f t="shared" si="28"/>
        <v>69136.800000000003</v>
      </c>
      <c r="J156" s="83">
        <f t="shared" si="28"/>
        <v>54469.460000000006</v>
      </c>
      <c r="K156" s="83">
        <f t="shared" si="28"/>
        <v>59237.700000000004</v>
      </c>
      <c r="L156" s="83">
        <f t="shared" si="28"/>
        <v>62526.44000000001</v>
      </c>
      <c r="M156" s="83">
        <f t="shared" si="28"/>
        <v>77665.990000000005</v>
      </c>
      <c r="N156" s="83">
        <f t="shared" si="28"/>
        <v>88659.64</v>
      </c>
      <c r="O156" s="84">
        <f t="shared" si="27"/>
        <v>767733.24000000011</v>
      </c>
    </row>
    <row r="157" spans="1:15" x14ac:dyDescent="0.25">
      <c r="A157" s="40"/>
      <c r="B157" s="41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51"/>
    </row>
    <row r="158" spans="1:15" x14ac:dyDescent="0.25">
      <c r="A158" s="40" t="s">
        <v>201</v>
      </c>
      <c r="B158" s="41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51"/>
    </row>
    <row r="159" spans="1:15" x14ac:dyDescent="0.25">
      <c r="A159" s="40" t="s">
        <v>202</v>
      </c>
      <c r="B159" s="41">
        <v>93</v>
      </c>
      <c r="C159" s="50">
        <v>3825</v>
      </c>
      <c r="D159" s="50">
        <v>3825</v>
      </c>
      <c r="E159" s="50">
        <v>3825</v>
      </c>
      <c r="F159" s="50">
        <v>3825</v>
      </c>
      <c r="G159" s="50">
        <v>3825</v>
      </c>
      <c r="H159" s="50">
        <v>3825</v>
      </c>
      <c r="I159" s="50">
        <v>3825</v>
      </c>
      <c r="J159" s="50">
        <v>3825</v>
      </c>
      <c r="K159" s="50">
        <v>3825</v>
      </c>
      <c r="L159" s="50">
        <v>3825</v>
      </c>
      <c r="M159" s="50">
        <v>3825</v>
      </c>
      <c r="N159" s="50">
        <v>3825</v>
      </c>
      <c r="O159" s="51">
        <f t="shared" ref="O159:O177" si="29">SUM(C159:N159)</f>
        <v>45900</v>
      </c>
    </row>
    <row r="160" spans="1:15" x14ac:dyDescent="0.25">
      <c r="A160" s="40" t="s">
        <v>203</v>
      </c>
      <c r="B160" s="41">
        <v>94</v>
      </c>
      <c r="C160" s="50">
        <v>387.27</v>
      </c>
      <c r="D160" s="50">
        <v>387.27</v>
      </c>
      <c r="E160" s="50">
        <v>387.26</v>
      </c>
      <c r="F160" s="50">
        <v>387.27</v>
      </c>
      <c r="G160" s="50">
        <v>387.27</v>
      </c>
      <c r="H160" s="50">
        <v>387.27</v>
      </c>
      <c r="I160" s="50">
        <v>387.27</v>
      </c>
      <c r="J160" s="50">
        <v>387.27</v>
      </c>
      <c r="K160" s="50">
        <v>387.27</v>
      </c>
      <c r="L160" s="50">
        <v>387.27</v>
      </c>
      <c r="M160" s="50">
        <v>387.27</v>
      </c>
      <c r="N160" s="50">
        <v>387.27</v>
      </c>
      <c r="O160" s="51">
        <f t="shared" si="29"/>
        <v>4647.2299999999996</v>
      </c>
    </row>
    <row r="161" spans="1:15" x14ac:dyDescent="0.25">
      <c r="A161" s="40" t="s">
        <v>204</v>
      </c>
      <c r="B161" s="41">
        <v>95</v>
      </c>
      <c r="C161" s="50">
        <v>914.25</v>
      </c>
      <c r="D161" s="50">
        <v>217.5</v>
      </c>
      <c r="E161" s="50">
        <v>484.89</v>
      </c>
      <c r="F161" s="50">
        <v>457.72</v>
      </c>
      <c r="G161" s="50">
        <v>901.98</v>
      </c>
      <c r="H161" s="50">
        <v>675.59</v>
      </c>
      <c r="I161" s="50">
        <v>217.5</v>
      </c>
      <c r="J161" s="50">
        <v>788.02</v>
      </c>
      <c r="K161" s="50">
        <v>544.27</v>
      </c>
      <c r="L161" s="50">
        <v>662.31</v>
      </c>
      <c r="M161" s="50">
        <v>516.37</v>
      </c>
      <c r="N161" s="50">
        <v>217.5</v>
      </c>
      <c r="O161" s="51">
        <f t="shared" si="29"/>
        <v>6597.8999999999987</v>
      </c>
    </row>
    <row r="162" spans="1:15" x14ac:dyDescent="0.25">
      <c r="A162" s="40" t="s">
        <v>205</v>
      </c>
      <c r="B162" s="41">
        <v>96</v>
      </c>
      <c r="C162" s="50">
        <v>2182.98</v>
      </c>
      <c r="D162" s="50">
        <v>12863.85</v>
      </c>
      <c r="E162" s="50">
        <v>20215.990000000002</v>
      </c>
      <c r="F162" s="50">
        <v>11262.17</v>
      </c>
      <c r="G162" s="50">
        <v>10808.07</v>
      </c>
      <c r="H162" s="50">
        <v>15603.55</v>
      </c>
      <c r="I162" s="50">
        <v>10964.07</v>
      </c>
      <c r="J162" s="50">
        <v>16265.4</v>
      </c>
      <c r="K162" s="50">
        <v>13611.24</v>
      </c>
      <c r="L162" s="50">
        <v>15272.859999999999</v>
      </c>
      <c r="M162" s="50">
        <v>12578.93</v>
      </c>
      <c r="N162" s="50">
        <v>13677.830000000002</v>
      </c>
      <c r="O162" s="51">
        <f t="shared" si="29"/>
        <v>155306.94</v>
      </c>
    </row>
    <row r="163" spans="1:15" x14ac:dyDescent="0.25">
      <c r="A163" s="40" t="s">
        <v>206</v>
      </c>
      <c r="B163" s="41">
        <v>97</v>
      </c>
      <c r="C163" s="50">
        <v>8470.39</v>
      </c>
      <c r="D163" s="50">
        <v>14874.73</v>
      </c>
      <c r="E163" s="50">
        <v>8322.1299999999992</v>
      </c>
      <c r="F163" s="50">
        <v>8972.5</v>
      </c>
      <c r="G163" s="50">
        <v>8626.8799999999992</v>
      </c>
      <c r="H163" s="50">
        <v>10579.68</v>
      </c>
      <c r="I163" s="50">
        <v>10620.35</v>
      </c>
      <c r="J163" s="50">
        <v>12011.67</v>
      </c>
      <c r="K163" s="50">
        <v>12793.29</v>
      </c>
      <c r="L163" s="50">
        <v>16161.449999999999</v>
      </c>
      <c r="M163" s="50">
        <v>15590.13</v>
      </c>
      <c r="N163" s="50">
        <v>10712.04</v>
      </c>
      <c r="O163" s="51">
        <f t="shared" si="29"/>
        <v>137735.24</v>
      </c>
    </row>
    <row r="164" spans="1:15" x14ac:dyDescent="0.25">
      <c r="A164" s="40" t="s">
        <v>163</v>
      </c>
      <c r="B164" s="41">
        <v>98</v>
      </c>
      <c r="C164" s="50">
        <v>527.17999999999995</v>
      </c>
      <c r="D164" s="50">
        <v>543.59</v>
      </c>
      <c r="E164" s="50">
        <v>704.4</v>
      </c>
      <c r="F164" s="50">
        <v>436.73</v>
      </c>
      <c r="G164" s="50">
        <v>760.15</v>
      </c>
      <c r="H164" s="50">
        <v>822.94</v>
      </c>
      <c r="I164" s="50">
        <v>669.28</v>
      </c>
      <c r="J164" s="50">
        <v>966.32</v>
      </c>
      <c r="K164" s="50">
        <v>858.28</v>
      </c>
      <c r="L164" s="50">
        <v>-299.57</v>
      </c>
      <c r="M164" s="50">
        <v>510.97</v>
      </c>
      <c r="N164" s="50">
        <v>636.66999999999996</v>
      </c>
      <c r="O164" s="51">
        <f t="shared" si="29"/>
        <v>7136.9400000000005</v>
      </c>
    </row>
    <row r="165" spans="1:15" x14ac:dyDescent="0.25">
      <c r="A165" s="40" t="s">
        <v>207</v>
      </c>
      <c r="B165" s="41">
        <v>99</v>
      </c>
      <c r="C165" s="50">
        <v>3096.9</v>
      </c>
      <c r="D165" s="50">
        <v>4446.3500000000004</v>
      </c>
      <c r="E165" s="50">
        <v>3400.35</v>
      </c>
      <c r="F165" s="50">
        <v>720.01</v>
      </c>
      <c r="G165" s="50">
        <v>2301</v>
      </c>
      <c r="H165" s="50">
        <v>2378.48</v>
      </c>
      <c r="I165" s="50">
        <v>2226.14</v>
      </c>
      <c r="J165" s="50">
        <v>1684.35</v>
      </c>
      <c r="K165" s="50">
        <v>2246.6999999999998</v>
      </c>
      <c r="L165" s="50">
        <v>2082.7600000000002</v>
      </c>
      <c r="M165" s="50">
        <v>2270.85</v>
      </c>
      <c r="N165" s="50">
        <v>2169.6999999999998</v>
      </c>
      <c r="O165" s="51">
        <f t="shared" si="29"/>
        <v>29023.59</v>
      </c>
    </row>
    <row r="166" spans="1:15" x14ac:dyDescent="0.25">
      <c r="A166" s="40" t="s">
        <v>208</v>
      </c>
      <c r="B166" s="41">
        <v>100</v>
      </c>
      <c r="C166" s="50">
        <v>2140</v>
      </c>
      <c r="D166" s="50">
        <v>1440</v>
      </c>
      <c r="E166" s="50">
        <v>2351</v>
      </c>
      <c r="F166" s="50">
        <v>2465</v>
      </c>
      <c r="G166" s="50">
        <v>2845</v>
      </c>
      <c r="H166" s="50">
        <v>2015</v>
      </c>
      <c r="I166" s="50">
        <v>1885</v>
      </c>
      <c r="J166" s="50">
        <v>3065</v>
      </c>
      <c r="K166" s="50">
        <v>1839</v>
      </c>
      <c r="L166" s="50">
        <v>1790</v>
      </c>
      <c r="M166" s="50">
        <v>1790</v>
      </c>
      <c r="N166" s="50">
        <v>1790</v>
      </c>
      <c r="O166" s="51">
        <f t="shared" si="29"/>
        <v>25415</v>
      </c>
    </row>
    <row r="167" spans="1:15" x14ac:dyDescent="0.25">
      <c r="A167" s="40" t="s">
        <v>209</v>
      </c>
      <c r="B167" s="41">
        <v>101</v>
      </c>
      <c r="C167" s="50">
        <v>0</v>
      </c>
      <c r="D167" s="50">
        <v>0</v>
      </c>
      <c r="E167" s="50">
        <v>1875</v>
      </c>
      <c r="F167" s="50">
        <v>130</v>
      </c>
      <c r="G167" s="50">
        <v>0</v>
      </c>
      <c r="H167" s="50">
        <v>1875</v>
      </c>
      <c r="I167" s="50">
        <v>0</v>
      </c>
      <c r="J167" s="50">
        <v>0</v>
      </c>
      <c r="K167" s="50">
        <v>1875</v>
      </c>
      <c r="L167" s="50">
        <v>0</v>
      </c>
      <c r="M167" s="50">
        <v>100</v>
      </c>
      <c r="N167" s="50">
        <v>1875</v>
      </c>
      <c r="O167" s="51">
        <f t="shared" si="29"/>
        <v>7730</v>
      </c>
    </row>
    <row r="168" spans="1:15" x14ac:dyDescent="0.25">
      <c r="A168" s="40" t="s">
        <v>210</v>
      </c>
      <c r="B168" s="41">
        <v>102</v>
      </c>
      <c r="C168" s="50">
        <v>867.21</v>
      </c>
      <c r="D168" s="50">
        <v>0</v>
      </c>
      <c r="E168" s="50">
        <v>47878.15</v>
      </c>
      <c r="F168" s="50">
        <v>179.53</v>
      </c>
      <c r="G168" s="50">
        <v>10059.26</v>
      </c>
      <c r="H168" s="50">
        <v>531.26</v>
      </c>
      <c r="I168" s="50">
        <v>1223.67</v>
      </c>
      <c r="J168" s="50">
        <v>1426.84</v>
      </c>
      <c r="K168" s="50">
        <v>798.61</v>
      </c>
      <c r="L168" s="50">
        <v>-456.68</v>
      </c>
      <c r="M168" s="50">
        <v>455.66</v>
      </c>
      <c r="N168" s="50">
        <v>352.18</v>
      </c>
      <c r="O168" s="51">
        <f t="shared" si="29"/>
        <v>63315.69</v>
      </c>
    </row>
    <row r="169" spans="1:15" x14ac:dyDescent="0.25">
      <c r="A169" s="40" t="s">
        <v>211</v>
      </c>
      <c r="B169" s="41">
        <v>103</v>
      </c>
      <c r="C169" s="50">
        <v>0</v>
      </c>
      <c r="D169" s="50">
        <v>0</v>
      </c>
      <c r="E169" s="50">
        <v>2319.6999999999998</v>
      </c>
      <c r="F169" s="50">
        <v>0</v>
      </c>
      <c r="G169" s="50">
        <v>323.48</v>
      </c>
      <c r="H169" s="50">
        <v>0</v>
      </c>
      <c r="I169" s="50">
        <v>950</v>
      </c>
      <c r="J169" s="50">
        <v>0</v>
      </c>
      <c r="K169" s="50">
        <v>0</v>
      </c>
      <c r="L169" s="50">
        <v>2356.62</v>
      </c>
      <c r="M169" s="50">
        <v>0</v>
      </c>
      <c r="N169" s="50">
        <v>4256.62</v>
      </c>
      <c r="O169" s="51">
        <f t="shared" si="29"/>
        <v>10206.419999999998</v>
      </c>
    </row>
    <row r="170" spans="1:15" x14ac:dyDescent="0.25">
      <c r="A170" s="40" t="s">
        <v>212</v>
      </c>
      <c r="B170" s="41">
        <v>104</v>
      </c>
      <c r="C170" s="50">
        <v>300.29000000000002</v>
      </c>
      <c r="D170" s="50">
        <v>735.21</v>
      </c>
      <c r="E170" s="50">
        <v>6351.21</v>
      </c>
      <c r="F170" s="50">
        <v>1937</v>
      </c>
      <c r="G170" s="50">
        <v>366.21</v>
      </c>
      <c r="H170" s="50">
        <v>2567.4499999999998</v>
      </c>
      <c r="I170" s="50">
        <v>1846.29</v>
      </c>
      <c r="J170" s="50">
        <v>1017.64</v>
      </c>
      <c r="K170" s="50">
        <v>379.5</v>
      </c>
      <c r="L170" s="50">
        <v>19.5</v>
      </c>
      <c r="M170" s="50">
        <v>5708.77</v>
      </c>
      <c r="N170" s="50">
        <v>1175</v>
      </c>
      <c r="O170" s="51">
        <f t="shared" si="29"/>
        <v>22404.07</v>
      </c>
    </row>
    <row r="171" spans="1:15" x14ac:dyDescent="0.25">
      <c r="A171" s="40" t="s">
        <v>213</v>
      </c>
      <c r="B171" s="41">
        <v>105</v>
      </c>
      <c r="C171" s="50">
        <v>4.5999999999999996</v>
      </c>
      <c r="D171" s="50">
        <v>691.81999999999994</v>
      </c>
      <c r="E171" s="50">
        <v>95.3</v>
      </c>
      <c r="F171" s="50">
        <v>3000.48</v>
      </c>
      <c r="G171" s="50">
        <v>4690.18</v>
      </c>
      <c r="H171" s="50">
        <v>2557.4</v>
      </c>
      <c r="I171" s="50">
        <v>-20.8</v>
      </c>
      <c r="J171" s="50">
        <v>8591.26</v>
      </c>
      <c r="K171" s="50">
        <v>173.89</v>
      </c>
      <c r="L171" s="50">
        <v>1429.83</v>
      </c>
      <c r="M171" s="50">
        <v>432.58</v>
      </c>
      <c r="N171" s="50">
        <v>1074.8800000000001</v>
      </c>
      <c r="O171" s="51">
        <f t="shared" si="29"/>
        <v>22721.420000000002</v>
      </c>
    </row>
    <row r="172" spans="1:15" x14ac:dyDescent="0.25">
      <c r="A172" s="40" t="s">
        <v>214</v>
      </c>
      <c r="B172" s="41">
        <v>106</v>
      </c>
      <c r="C172" s="50">
        <v>1751.55</v>
      </c>
      <c r="D172" s="50">
        <v>2160.25</v>
      </c>
      <c r="E172" s="50">
        <v>1955.9</v>
      </c>
      <c r="F172" s="50">
        <v>1955.9</v>
      </c>
      <c r="G172" s="50">
        <v>3420.7</v>
      </c>
      <c r="H172" s="50">
        <v>2101.5500000000002</v>
      </c>
      <c r="I172" s="50">
        <v>3350</v>
      </c>
      <c r="J172" s="50">
        <v>853.1</v>
      </c>
      <c r="K172" s="50">
        <v>2101.5500000000002</v>
      </c>
      <c r="L172" s="50">
        <v>3468.27</v>
      </c>
      <c r="M172" s="50">
        <v>1955.9</v>
      </c>
      <c r="N172" s="50">
        <v>2101.5500000000002</v>
      </c>
      <c r="O172" s="51">
        <f t="shared" si="29"/>
        <v>27176.219999999998</v>
      </c>
    </row>
    <row r="173" spans="1:15" x14ac:dyDescent="0.25">
      <c r="A173" s="40" t="s">
        <v>215</v>
      </c>
      <c r="B173" s="41">
        <v>107</v>
      </c>
      <c r="C173" s="50">
        <v>4505.43</v>
      </c>
      <c r="D173" s="50">
        <v>76.66</v>
      </c>
      <c r="E173" s="50">
        <v>6766.77</v>
      </c>
      <c r="F173" s="50">
        <v>4794.3999999999996</v>
      </c>
      <c r="G173" s="50">
        <v>7082.27</v>
      </c>
      <c r="H173" s="50">
        <v>14388.2</v>
      </c>
      <c r="I173" s="50">
        <v>5578.15</v>
      </c>
      <c r="J173" s="50">
        <v>3100.48</v>
      </c>
      <c r="K173" s="50">
        <v>3394.84</v>
      </c>
      <c r="L173" s="50">
        <v>2020.21</v>
      </c>
      <c r="M173" s="50">
        <v>1135.1199999999999</v>
      </c>
      <c r="N173" s="50">
        <v>30.92</v>
      </c>
      <c r="O173" s="51">
        <f t="shared" si="29"/>
        <v>52873.45</v>
      </c>
    </row>
    <row r="174" spans="1:15" x14ac:dyDescent="0.25">
      <c r="A174" s="40" t="s">
        <v>216</v>
      </c>
      <c r="B174" s="41">
        <v>108</v>
      </c>
      <c r="C174" s="50">
        <v>7811.2</v>
      </c>
      <c r="D174" s="50">
        <v>18436.599999999999</v>
      </c>
      <c r="E174" s="50">
        <v>-2519.7399999999998</v>
      </c>
      <c r="F174" s="50">
        <v>12096.25</v>
      </c>
      <c r="G174" s="50">
        <v>22756.86</v>
      </c>
      <c r="H174" s="50">
        <v>21316.49</v>
      </c>
      <c r="I174" s="50">
        <v>25420.080000000002</v>
      </c>
      <c r="J174" s="50">
        <v>14946.25</v>
      </c>
      <c r="K174" s="50">
        <v>12878.75</v>
      </c>
      <c r="L174" s="50">
        <v>25172.9</v>
      </c>
      <c r="M174" s="50">
        <v>8832.5</v>
      </c>
      <c r="N174" s="50">
        <v>12215.3</v>
      </c>
      <c r="O174" s="51">
        <f t="shared" si="29"/>
        <v>179363.43999999997</v>
      </c>
    </row>
    <row r="175" spans="1:15" x14ac:dyDescent="0.25">
      <c r="A175" s="40" t="s">
        <v>217</v>
      </c>
      <c r="B175" s="41">
        <v>109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1">
        <f t="shared" si="29"/>
        <v>0</v>
      </c>
    </row>
    <row r="176" spans="1:15" x14ac:dyDescent="0.25">
      <c r="A176" s="40" t="s">
        <v>218</v>
      </c>
      <c r="B176" s="41">
        <v>110</v>
      </c>
      <c r="C176" s="52">
        <v>8.98</v>
      </c>
      <c r="D176" s="52">
        <v>0</v>
      </c>
      <c r="E176" s="52">
        <v>29.73</v>
      </c>
      <c r="F176" s="52">
        <v>0</v>
      </c>
      <c r="G176" s="52">
        <v>0</v>
      </c>
      <c r="H176" s="52">
        <v>0</v>
      </c>
      <c r="I176" s="52">
        <v>3200</v>
      </c>
      <c r="J176" s="52">
        <v>3422.58</v>
      </c>
      <c r="K176" s="52">
        <v>5800.34</v>
      </c>
      <c r="L176" s="52">
        <v>0</v>
      </c>
      <c r="M176" s="52">
        <v>3548.57</v>
      </c>
      <c r="N176" s="52">
        <v>4974.99</v>
      </c>
      <c r="O176" s="51">
        <f t="shared" si="29"/>
        <v>20985.190000000002</v>
      </c>
    </row>
    <row r="177" spans="1:16" x14ac:dyDescent="0.25">
      <c r="A177" s="81" t="s">
        <v>219</v>
      </c>
      <c r="B177" s="82"/>
      <c r="C177" s="83">
        <f>SUM(C159:C176)</f>
        <v>36793.230000000003</v>
      </c>
      <c r="D177" s="83">
        <f>SUM(D159:D176)</f>
        <v>60698.83</v>
      </c>
      <c r="E177" s="83">
        <f>SUM(E159:E176)</f>
        <v>104443.04000000001</v>
      </c>
      <c r="F177" s="83">
        <f t="shared" ref="F177:N177" si="30">SUM(F159:F176)</f>
        <v>52619.96</v>
      </c>
      <c r="G177" s="83">
        <f t="shared" si="30"/>
        <v>79154.31</v>
      </c>
      <c r="H177" s="83">
        <f t="shared" si="30"/>
        <v>81624.860000000015</v>
      </c>
      <c r="I177" s="83">
        <f t="shared" si="30"/>
        <v>72342</v>
      </c>
      <c r="J177" s="83">
        <f t="shared" si="30"/>
        <v>72351.180000000008</v>
      </c>
      <c r="K177" s="83">
        <f t="shared" si="30"/>
        <v>63507.53</v>
      </c>
      <c r="L177" s="83">
        <f t="shared" si="30"/>
        <v>73892.73000000001</v>
      </c>
      <c r="M177" s="83">
        <f t="shared" si="30"/>
        <v>59638.62</v>
      </c>
      <c r="N177" s="83">
        <f t="shared" si="30"/>
        <v>61472.450000000004</v>
      </c>
      <c r="O177" s="84">
        <f t="shared" si="29"/>
        <v>818538.74</v>
      </c>
    </row>
    <row r="178" spans="1:16" x14ac:dyDescent="0.25">
      <c r="A178" s="40"/>
      <c r="B178" s="41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51"/>
    </row>
    <row r="179" spans="1:16" x14ac:dyDescent="0.25">
      <c r="A179" s="85" t="s">
        <v>220</v>
      </c>
      <c r="B179" s="86"/>
      <c r="C179" s="87">
        <f>C145+C156+C177</f>
        <v>158614.51</v>
      </c>
      <c r="D179" s="87">
        <f>D145+D156+D177</f>
        <v>145188.90000000002</v>
      </c>
      <c r="E179" s="87">
        <f>E145+E156+E177</f>
        <v>197702.11000000002</v>
      </c>
      <c r="F179" s="87">
        <f t="shared" ref="F179:N179" si="31">F145+F156+F177</f>
        <v>139541.70000000001</v>
      </c>
      <c r="G179" s="87">
        <f t="shared" si="31"/>
        <v>178226.93</v>
      </c>
      <c r="H179" s="87">
        <f t="shared" si="31"/>
        <v>187730.39</v>
      </c>
      <c r="I179" s="87">
        <f t="shared" si="31"/>
        <v>200099.75</v>
      </c>
      <c r="J179" s="87">
        <f t="shared" si="31"/>
        <v>185642.31</v>
      </c>
      <c r="K179" s="87">
        <f t="shared" si="31"/>
        <v>179403.02</v>
      </c>
      <c r="L179" s="87">
        <f t="shared" si="31"/>
        <v>137019.73000000001</v>
      </c>
      <c r="M179" s="87">
        <f t="shared" si="31"/>
        <v>139738.17000000001</v>
      </c>
      <c r="N179" s="87">
        <f t="shared" si="31"/>
        <v>150732.65</v>
      </c>
      <c r="O179" s="88">
        <f>SUM(C179:N179)</f>
        <v>1999640.17</v>
      </c>
    </row>
    <row r="180" spans="1:16" x14ac:dyDescent="0.25">
      <c r="A180" s="40"/>
      <c r="B180" s="41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51"/>
    </row>
    <row r="181" spans="1:16" x14ac:dyDescent="0.25">
      <c r="A181" s="40"/>
      <c r="B181" s="41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51"/>
    </row>
    <row r="182" spans="1:16" x14ac:dyDescent="0.25">
      <c r="A182" s="40" t="s">
        <v>221</v>
      </c>
      <c r="B182" s="41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51"/>
    </row>
    <row r="183" spans="1:16" x14ac:dyDescent="0.25">
      <c r="A183" s="40" t="s">
        <v>222</v>
      </c>
      <c r="B183" s="41">
        <v>111</v>
      </c>
      <c r="C183" s="50">
        <v>46794.91</v>
      </c>
      <c r="D183" s="50">
        <v>0</v>
      </c>
      <c r="E183" s="50">
        <v>-18439.97</v>
      </c>
      <c r="F183" s="50">
        <v>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-4590.6000000000004</v>
      </c>
      <c r="M183" s="50">
        <v>0</v>
      </c>
      <c r="N183" s="50">
        <v>-6605.54</v>
      </c>
      <c r="O183" s="51">
        <f t="shared" ref="O183:O189" si="32">SUM(C183:N183)</f>
        <v>17158.800000000003</v>
      </c>
    </row>
    <row r="184" spans="1:16" x14ac:dyDescent="0.25">
      <c r="A184" s="40" t="s">
        <v>223</v>
      </c>
      <c r="B184" s="41">
        <v>112</v>
      </c>
      <c r="C184" s="50">
        <v>1882.05</v>
      </c>
      <c r="D184" s="50">
        <v>1250.51</v>
      </c>
      <c r="E184" s="50">
        <v>1566.45</v>
      </c>
      <c r="F184" s="50">
        <v>968.95</v>
      </c>
      <c r="G184" s="50">
        <v>2043.99</v>
      </c>
      <c r="H184" s="50">
        <v>2965.34</v>
      </c>
      <c r="I184" s="50">
        <v>3430.55</v>
      </c>
      <c r="J184" s="50">
        <v>2034.34</v>
      </c>
      <c r="K184" s="50">
        <v>2258.6999999999998</v>
      </c>
      <c r="L184" s="50">
        <v>2318.06</v>
      </c>
      <c r="M184" s="50">
        <v>1850.98</v>
      </c>
      <c r="N184" s="50">
        <v>1396.21</v>
      </c>
      <c r="O184" s="51">
        <f t="shared" si="32"/>
        <v>23966.13</v>
      </c>
    </row>
    <row r="185" spans="1:16" x14ac:dyDescent="0.25">
      <c r="A185" s="40" t="s">
        <v>224</v>
      </c>
      <c r="B185" s="41">
        <v>113</v>
      </c>
      <c r="C185" s="50">
        <v>0</v>
      </c>
      <c r="D185" s="50">
        <v>0</v>
      </c>
      <c r="E185" s="50">
        <v>0</v>
      </c>
      <c r="F185" s="50">
        <v>0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1">
        <f t="shared" si="32"/>
        <v>0</v>
      </c>
    </row>
    <row r="186" spans="1:16" x14ac:dyDescent="0.25">
      <c r="A186" s="40" t="s">
        <v>225</v>
      </c>
      <c r="B186" s="41">
        <v>114</v>
      </c>
      <c r="C186" s="50">
        <v>0</v>
      </c>
      <c r="D186" s="50">
        <v>0</v>
      </c>
      <c r="E186" s="50">
        <v>-451.78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1">
        <f t="shared" si="32"/>
        <v>-451.78</v>
      </c>
    </row>
    <row r="187" spans="1:16" x14ac:dyDescent="0.25">
      <c r="A187" s="40" t="s">
        <v>226</v>
      </c>
      <c r="B187" s="41">
        <v>115</v>
      </c>
      <c r="C187" s="50">
        <v>0</v>
      </c>
      <c r="D187" s="50">
        <v>49.31</v>
      </c>
      <c r="E187" s="50">
        <v>0</v>
      </c>
      <c r="F187" s="50">
        <v>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1027.33</v>
      </c>
      <c r="O187" s="51">
        <f t="shared" si="32"/>
        <v>1076.6399999999999</v>
      </c>
    </row>
    <row r="188" spans="1:16" x14ac:dyDescent="0.25">
      <c r="A188" s="40" t="s">
        <v>227</v>
      </c>
      <c r="B188" s="41">
        <v>116</v>
      </c>
      <c r="C188" s="50">
        <v>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1">
        <f t="shared" si="32"/>
        <v>0</v>
      </c>
    </row>
    <row r="189" spans="1:16" x14ac:dyDescent="0.25">
      <c r="A189" s="53" t="s">
        <v>228</v>
      </c>
      <c r="B189" s="54"/>
      <c r="C189" s="55">
        <f>SUM(C183:C188)</f>
        <v>48676.960000000006</v>
      </c>
      <c r="D189" s="55">
        <f>SUM(D183:D188)</f>
        <v>1299.82</v>
      </c>
      <c r="E189" s="55">
        <f>SUM(E183:E188)</f>
        <v>-17325.3</v>
      </c>
      <c r="F189" s="55">
        <f>SUM(F183:F188)</f>
        <v>968.95</v>
      </c>
      <c r="G189" s="55">
        <f t="shared" ref="G189:N189" si="33">SUM(G183:G188)</f>
        <v>2043.99</v>
      </c>
      <c r="H189" s="55">
        <f t="shared" si="33"/>
        <v>2965.34</v>
      </c>
      <c r="I189" s="55">
        <f t="shared" si="33"/>
        <v>3430.55</v>
      </c>
      <c r="J189" s="55">
        <f t="shared" si="33"/>
        <v>2034.34</v>
      </c>
      <c r="K189" s="55">
        <f t="shared" si="33"/>
        <v>2258.6999999999998</v>
      </c>
      <c r="L189" s="55">
        <f t="shared" si="33"/>
        <v>-2272.5400000000004</v>
      </c>
      <c r="M189" s="55">
        <f t="shared" si="33"/>
        <v>1850.98</v>
      </c>
      <c r="N189" s="55">
        <f t="shared" si="33"/>
        <v>-4182</v>
      </c>
      <c r="O189" s="56">
        <f t="shared" si="32"/>
        <v>41749.790000000008</v>
      </c>
    </row>
    <row r="190" spans="1:16" x14ac:dyDescent="0.25">
      <c r="A190" s="40"/>
      <c r="B190" s="41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51"/>
    </row>
    <row r="191" spans="1:16" ht="16.5" thickBot="1" x14ac:dyDescent="0.3">
      <c r="A191" s="89" t="s">
        <v>229</v>
      </c>
      <c r="B191" s="90"/>
      <c r="C191" s="91">
        <f>C134-C179-C189</f>
        <v>-72718.25000000016</v>
      </c>
      <c r="D191" s="91">
        <f>D134-D179-D189</f>
        <v>82847.719999999972</v>
      </c>
      <c r="E191" s="91">
        <f>E134-E179-E189</f>
        <v>155717.42999999991</v>
      </c>
      <c r="F191" s="91">
        <f t="shared" ref="F191:N191" si="34">F134-F179-F189</f>
        <v>185551.71000000008</v>
      </c>
      <c r="G191" s="91">
        <f t="shared" si="34"/>
        <v>15156.39999999984</v>
      </c>
      <c r="H191" s="91">
        <f t="shared" si="34"/>
        <v>184493.68000000002</v>
      </c>
      <c r="I191" s="91">
        <f t="shared" si="34"/>
        <v>78624.689999999988</v>
      </c>
      <c r="J191" s="91">
        <f t="shared" si="34"/>
        <v>73484.39999999982</v>
      </c>
      <c r="K191" s="91">
        <f t="shared" si="34"/>
        <v>82181.199999999939</v>
      </c>
      <c r="L191" s="91">
        <f t="shared" si="34"/>
        <v>197105.7199999998</v>
      </c>
      <c r="M191" s="91">
        <f t="shared" si="34"/>
        <v>87202.130000000136</v>
      </c>
      <c r="N191" s="91">
        <f t="shared" si="34"/>
        <v>89298.580000000104</v>
      </c>
      <c r="O191" s="92">
        <f>SUM(C191:N191)</f>
        <v>1158945.4099999995</v>
      </c>
      <c r="P191" s="341"/>
    </row>
    <row r="192" spans="1:16" ht="16.5" thickTop="1" x14ac:dyDescent="0.25">
      <c r="A192" s="69"/>
      <c r="B192" s="80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4"/>
    </row>
    <row r="193" spans="1:15" x14ac:dyDescent="0.25">
      <c r="A193" s="44"/>
      <c r="B193" s="80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</row>
  </sheetData>
  <mergeCells count="2">
    <mergeCell ref="A1:O1"/>
    <mergeCell ref="A2:O2"/>
  </mergeCells>
  <pageMargins left="0" right="0" top="0.75" bottom="0.75" header="0.3" footer="0.3"/>
  <pageSetup scale="62" fitToHeight="0" orientation="landscape" r:id="rId1"/>
  <headerFooter>
    <oddFooter>&amp;L&amp;D&amp;C&amp;A&amp;RPage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4"/>
  <sheetViews>
    <sheetView workbookViewId="0">
      <selection sqref="A1:H52"/>
    </sheetView>
  </sheetViews>
  <sheetFormatPr defaultRowHeight="15.75" x14ac:dyDescent="0.25"/>
  <cols>
    <col min="1" max="1" width="5.6640625" customWidth="1"/>
    <col min="2" max="2" width="1.6640625" customWidth="1"/>
    <col min="3" max="3" width="44.5546875" bestFit="1" customWidth="1"/>
    <col min="4" max="4" width="11.21875" customWidth="1"/>
    <col min="5" max="5" width="2.44140625" customWidth="1"/>
    <col min="6" max="6" width="11.21875" customWidth="1"/>
    <col min="7" max="7" width="2.5546875" customWidth="1"/>
    <col min="8" max="8" width="11.21875" customWidth="1"/>
  </cols>
  <sheetData>
    <row r="1" spans="1:8" x14ac:dyDescent="0.25">
      <c r="A1" s="514" t="s">
        <v>3050</v>
      </c>
      <c r="B1" s="515"/>
      <c r="C1" s="516"/>
      <c r="D1" s="517"/>
      <c r="E1" s="515"/>
      <c r="F1" s="515"/>
      <c r="G1" s="515"/>
      <c r="H1" s="515"/>
    </row>
    <row r="2" spans="1:8" x14ac:dyDescent="0.25">
      <c r="A2" s="518" t="s">
        <v>3051</v>
      </c>
      <c r="B2" s="515"/>
      <c r="C2" s="519"/>
      <c r="D2" s="517"/>
      <c r="E2" s="515"/>
      <c r="F2" s="515"/>
      <c r="G2" s="515"/>
      <c r="H2" s="515"/>
    </row>
    <row r="3" spans="1:8" x14ac:dyDescent="0.25">
      <c r="A3" s="520" t="s">
        <v>3052</v>
      </c>
      <c r="B3" s="515"/>
      <c r="C3" s="516"/>
      <c r="D3" s="517"/>
      <c r="E3" s="515"/>
      <c r="F3" s="515"/>
      <c r="G3" s="515"/>
      <c r="H3" s="515"/>
    </row>
    <row r="4" spans="1:8" x14ac:dyDescent="0.25">
      <c r="A4" s="517"/>
      <c r="B4" s="517"/>
      <c r="C4" s="517"/>
      <c r="D4" s="521"/>
      <c r="E4" s="515"/>
      <c r="F4" s="515"/>
      <c r="G4" s="515"/>
      <c r="H4" s="515"/>
    </row>
    <row r="5" spans="1:8" x14ac:dyDescent="0.25">
      <c r="A5" s="522"/>
      <c r="B5" s="517"/>
      <c r="C5" s="517"/>
      <c r="D5" s="521" t="s">
        <v>3053</v>
      </c>
      <c r="E5" s="515"/>
      <c r="F5" s="515"/>
      <c r="G5" s="515"/>
      <c r="H5" s="523" t="s">
        <v>255</v>
      </c>
    </row>
    <row r="6" spans="1:8" x14ac:dyDescent="0.25">
      <c r="A6" s="517"/>
      <c r="B6" s="517"/>
      <c r="C6" s="517"/>
      <c r="D6" s="524">
        <v>42643</v>
      </c>
      <c r="E6" s="515"/>
      <c r="F6" s="523" t="s">
        <v>254</v>
      </c>
      <c r="G6" s="515"/>
      <c r="H6" s="523" t="s">
        <v>3054</v>
      </c>
    </row>
    <row r="7" spans="1:8" x14ac:dyDescent="0.25">
      <c r="A7" s="525" t="s">
        <v>3055</v>
      </c>
      <c r="B7" s="514" t="s">
        <v>3056</v>
      </c>
      <c r="C7" s="514"/>
      <c r="D7" s="517"/>
      <c r="E7" s="515"/>
      <c r="F7" s="515"/>
      <c r="G7" s="515"/>
      <c r="H7" s="515"/>
    </row>
    <row r="8" spans="1:8" x14ac:dyDescent="0.25">
      <c r="A8" s="515"/>
      <c r="B8" s="515" t="s">
        <v>3057</v>
      </c>
      <c r="C8" s="515"/>
      <c r="D8" s="515"/>
      <c r="E8" s="515"/>
      <c r="F8" s="515"/>
      <c r="G8" s="515"/>
      <c r="H8" s="515"/>
    </row>
    <row r="9" spans="1:8" x14ac:dyDescent="0.25">
      <c r="A9" s="515">
        <v>1000</v>
      </c>
      <c r="B9" s="515"/>
      <c r="C9" s="515" t="s">
        <v>3058</v>
      </c>
      <c r="D9" s="526">
        <v>419460.28999999992</v>
      </c>
      <c r="E9" s="515"/>
      <c r="F9" s="527"/>
      <c r="G9" s="515"/>
      <c r="H9" s="528">
        <f>D9+F9</f>
        <v>419460.28999999992</v>
      </c>
    </row>
    <row r="10" spans="1:8" x14ac:dyDescent="0.25">
      <c r="A10" s="515">
        <v>1100</v>
      </c>
      <c r="B10" s="515"/>
      <c r="C10" s="529" t="s">
        <v>3059</v>
      </c>
      <c r="D10" s="530">
        <v>1190661.43</v>
      </c>
      <c r="E10" s="515"/>
      <c r="F10" s="527"/>
      <c r="G10" s="515"/>
      <c r="H10" s="531">
        <f>D10+F10</f>
        <v>1190661.43</v>
      </c>
    </row>
    <row r="11" spans="1:8" x14ac:dyDescent="0.25">
      <c r="A11" s="515"/>
      <c r="B11" s="515"/>
      <c r="C11" s="529" t="s">
        <v>3060</v>
      </c>
      <c r="D11" s="530">
        <v>0</v>
      </c>
      <c r="E11" s="515"/>
      <c r="F11" s="527"/>
      <c r="G11" s="515"/>
      <c r="H11" s="531">
        <f t="shared" ref="H11:H49" si="0">D11+F11</f>
        <v>0</v>
      </c>
    </row>
    <row r="12" spans="1:8" x14ac:dyDescent="0.25">
      <c r="A12" s="515">
        <v>1150</v>
      </c>
      <c r="B12" s="515"/>
      <c r="C12" s="529" t="s">
        <v>3061</v>
      </c>
      <c r="D12" s="530">
        <v>173362.31</v>
      </c>
      <c r="E12" s="515"/>
      <c r="F12" s="527"/>
      <c r="G12" s="515"/>
      <c r="H12" s="532">
        <f t="shared" si="0"/>
        <v>173362.31</v>
      </c>
    </row>
    <row r="13" spans="1:8" x14ac:dyDescent="0.25">
      <c r="A13" s="515"/>
      <c r="B13" s="515"/>
      <c r="C13" s="515"/>
      <c r="D13" s="533">
        <v>1783484.0299999998</v>
      </c>
      <c r="E13" s="515"/>
      <c r="F13" s="527"/>
      <c r="G13" s="515"/>
      <c r="H13" s="531">
        <f>SUM(H9:H12)</f>
        <v>1783484.0299999998</v>
      </c>
    </row>
    <row r="14" spans="1:8" x14ac:dyDescent="0.25">
      <c r="A14" s="515"/>
      <c r="B14" s="515"/>
      <c r="C14" s="515"/>
      <c r="D14" s="534"/>
      <c r="E14" s="515"/>
      <c r="F14" s="527"/>
      <c r="G14" s="515"/>
      <c r="H14" s="531"/>
    </row>
    <row r="15" spans="1:8" x14ac:dyDescent="0.25">
      <c r="A15" s="515"/>
      <c r="B15" s="515" t="s">
        <v>3062</v>
      </c>
      <c r="C15" s="515"/>
      <c r="D15" s="534"/>
      <c r="E15" s="515"/>
      <c r="F15" s="527"/>
      <c r="G15" s="515"/>
      <c r="H15" s="531"/>
    </row>
    <row r="16" spans="1:8" x14ac:dyDescent="0.25">
      <c r="A16" s="515">
        <v>1200</v>
      </c>
      <c r="B16" s="515"/>
      <c r="C16" s="529" t="s">
        <v>3063</v>
      </c>
      <c r="D16" s="530">
        <v>8995480.2799999993</v>
      </c>
      <c r="E16" s="515"/>
      <c r="F16" s="527"/>
      <c r="G16" s="515"/>
      <c r="H16" s="531">
        <f t="shared" si="0"/>
        <v>8995480.2799999993</v>
      </c>
    </row>
    <row r="17" spans="1:8" x14ac:dyDescent="0.25">
      <c r="A17" s="535">
        <v>1250</v>
      </c>
      <c r="B17" s="535"/>
      <c r="C17" s="536" t="s">
        <v>3064</v>
      </c>
      <c r="D17" s="530">
        <v>-4966345.9600000009</v>
      </c>
      <c r="E17" s="515"/>
      <c r="F17" s="527"/>
      <c r="G17" s="515"/>
      <c r="H17" s="532">
        <f t="shared" si="0"/>
        <v>-4966345.9600000009</v>
      </c>
    </row>
    <row r="18" spans="1:8" x14ac:dyDescent="0.25">
      <c r="A18" s="535"/>
      <c r="B18" s="535"/>
      <c r="C18" s="535" t="s">
        <v>3065</v>
      </c>
      <c r="D18" s="537">
        <v>4029134.3199999984</v>
      </c>
      <c r="E18" s="515"/>
      <c r="F18" s="527"/>
      <c r="G18" s="515"/>
      <c r="H18" s="531">
        <f>SUM(H16:H17)</f>
        <v>4029134.3199999984</v>
      </c>
    </row>
    <row r="19" spans="1:8" x14ac:dyDescent="0.25">
      <c r="A19" s="535"/>
      <c r="B19" s="535"/>
      <c r="C19" s="535"/>
      <c r="D19" s="538"/>
      <c r="E19" s="515"/>
      <c r="F19" s="527"/>
      <c r="G19" s="515"/>
      <c r="H19" s="531"/>
    </row>
    <row r="20" spans="1:8" x14ac:dyDescent="0.25">
      <c r="A20" s="535">
        <v>1500</v>
      </c>
      <c r="B20" s="535" t="s">
        <v>3066</v>
      </c>
      <c r="C20" s="535"/>
      <c r="D20" s="530">
        <v>257344.16999999995</v>
      </c>
      <c r="E20" s="515"/>
      <c r="F20" s="527"/>
      <c r="G20" s="515"/>
      <c r="H20" s="531">
        <f t="shared" si="0"/>
        <v>257344.16999999995</v>
      </c>
    </row>
    <row r="21" spans="1:8" x14ac:dyDescent="0.25">
      <c r="A21" s="535">
        <v>1300</v>
      </c>
      <c r="B21" s="535" t="s">
        <v>3067</v>
      </c>
      <c r="C21" s="535"/>
      <c r="D21" s="530">
        <v>0</v>
      </c>
      <c r="E21" s="515"/>
      <c r="F21" s="527"/>
      <c r="G21" s="515"/>
      <c r="H21" s="531"/>
    </row>
    <row r="22" spans="1:8" x14ac:dyDescent="0.25">
      <c r="A22" s="535"/>
      <c r="B22" s="535"/>
      <c r="C22" s="535"/>
      <c r="D22" s="538"/>
      <c r="E22" s="515"/>
      <c r="F22" s="527"/>
      <c r="G22" s="515"/>
      <c r="H22" s="531"/>
    </row>
    <row r="23" spans="1:8" ht="16.5" thickBot="1" x14ac:dyDescent="0.3">
      <c r="A23" s="535"/>
      <c r="B23" s="535" t="s">
        <v>3068</v>
      </c>
      <c r="C23" s="535"/>
      <c r="D23" s="539">
        <v>6069962.5199999977</v>
      </c>
      <c r="E23" s="515"/>
      <c r="F23" s="527"/>
      <c r="G23" s="515"/>
      <c r="H23" s="540">
        <f>H13+H18+H20</f>
        <v>6069962.5199999977</v>
      </c>
    </row>
    <row r="24" spans="1:8" ht="16.5" thickTop="1" x14ac:dyDescent="0.25">
      <c r="A24" s="535"/>
      <c r="B24" s="535"/>
      <c r="C24" s="535"/>
      <c r="D24" s="541"/>
      <c r="E24" s="515"/>
      <c r="F24" s="527"/>
      <c r="G24" s="515"/>
      <c r="H24" s="531"/>
    </row>
    <row r="25" spans="1:8" x14ac:dyDescent="0.25">
      <c r="A25" s="542"/>
      <c r="B25" s="543" t="s">
        <v>3069</v>
      </c>
      <c r="C25" s="543"/>
      <c r="D25" s="544"/>
      <c r="E25" s="515"/>
      <c r="F25" s="527"/>
      <c r="G25" s="515"/>
      <c r="H25" s="531"/>
    </row>
    <row r="26" spans="1:8" x14ac:dyDescent="0.25">
      <c r="A26" s="535"/>
      <c r="B26" s="535" t="s">
        <v>3070</v>
      </c>
      <c r="C26" s="535"/>
      <c r="D26" s="545"/>
      <c r="E26" s="515"/>
      <c r="F26" s="527"/>
      <c r="G26" s="515"/>
      <c r="H26" s="531"/>
    </row>
    <row r="27" spans="1:8" x14ac:dyDescent="0.25">
      <c r="A27" s="535">
        <v>2050</v>
      </c>
      <c r="B27" s="535"/>
      <c r="C27" s="515" t="s">
        <v>3071</v>
      </c>
      <c r="D27" s="526">
        <v>191392.22000000003</v>
      </c>
      <c r="E27" s="515"/>
      <c r="F27" s="527"/>
      <c r="G27" s="515"/>
      <c r="H27" s="526">
        <f t="shared" si="0"/>
        <v>191392.22000000003</v>
      </c>
    </row>
    <row r="28" spans="1:8" x14ac:dyDescent="0.25">
      <c r="A28" s="535">
        <v>2100</v>
      </c>
      <c r="B28" s="535"/>
      <c r="C28" s="515" t="s">
        <v>3072</v>
      </c>
      <c r="D28" s="530">
        <v>48444.160000000003</v>
      </c>
      <c r="E28" s="515"/>
      <c r="F28" s="527"/>
      <c r="G28" s="515"/>
      <c r="H28" s="531">
        <f t="shared" si="0"/>
        <v>48444.160000000003</v>
      </c>
    </row>
    <row r="29" spans="1:8" x14ac:dyDescent="0.25">
      <c r="A29" s="535">
        <v>2150</v>
      </c>
      <c r="B29" s="535"/>
      <c r="C29" s="515" t="s">
        <v>3073</v>
      </c>
      <c r="D29" s="530">
        <v>155079.29</v>
      </c>
      <c r="E29" s="515"/>
      <c r="F29" s="527"/>
      <c r="G29" s="515"/>
      <c r="H29" s="531">
        <f t="shared" si="0"/>
        <v>155079.29</v>
      </c>
    </row>
    <row r="30" spans="1:8" x14ac:dyDescent="0.25">
      <c r="A30" s="535">
        <v>2550</v>
      </c>
      <c r="B30" s="535"/>
      <c r="C30" s="515" t="s">
        <v>3074</v>
      </c>
      <c r="D30" s="530">
        <v>704121</v>
      </c>
      <c r="E30" s="515"/>
      <c r="F30" s="527"/>
      <c r="G30" s="515"/>
      <c r="H30" s="531">
        <f t="shared" si="0"/>
        <v>704121</v>
      </c>
    </row>
    <row r="31" spans="1:8" x14ac:dyDescent="0.25">
      <c r="A31" s="535"/>
      <c r="B31" s="535"/>
      <c r="C31" s="515" t="s">
        <v>3075</v>
      </c>
      <c r="D31" s="534"/>
      <c r="E31" s="515"/>
      <c r="F31" s="527"/>
      <c r="G31" s="515"/>
      <c r="H31" s="531">
        <f t="shared" si="0"/>
        <v>0</v>
      </c>
    </row>
    <row r="32" spans="1:8" x14ac:dyDescent="0.25">
      <c r="A32" s="535">
        <v>2400</v>
      </c>
      <c r="B32" s="535"/>
      <c r="C32" s="515" t="s">
        <v>3076</v>
      </c>
      <c r="D32" s="530">
        <v>279930.56</v>
      </c>
      <c r="E32" s="515"/>
      <c r="F32" s="527"/>
      <c r="G32" s="515"/>
      <c r="H32" s="532">
        <f t="shared" si="0"/>
        <v>279930.56</v>
      </c>
    </row>
    <row r="33" spans="1:8" x14ac:dyDescent="0.25">
      <c r="A33" s="535"/>
      <c r="B33" s="535"/>
      <c r="C33" s="535"/>
      <c r="D33" s="537">
        <v>1378967.23</v>
      </c>
      <c r="E33" s="515"/>
      <c r="F33" s="527"/>
      <c r="G33" s="515"/>
      <c r="H33" s="531">
        <f>SUM(H27:H32)</f>
        <v>1378967.23</v>
      </c>
    </row>
    <row r="34" spans="1:8" x14ac:dyDescent="0.25">
      <c r="A34" s="535"/>
      <c r="B34" s="535"/>
      <c r="C34" s="515"/>
      <c r="D34" s="538"/>
      <c r="E34" s="515"/>
      <c r="F34" s="527"/>
      <c r="G34" s="515"/>
      <c r="H34" s="531"/>
    </row>
    <row r="35" spans="1:8" x14ac:dyDescent="0.25">
      <c r="A35" s="535"/>
      <c r="B35" s="535" t="s">
        <v>3077</v>
      </c>
      <c r="C35" s="535"/>
      <c r="D35" s="538"/>
      <c r="E35" s="515"/>
      <c r="F35" s="527"/>
      <c r="G35" s="515"/>
      <c r="H35" s="531"/>
    </row>
    <row r="36" spans="1:8" x14ac:dyDescent="0.25">
      <c r="A36" s="535"/>
      <c r="B36" s="535"/>
      <c r="C36" s="535" t="s">
        <v>3078</v>
      </c>
      <c r="D36" s="530">
        <v>0</v>
      </c>
      <c r="E36" s="515"/>
      <c r="F36" s="527"/>
      <c r="G36" s="515"/>
      <c r="H36" s="531">
        <f t="shared" si="0"/>
        <v>0</v>
      </c>
    </row>
    <row r="37" spans="1:8" x14ac:dyDescent="0.25">
      <c r="A37" s="535"/>
      <c r="B37" s="535"/>
      <c r="C37" s="535" t="s">
        <v>3079</v>
      </c>
      <c r="D37" s="530">
        <v>0</v>
      </c>
      <c r="E37" s="515"/>
      <c r="F37" s="527"/>
      <c r="G37" s="515"/>
      <c r="H37" s="532">
        <f t="shared" si="0"/>
        <v>0</v>
      </c>
    </row>
    <row r="38" spans="1:8" x14ac:dyDescent="0.25">
      <c r="A38" s="535"/>
      <c r="B38" s="535"/>
      <c r="C38" s="535"/>
      <c r="D38" s="537">
        <v>0</v>
      </c>
      <c r="E38" s="515"/>
      <c r="F38" s="527"/>
      <c r="G38" s="515"/>
      <c r="H38" s="531">
        <f t="shared" si="0"/>
        <v>0</v>
      </c>
    </row>
    <row r="39" spans="1:8" x14ac:dyDescent="0.25">
      <c r="A39" s="535"/>
      <c r="B39" s="535"/>
      <c r="C39" s="535"/>
      <c r="D39" s="538"/>
      <c r="E39" s="515"/>
      <c r="F39" s="527"/>
      <c r="G39" s="515"/>
      <c r="H39" s="531"/>
    </row>
    <row r="40" spans="1:8" x14ac:dyDescent="0.25">
      <c r="A40" s="535"/>
      <c r="B40" s="535" t="s">
        <v>3080</v>
      </c>
      <c r="C40" s="535"/>
      <c r="D40" s="546">
        <v>1378967.23</v>
      </c>
      <c r="E40" s="515"/>
      <c r="F40" s="527"/>
      <c r="G40" s="515"/>
      <c r="H40" s="547">
        <f>H33+H38</f>
        <v>1378967.23</v>
      </c>
    </row>
    <row r="41" spans="1:8" x14ac:dyDescent="0.25">
      <c r="A41" s="535"/>
      <c r="B41" s="535"/>
      <c r="C41" s="535"/>
      <c r="D41" s="538"/>
      <c r="E41" s="515"/>
      <c r="F41" s="527"/>
      <c r="G41" s="515"/>
      <c r="H41" s="531"/>
    </row>
    <row r="42" spans="1:8" x14ac:dyDescent="0.25">
      <c r="A42" s="535"/>
      <c r="B42" s="535" t="s">
        <v>3081</v>
      </c>
      <c r="C42" s="535"/>
      <c r="D42" s="538"/>
      <c r="E42" s="515"/>
      <c r="F42" s="527"/>
      <c r="G42" s="515"/>
      <c r="H42" s="531"/>
    </row>
    <row r="43" spans="1:8" x14ac:dyDescent="0.25">
      <c r="A43" s="535">
        <v>2700</v>
      </c>
      <c r="B43" s="535"/>
      <c r="C43" s="535" t="s">
        <v>3082</v>
      </c>
      <c r="D43" s="530">
        <v>1387001</v>
      </c>
      <c r="E43" s="515"/>
      <c r="F43" s="527"/>
      <c r="G43" s="515"/>
      <c r="H43" s="531">
        <f t="shared" si="0"/>
        <v>1387001</v>
      </c>
    </row>
    <row r="44" spans="1:8" x14ac:dyDescent="0.25">
      <c r="A44" s="535">
        <v>2710</v>
      </c>
      <c r="B44" s="535"/>
      <c r="C44" s="535" t="s">
        <v>3083</v>
      </c>
      <c r="D44" s="530"/>
      <c r="E44" s="515"/>
      <c r="F44" s="527"/>
      <c r="G44" s="515"/>
      <c r="H44" s="531"/>
    </row>
    <row r="45" spans="1:8" x14ac:dyDescent="0.25">
      <c r="A45" s="535">
        <v>2750</v>
      </c>
      <c r="B45" s="535"/>
      <c r="C45" s="535" t="s">
        <v>3084</v>
      </c>
      <c r="D45" s="530">
        <v>-100000</v>
      </c>
      <c r="E45" s="515"/>
      <c r="F45" s="527"/>
      <c r="G45" s="515"/>
      <c r="H45" s="531">
        <f t="shared" si="0"/>
        <v>-100000</v>
      </c>
    </row>
    <row r="46" spans="1:8" x14ac:dyDescent="0.25">
      <c r="A46" s="535">
        <v>2752</v>
      </c>
      <c r="B46" s="535"/>
      <c r="C46" s="535" t="s">
        <v>3085</v>
      </c>
      <c r="D46" s="530">
        <v>-245900</v>
      </c>
      <c r="E46" s="515"/>
      <c r="F46" s="527"/>
      <c r="G46" s="515"/>
      <c r="H46" s="531">
        <f t="shared" si="0"/>
        <v>-245900</v>
      </c>
    </row>
    <row r="47" spans="1:8" x14ac:dyDescent="0.25">
      <c r="A47" s="535">
        <v>2751</v>
      </c>
      <c r="B47" s="535"/>
      <c r="C47" s="535" t="s">
        <v>3086</v>
      </c>
      <c r="D47" s="530">
        <v>-242100</v>
      </c>
      <c r="E47" s="515"/>
      <c r="F47" s="527"/>
      <c r="G47" s="515"/>
      <c r="H47" s="531">
        <f t="shared" si="0"/>
        <v>-242100</v>
      </c>
    </row>
    <row r="48" spans="1:8" x14ac:dyDescent="0.25">
      <c r="A48" s="535">
        <v>2720</v>
      </c>
      <c r="B48" s="535"/>
      <c r="C48" s="535" t="s">
        <v>3087</v>
      </c>
      <c r="D48" s="530">
        <v>2898894.67</v>
      </c>
      <c r="E48" s="515"/>
      <c r="F48" s="527"/>
      <c r="G48" s="515"/>
      <c r="H48" s="531">
        <f t="shared" si="0"/>
        <v>2898894.67</v>
      </c>
    </row>
    <row r="49" spans="1:8" x14ac:dyDescent="0.25">
      <c r="A49" s="535"/>
      <c r="B49" s="535"/>
      <c r="C49" s="535" t="s">
        <v>3088</v>
      </c>
      <c r="D49" s="530">
        <v>993099.61999999941</v>
      </c>
      <c r="E49" s="515"/>
      <c r="F49" s="527"/>
      <c r="G49" s="515"/>
      <c r="H49" s="531">
        <f t="shared" si="0"/>
        <v>993099.61999999941</v>
      </c>
    </row>
    <row r="50" spans="1:8" x14ac:dyDescent="0.25">
      <c r="A50" s="515"/>
      <c r="B50" s="515"/>
      <c r="C50" s="515"/>
      <c r="D50" s="548">
        <v>4690995.2899999991</v>
      </c>
      <c r="E50" s="515"/>
      <c r="F50" s="527"/>
      <c r="G50" s="515"/>
      <c r="H50" s="547">
        <f>SUM(H43:H49)</f>
        <v>4690995.2899999991</v>
      </c>
    </row>
    <row r="51" spans="1:8" x14ac:dyDescent="0.25">
      <c r="A51" s="515"/>
      <c r="B51" s="515"/>
      <c r="C51" s="515"/>
      <c r="D51" s="549"/>
      <c r="E51" s="515"/>
      <c r="F51" s="527"/>
      <c r="G51" s="515"/>
      <c r="H51" s="531"/>
    </row>
    <row r="52" spans="1:8" ht="16.5" thickBot="1" x14ac:dyDescent="0.3">
      <c r="A52" s="515"/>
      <c r="B52" s="515" t="s">
        <v>3089</v>
      </c>
      <c r="C52" s="515"/>
      <c r="D52" s="550">
        <v>6069962.5199999996</v>
      </c>
      <c r="E52" s="515"/>
      <c r="F52" s="527"/>
      <c r="G52" s="515"/>
      <c r="H52" s="540">
        <f>H40+H50</f>
        <v>6069962.5199999996</v>
      </c>
    </row>
    <row r="53" spans="1:8" ht="16.5" thickTop="1" x14ac:dyDescent="0.25">
      <c r="A53" s="515"/>
      <c r="B53" s="515"/>
      <c r="C53" s="515"/>
      <c r="D53" s="515"/>
      <c r="E53" s="515"/>
      <c r="F53" s="515"/>
      <c r="G53" s="515"/>
      <c r="H53" s="515"/>
    </row>
    <row r="54" spans="1:8" x14ac:dyDescent="0.25">
      <c r="A54" s="515"/>
      <c r="B54" s="515"/>
      <c r="C54" s="515"/>
      <c r="D54" s="515"/>
      <c r="E54" s="515"/>
      <c r="F54" s="515"/>
      <c r="G54" s="515"/>
      <c r="H54" s="515"/>
    </row>
  </sheetData>
  <pageMargins left="0.25" right="0.25" top="0.75" bottom="0.75" header="0.3" footer="0.3"/>
  <pageSetup scale="89" orientation="portrait" r:id="rId1"/>
  <headerFooter>
    <oddFooter>&amp;L&amp;D&amp;C&amp;A&amp;RPage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9"/>
  <sheetViews>
    <sheetView workbookViewId="0">
      <pane ySplit="5" topLeftCell="A6" activePane="bottomLeft" state="frozen"/>
      <selection activeCell="B1" sqref="B1"/>
      <selection pane="bottomLeft" activeCell="I16" sqref="I16"/>
    </sheetView>
  </sheetViews>
  <sheetFormatPr defaultRowHeight="15.75" x14ac:dyDescent="0.25"/>
  <cols>
    <col min="1" max="1" width="3.21875" customWidth="1"/>
    <col min="2" max="2" width="3.109375" customWidth="1"/>
    <col min="3" max="3" width="26.109375" customWidth="1"/>
    <col min="4" max="4" width="2" customWidth="1"/>
    <col min="5" max="5" width="10.88671875" customWidth="1"/>
    <col min="6" max="6" width="10.44140625" bestFit="1" customWidth="1"/>
    <col min="7" max="7" width="1.77734375" customWidth="1"/>
    <col min="8" max="8" width="10.109375" customWidth="1"/>
    <col min="9" max="9" width="11.5546875" bestFit="1" customWidth="1"/>
    <col min="10" max="12" width="9.33203125" bestFit="1" customWidth="1"/>
    <col min="13" max="13" width="8.5546875" bestFit="1" customWidth="1"/>
    <col min="14" max="16" width="9.33203125" bestFit="1" customWidth="1"/>
    <col min="17" max="17" width="9.6640625" bestFit="1" customWidth="1"/>
    <col min="18" max="18" width="11.6640625" bestFit="1" customWidth="1"/>
    <col min="19" max="19" width="11.6640625" customWidth="1"/>
    <col min="20" max="20" width="11.44140625" bestFit="1" customWidth="1"/>
    <col min="21" max="21" width="10.44140625" bestFit="1" customWidth="1"/>
  </cols>
  <sheetData>
    <row r="1" spans="1:21" ht="16.5" x14ac:dyDescent="0.25">
      <c r="A1" s="252"/>
      <c r="B1" s="252"/>
      <c r="C1" s="95" t="s">
        <v>2490</v>
      </c>
      <c r="D1" s="252"/>
      <c r="E1" s="253"/>
      <c r="F1" s="252"/>
      <c r="G1" s="252"/>
      <c r="H1" s="254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5"/>
    </row>
    <row r="2" spans="1:21" x14ac:dyDescent="0.25">
      <c r="A2" s="256"/>
      <c r="B2" s="256"/>
      <c r="C2" s="252" t="str">
        <f>'[2]3. ProForma'!A2</f>
        <v>12 mo end 9/30/2016</v>
      </c>
      <c r="D2" s="256"/>
      <c r="E2" s="255"/>
      <c r="F2" s="256"/>
      <c r="G2" s="256"/>
      <c r="H2" s="257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5"/>
    </row>
    <row r="3" spans="1:21" x14ac:dyDescent="0.25">
      <c r="A3" s="252"/>
      <c r="B3" s="252"/>
      <c r="C3" s="252"/>
      <c r="D3" s="252"/>
      <c r="E3" s="255"/>
      <c r="F3" s="258"/>
      <c r="G3" s="258"/>
      <c r="H3" s="257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8"/>
      <c r="U3" s="255"/>
    </row>
    <row r="4" spans="1:21" x14ac:dyDescent="0.25">
      <c r="A4" s="252"/>
      <c r="B4" s="252"/>
      <c r="C4" s="256"/>
      <c r="D4" s="252"/>
      <c r="E4" s="259" t="s">
        <v>2491</v>
      </c>
      <c r="F4" s="258"/>
      <c r="G4" s="258"/>
      <c r="H4" s="260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2"/>
      <c r="U4" s="255"/>
    </row>
    <row r="5" spans="1:21" ht="43.5" x14ac:dyDescent="0.25">
      <c r="A5" s="252"/>
      <c r="B5" s="252"/>
      <c r="C5" s="263" t="s">
        <v>25</v>
      </c>
      <c r="D5" s="252"/>
      <c r="E5" s="264" t="s">
        <v>2492</v>
      </c>
      <c r="F5" s="252"/>
      <c r="G5" s="252"/>
      <c r="H5" s="265" t="s">
        <v>357</v>
      </c>
      <c r="I5" s="266" t="s">
        <v>347</v>
      </c>
      <c r="J5" s="266" t="s">
        <v>353</v>
      </c>
      <c r="K5" s="266" t="s">
        <v>351</v>
      </c>
      <c r="L5" s="266" t="s">
        <v>354</v>
      </c>
      <c r="M5" s="266" t="s">
        <v>355</v>
      </c>
      <c r="N5" s="266" t="s">
        <v>2509</v>
      </c>
      <c r="O5" s="266" t="s">
        <v>349</v>
      </c>
      <c r="P5" s="266" t="s">
        <v>350</v>
      </c>
      <c r="Q5" s="267" t="s">
        <v>352</v>
      </c>
      <c r="R5" s="267" t="s">
        <v>2493</v>
      </c>
      <c r="S5" s="267" t="s">
        <v>2494</v>
      </c>
      <c r="T5" s="267" t="s">
        <v>2495</v>
      </c>
      <c r="U5" s="255"/>
    </row>
    <row r="6" spans="1:21" x14ac:dyDescent="0.25">
      <c r="A6" s="252"/>
      <c r="B6" s="252"/>
      <c r="C6" s="252" t="str">
        <f>'[2]3. ProForma'!A6</f>
        <v>WUTC - Residential</v>
      </c>
      <c r="D6" s="252"/>
      <c r="E6" s="446">
        <f>+'Pro Forma'!G6</f>
        <v>1358663.2999999998</v>
      </c>
      <c r="F6" s="268"/>
      <c r="G6" s="268"/>
      <c r="H6" s="254">
        <f>+E6</f>
        <v>1358663.2999999998</v>
      </c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4"/>
      <c r="U6" s="253">
        <f>E6-(SUM(H6:T6))</f>
        <v>0</v>
      </c>
    </row>
    <row r="7" spans="1:21" x14ac:dyDescent="0.25">
      <c r="A7" s="252"/>
      <c r="B7" s="252"/>
      <c r="C7" s="252" t="str">
        <f>'[2]3. ProForma'!A7</f>
        <v>WUTC - Commercial</v>
      </c>
      <c r="D7" s="252"/>
      <c r="E7" s="446">
        <f>+'Pro Forma'!G7</f>
        <v>903971.34999999986</v>
      </c>
      <c r="F7" s="269"/>
      <c r="G7" s="269"/>
      <c r="H7" s="254">
        <f>+E7</f>
        <v>903971.34999999986</v>
      </c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4"/>
      <c r="U7" s="253">
        <f t="shared" ref="U7:U13" si="0">E7-(SUM(H7:T7))</f>
        <v>0</v>
      </c>
    </row>
    <row r="8" spans="1:21" x14ac:dyDescent="0.25">
      <c r="A8" s="252"/>
      <c r="B8" s="252"/>
      <c r="C8" s="252" t="str">
        <f>'[2]3. ProForma'!A8</f>
        <v>WUCT - Drop Box</v>
      </c>
      <c r="D8" s="252"/>
      <c r="E8" s="446">
        <f>+'Pro Forma'!G8</f>
        <v>943807.81000000017</v>
      </c>
      <c r="F8" s="269"/>
      <c r="G8" s="269"/>
      <c r="H8" s="254">
        <f>+E8</f>
        <v>943807.81000000017</v>
      </c>
      <c r="I8" s="253"/>
      <c r="J8" s="253"/>
      <c r="K8" s="253"/>
      <c r="L8" s="254"/>
      <c r="M8" s="253"/>
      <c r="N8" s="253"/>
      <c r="O8" s="253"/>
      <c r="P8" s="253"/>
      <c r="Q8" s="253"/>
      <c r="R8" s="253"/>
      <c r="S8" s="253"/>
      <c r="T8" s="254"/>
      <c r="U8" s="253">
        <f t="shared" si="0"/>
        <v>0</v>
      </c>
    </row>
    <row r="9" spans="1:21" x14ac:dyDescent="0.25">
      <c r="A9" s="252"/>
      <c r="B9" s="252"/>
      <c r="C9" s="252" t="str">
        <f>'[2]3. ProForma'!A9</f>
        <v>WUTC - Pass Through</v>
      </c>
      <c r="D9" s="252"/>
      <c r="E9" s="446">
        <f>+'Pro Forma'!G9</f>
        <v>897582.8899999999</v>
      </c>
      <c r="F9" s="269"/>
      <c r="G9" s="269"/>
      <c r="H9" s="254">
        <f>+E9</f>
        <v>897582.8899999999</v>
      </c>
      <c r="I9" s="253"/>
      <c r="J9" s="253"/>
      <c r="K9" s="253"/>
      <c r="L9" s="253"/>
      <c r="M9" s="253"/>
      <c r="N9" s="253"/>
      <c r="O9" s="253"/>
      <c r="P9" s="253"/>
      <c r="Q9" s="270"/>
      <c r="R9" s="253"/>
      <c r="S9" s="253"/>
      <c r="T9" s="254"/>
      <c r="U9" s="253">
        <f t="shared" si="0"/>
        <v>0</v>
      </c>
    </row>
    <row r="10" spans="1:21" x14ac:dyDescent="0.25">
      <c r="A10" s="252"/>
      <c r="B10" s="252"/>
      <c r="C10" s="252" t="str">
        <f>'[2]3. ProForma'!A10</f>
        <v xml:space="preserve">WUTC - Other </v>
      </c>
      <c r="D10" s="252"/>
      <c r="E10" s="446">
        <f>+'Pro Forma'!G10</f>
        <v>9491.4600000000009</v>
      </c>
      <c r="F10" s="269"/>
      <c r="G10" s="269"/>
      <c r="H10" s="254">
        <f>+E10</f>
        <v>9491.4600000000009</v>
      </c>
      <c r="I10" s="253"/>
      <c r="J10" s="253"/>
      <c r="K10" s="253"/>
      <c r="L10" s="253"/>
      <c r="M10" s="253"/>
      <c r="N10" s="253"/>
      <c r="O10" s="253"/>
      <c r="P10" s="253"/>
      <c r="Q10" s="270"/>
      <c r="R10" s="253"/>
      <c r="S10" s="253"/>
      <c r="T10" s="254"/>
      <c r="U10" s="253">
        <f t="shared" si="0"/>
        <v>0</v>
      </c>
    </row>
    <row r="11" spans="1:21" x14ac:dyDescent="0.25">
      <c r="A11" s="252"/>
      <c r="B11" s="252"/>
      <c r="C11" s="252" t="str">
        <f>'[2]3. ProForma'!A11</f>
        <v>Contact Revenue</v>
      </c>
      <c r="D11" s="252"/>
      <c r="E11" s="446">
        <f>+'Pro Forma'!G11</f>
        <v>10723829.600000001</v>
      </c>
      <c r="F11" s="269"/>
      <c r="G11" s="269"/>
      <c r="H11" s="254"/>
      <c r="I11" s="253">
        <f>+'12 Month Operating Statement'!O17</f>
        <v>8798669.25</v>
      </c>
      <c r="J11" s="253">
        <f>+'12 Month Operating Statement'!O18+'12 Month Operating Statement'!O19</f>
        <v>864669.93</v>
      </c>
      <c r="K11" s="253">
        <f>+'12 Month Operating Statement'!O20</f>
        <v>393274.98999999993</v>
      </c>
      <c r="L11" s="253">
        <f>+'12 Month Operating Statement'!O21</f>
        <v>291086.94</v>
      </c>
      <c r="M11" s="253">
        <f>+'12 Month Operating Statement'!O22</f>
        <v>150931.4</v>
      </c>
      <c r="N11" s="253">
        <f>+'12 Month Operating Statement'!O23</f>
        <v>24950.57</v>
      </c>
      <c r="O11" s="253">
        <f>+'12 Month Operating Statement'!O24</f>
        <v>45630.340000000011</v>
      </c>
      <c r="P11" s="253">
        <f>+'12 Month Operating Statement'!O25</f>
        <v>22113.73</v>
      </c>
      <c r="Q11" s="270">
        <f>+'12 Month Operating Statement'!O26</f>
        <v>4800</v>
      </c>
      <c r="R11" s="253">
        <f>+'12 Month Operating Statement'!O27</f>
        <v>18496.399999999998</v>
      </c>
      <c r="S11" s="253">
        <f>'[2]2. 12 Month Income Stmt. 4(c)'!O28</f>
        <v>0</v>
      </c>
      <c r="T11" s="254">
        <f>+'12 Month Operating Statement'!O29</f>
        <v>109206.04999999997</v>
      </c>
      <c r="U11" s="253">
        <f t="shared" si="0"/>
        <v>0</v>
      </c>
    </row>
    <row r="12" spans="1:21" x14ac:dyDescent="0.25">
      <c r="A12" s="252"/>
      <c r="B12" s="252"/>
      <c r="C12" s="252" t="str">
        <f>'[2]3. ProForma'!A12</f>
        <v>Other Revenue</v>
      </c>
      <c r="D12" s="252"/>
      <c r="E12" s="311">
        <f>+'Pro Forma'!G12</f>
        <v>112123.71</v>
      </c>
      <c r="F12" s="271"/>
      <c r="G12" s="269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3">
        <f>+'12 Month Operating Statement'!O35</f>
        <v>112123.71000000002</v>
      </c>
      <c r="U12" s="253">
        <f t="shared" si="0"/>
        <v>0</v>
      </c>
    </row>
    <row r="13" spans="1:21" ht="16.5" thickBot="1" x14ac:dyDescent="0.3">
      <c r="A13" s="252"/>
      <c r="B13" s="256"/>
      <c r="C13" s="274" t="s">
        <v>274</v>
      </c>
      <c r="D13" s="274"/>
      <c r="E13" s="275">
        <f>SUM(E6:E12)</f>
        <v>14949470.120000001</v>
      </c>
      <c r="F13" s="276" t="s">
        <v>2496</v>
      </c>
      <c r="G13" s="274"/>
      <c r="H13" s="277">
        <f>SUM(H6:H12)</f>
        <v>4113516.8099999996</v>
      </c>
      <c r="I13" s="277">
        <f t="shared" ref="I13:T13" si="1">SUM(I6:I12)</f>
        <v>8798669.25</v>
      </c>
      <c r="J13" s="277">
        <f t="shared" si="1"/>
        <v>864669.93</v>
      </c>
      <c r="K13" s="277">
        <f t="shared" si="1"/>
        <v>393274.98999999993</v>
      </c>
      <c r="L13" s="277">
        <f t="shared" si="1"/>
        <v>291086.94</v>
      </c>
      <c r="M13" s="277">
        <f t="shared" si="1"/>
        <v>150931.4</v>
      </c>
      <c r="N13" s="277">
        <f t="shared" si="1"/>
        <v>24950.57</v>
      </c>
      <c r="O13" s="277">
        <f t="shared" si="1"/>
        <v>45630.340000000011</v>
      </c>
      <c r="P13" s="277">
        <f t="shared" si="1"/>
        <v>22113.73</v>
      </c>
      <c r="Q13" s="277">
        <f t="shared" si="1"/>
        <v>4800</v>
      </c>
      <c r="R13" s="277">
        <f t="shared" si="1"/>
        <v>18496.399999999998</v>
      </c>
      <c r="S13" s="277">
        <f t="shared" si="1"/>
        <v>0</v>
      </c>
      <c r="T13" s="277">
        <f t="shared" si="1"/>
        <v>221329.76</v>
      </c>
      <c r="U13" s="253">
        <f t="shared" si="0"/>
        <v>0</v>
      </c>
    </row>
    <row r="14" spans="1:21" ht="17.25" thickTop="1" thickBot="1" x14ac:dyDescent="0.3">
      <c r="A14" s="256"/>
      <c r="B14" s="256"/>
      <c r="C14" s="278" t="s">
        <v>2497</v>
      </c>
      <c r="D14" s="256"/>
      <c r="E14" s="255"/>
      <c r="F14" s="279" t="s">
        <v>2498</v>
      </c>
      <c r="G14" s="256"/>
      <c r="H14" s="445">
        <f>ROUND(H13/$E$13,4)</f>
        <v>0.2752</v>
      </c>
      <c r="I14" s="445">
        <f t="shared" ref="I14:T14" si="2">ROUND(I13/$E$13,4)</f>
        <v>0.58860000000000001</v>
      </c>
      <c r="J14" s="445">
        <f t="shared" si="2"/>
        <v>5.7799999999999997E-2</v>
      </c>
      <c r="K14" s="445">
        <f t="shared" si="2"/>
        <v>2.63E-2</v>
      </c>
      <c r="L14" s="445">
        <f t="shared" si="2"/>
        <v>1.95E-2</v>
      </c>
      <c r="M14" s="445">
        <f t="shared" si="2"/>
        <v>1.01E-2</v>
      </c>
      <c r="N14" s="445">
        <f t="shared" si="2"/>
        <v>1.6999999999999999E-3</v>
      </c>
      <c r="O14" s="445">
        <f t="shared" si="2"/>
        <v>3.0999999999999999E-3</v>
      </c>
      <c r="P14" s="445">
        <f t="shared" si="2"/>
        <v>1.5E-3</v>
      </c>
      <c r="Q14" s="445">
        <f t="shared" si="2"/>
        <v>2.9999999999999997E-4</v>
      </c>
      <c r="R14" s="445">
        <f t="shared" si="2"/>
        <v>1.1999999999999999E-3</v>
      </c>
      <c r="S14" s="445">
        <f t="shared" si="2"/>
        <v>0</v>
      </c>
      <c r="T14" s="445">
        <f t="shared" si="2"/>
        <v>1.4800000000000001E-2</v>
      </c>
      <c r="U14" s="280">
        <f>SUM(H14:T14)</f>
        <v>1.0000999999999998</v>
      </c>
    </row>
    <row r="15" spans="1:21" ht="17.25" thickTop="1" thickBot="1" x14ac:dyDescent="0.3">
      <c r="A15" s="252"/>
      <c r="B15" s="281"/>
      <c r="C15" s="278" t="s">
        <v>2499</v>
      </c>
      <c r="D15" s="281"/>
      <c r="E15" s="254"/>
      <c r="F15" s="279" t="s">
        <v>2500</v>
      </c>
      <c r="G15" s="282"/>
      <c r="H15" s="302">
        <f>+'BDI Customers'!O3</f>
        <v>0.22146176203729326</v>
      </c>
      <c r="I15" s="302">
        <f>+'BDI Customers'!E3</f>
        <v>0.69977664795607908</v>
      </c>
      <c r="J15" s="302">
        <f>+'BDI Customers'!K3</f>
        <v>7.4255647457353901E-3</v>
      </c>
      <c r="K15" s="302">
        <f>+'BDI Customers'!I3</f>
        <v>2.22955369994302E-2</v>
      </c>
      <c r="L15" s="302">
        <f>+'BDI Customers'!L3</f>
        <v>4.278132803277674E-2</v>
      </c>
      <c r="M15" s="302">
        <f>+'BDI Customers'!M3</f>
        <v>2.1591553385756851E-3</v>
      </c>
      <c r="N15" s="302">
        <f>+'BDI Customers'!F3</f>
        <v>3.1229438586430694E-3</v>
      </c>
      <c r="O15" s="302">
        <f>+'BDI Customers'!G3</f>
        <v>6.0666187284774925E-4</v>
      </c>
      <c r="P15" s="302">
        <f>+'BDI Customers'!H3</f>
        <v>3.6661559202089648E-4</v>
      </c>
      <c r="Q15" s="302">
        <f>+'BDI Customers'!J3</f>
        <v>3.7835665979714108E-6</v>
      </c>
      <c r="R15" s="302">
        <f>+'BDI Customers'!J3</f>
        <v>3.7835665979714108E-6</v>
      </c>
      <c r="S15" s="302">
        <f>S14</f>
        <v>0</v>
      </c>
      <c r="T15" s="302">
        <v>0</v>
      </c>
      <c r="U15" s="280">
        <f>SUM(H15:T15)</f>
        <v>1.0000037835665982</v>
      </c>
    </row>
    <row r="16" spans="1:21" ht="17.25" thickTop="1" thickBot="1" x14ac:dyDescent="0.3">
      <c r="A16" s="252"/>
      <c r="B16" s="281"/>
      <c r="C16" s="278" t="s">
        <v>2501</v>
      </c>
      <c r="D16" s="281"/>
      <c r="E16" s="253"/>
      <c r="F16" s="279" t="s">
        <v>416</v>
      </c>
      <c r="G16" s="282"/>
      <c r="H16" s="367">
        <f>+'Man Hours'!I8</f>
        <v>0.33561524827112832</v>
      </c>
      <c r="I16" s="367">
        <f>+'Man Hours'!I9</f>
        <v>0.40623631852747394</v>
      </c>
      <c r="J16" s="367">
        <f>+'Man Hours'!I11</f>
        <v>0.10771294102682902</v>
      </c>
      <c r="K16" s="367">
        <f>+'Man Hours'!I12</f>
        <v>3.6099482863578336E-2</v>
      </c>
      <c r="L16" s="367">
        <f>+'Man Hours'!I14</f>
        <v>3.9080090986444584E-2</v>
      </c>
      <c r="M16" s="367">
        <f>+'Man Hours'!I15</f>
        <v>8.7983341469879475E-3</v>
      </c>
      <c r="N16" s="367">
        <f>+'Man Hours'!I10</f>
        <v>1.6106716881074611E-3</v>
      </c>
      <c r="O16" s="367">
        <f>+'Man Hours'!I13</f>
        <v>6.8157534541971399E-3</v>
      </c>
      <c r="P16" s="367">
        <f>+'Man Hours'!I16</f>
        <v>9.923738622070976E-3</v>
      </c>
      <c r="Q16" s="367">
        <f>+'Man Hours'!I17</f>
        <v>8.4034132732240963E-3</v>
      </c>
      <c r="R16" s="367"/>
      <c r="S16" s="367">
        <f>S14</f>
        <v>0</v>
      </c>
      <c r="T16" s="367">
        <f>+'Man Hours'!I18</f>
        <v>3.9704007139957996E-2</v>
      </c>
      <c r="U16" s="280">
        <f>SUM(H16:T16)</f>
        <v>1</v>
      </c>
    </row>
    <row r="17" spans="1:21" ht="17.25" thickTop="1" thickBot="1" x14ac:dyDescent="0.3">
      <c r="A17" s="252"/>
      <c r="B17" s="281"/>
      <c r="C17" s="278" t="s">
        <v>2502</v>
      </c>
      <c r="D17" s="281"/>
      <c r="E17" s="253"/>
      <c r="F17" s="276" t="s">
        <v>2503</v>
      </c>
      <c r="G17" s="282"/>
      <c r="H17" s="367">
        <f>+'Tonnage Summary'!M8</f>
        <v>0.27772458314323911</v>
      </c>
      <c r="I17" s="367">
        <f>+'Tonnage Summary'!B8</f>
        <v>0.59159854311318893</v>
      </c>
      <c r="J17" s="367">
        <f>+'Tonnage Summary'!H8</f>
        <v>6.4660322190502079E-2</v>
      </c>
      <c r="K17" s="367">
        <f>+'Tonnage Summary'!F8</f>
        <v>3.167879479763358E-2</v>
      </c>
      <c r="L17" s="367">
        <f>+'Tonnage Summary'!I8</f>
        <v>1.7740040238677684E-2</v>
      </c>
      <c r="M17" s="367">
        <f>+'Tonnage Summary'!J8</f>
        <v>1.0146079362151148E-2</v>
      </c>
      <c r="N17" s="367">
        <f>+'Tonnage Summary'!C8</f>
        <v>1.5529798274794447E-3</v>
      </c>
      <c r="O17" s="367">
        <f>+'Tonnage Summary'!D8</f>
        <v>3.2137520311794903E-3</v>
      </c>
      <c r="P17" s="367">
        <f>+'Tonnage Summary'!E8</f>
        <v>1.2081047768405348E-3</v>
      </c>
      <c r="Q17" s="367">
        <f>+'Tonnage Summary'!G8</f>
        <v>4.7680051910788151E-4</v>
      </c>
      <c r="R17" s="367">
        <v>0</v>
      </c>
      <c r="S17" s="367">
        <f t="shared" ref="S17" si="3">S14</f>
        <v>0</v>
      </c>
      <c r="T17" s="367">
        <v>0</v>
      </c>
      <c r="U17" s="280">
        <f t="shared" ref="U17:U18" si="4">SUM(H17:T17)</f>
        <v>1</v>
      </c>
    </row>
    <row r="18" spans="1:21" ht="16.5" thickTop="1" x14ac:dyDescent="0.25">
      <c r="A18" s="252"/>
      <c r="B18" s="281"/>
      <c r="C18" s="278" t="s">
        <v>2504</v>
      </c>
      <c r="D18" s="281"/>
      <c r="E18" s="253">
        <f>SUM(E22:E56)</f>
        <v>6500969.7597630695</v>
      </c>
      <c r="F18" s="283" t="s">
        <v>2505</v>
      </c>
      <c r="G18" s="282"/>
      <c r="H18" s="367">
        <f>SUM(H22:H56)/$E$18</f>
        <v>0.30787037173533</v>
      </c>
      <c r="I18" s="367">
        <f>SUM(I22:I56)/$E$18</f>
        <v>0.45842672291883407</v>
      </c>
      <c r="J18" s="367">
        <f t="shared" ref="J18:T18" si="5">SUM(J22:J56)/$E$18</f>
        <v>9.5318478236297494E-2</v>
      </c>
      <c r="K18" s="367">
        <f t="shared" si="5"/>
        <v>3.3966137136227106E-2</v>
      </c>
      <c r="L18" s="367">
        <f t="shared" si="5"/>
        <v>3.8781883865968529E-2</v>
      </c>
      <c r="M18" s="367">
        <f t="shared" si="5"/>
        <v>9.781053371256284E-3</v>
      </c>
      <c r="N18" s="367">
        <f t="shared" si="5"/>
        <v>1.8592002069468198E-3</v>
      </c>
      <c r="O18" s="367">
        <f t="shared" si="5"/>
        <v>6.0343274333181087E-3</v>
      </c>
      <c r="P18" s="367">
        <f t="shared" si="5"/>
        <v>8.4427459913488049E-3</v>
      </c>
      <c r="Q18" s="367">
        <f t="shared" si="5"/>
        <v>7.0027967613156524E-3</v>
      </c>
      <c r="R18" s="367">
        <f t="shared" si="5"/>
        <v>2.8053132271783545E-7</v>
      </c>
      <c r="S18" s="367">
        <f t="shared" si="5"/>
        <v>0</v>
      </c>
      <c r="T18" s="367">
        <f t="shared" si="5"/>
        <v>3.2516282343156747E-2</v>
      </c>
      <c r="U18" s="280">
        <f t="shared" si="4"/>
        <v>1.0000002805313222</v>
      </c>
    </row>
    <row r="19" spans="1:21" x14ac:dyDescent="0.25">
      <c r="A19" s="256"/>
      <c r="B19" s="256"/>
      <c r="C19" s="256"/>
      <c r="D19" s="256"/>
      <c r="E19" s="255"/>
      <c r="F19" s="256"/>
      <c r="G19" s="256"/>
      <c r="H19" s="257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4"/>
      <c r="U19" s="254"/>
    </row>
    <row r="20" spans="1:21" x14ac:dyDescent="0.25">
      <c r="A20" s="252"/>
      <c r="B20" s="252"/>
      <c r="C20" s="284" t="s">
        <v>275</v>
      </c>
      <c r="D20" s="284"/>
      <c r="E20" s="270">
        <f>+'Pro Forma'!G15</f>
        <v>5245799.17</v>
      </c>
      <c r="F20" s="285" t="s">
        <v>2506</v>
      </c>
      <c r="G20" s="286"/>
      <c r="H20" s="287">
        <f>$E$20*H$17</f>
        <v>1456887.3877413997</v>
      </c>
      <c r="I20" s="287">
        <f t="shared" ref="I20:T20" si="6">$E$20*I$17</f>
        <v>3103407.1464363756</v>
      </c>
      <c r="J20" s="287">
        <f t="shared" si="6"/>
        <v>339195.06447886839</v>
      </c>
      <c r="K20" s="287">
        <f t="shared" si="6"/>
        <v>166180.59545602655</v>
      </c>
      <c r="L20" s="287">
        <f t="shared" si="6"/>
        <v>93060.688359822001</v>
      </c>
      <c r="M20" s="287">
        <f t="shared" si="6"/>
        <v>53224.294696726625</v>
      </c>
      <c r="N20" s="287">
        <f t="shared" si="6"/>
        <v>8146.6202900184144</v>
      </c>
      <c r="O20" s="287">
        <f t="shared" si="6"/>
        <v>16858.697737747185</v>
      </c>
      <c r="P20" s="287">
        <f t="shared" si="6"/>
        <v>6337.4750356231125</v>
      </c>
      <c r="Q20" s="287">
        <f t="shared" si="6"/>
        <v>2501.199767391694</v>
      </c>
      <c r="R20" s="287">
        <f t="shared" si="6"/>
        <v>0</v>
      </c>
      <c r="S20" s="287">
        <f t="shared" si="6"/>
        <v>0</v>
      </c>
      <c r="T20" s="287">
        <f t="shared" si="6"/>
        <v>0</v>
      </c>
      <c r="U20" s="253">
        <f t="shared" ref="U20:U83" si="7">E20-(SUM(H20:T20))</f>
        <v>0</v>
      </c>
    </row>
    <row r="21" spans="1:21" x14ac:dyDescent="0.25">
      <c r="A21" s="252"/>
      <c r="B21" s="252"/>
      <c r="C21" s="252"/>
      <c r="D21" s="252"/>
      <c r="E21" s="253"/>
      <c r="F21" s="252"/>
      <c r="G21" s="252"/>
      <c r="H21" s="254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71"/>
      <c r="U21" s="253"/>
    </row>
    <row r="22" spans="1:21" x14ac:dyDescent="0.25">
      <c r="A22" s="252"/>
      <c r="B22" s="252"/>
      <c r="C22" s="252" t="str">
        <f>'[2]3. ProForma'!A17</f>
        <v>Driver Wages:</v>
      </c>
      <c r="D22" s="252"/>
      <c r="E22" s="253">
        <f>+'Pro Forma'!G17</f>
        <v>1807247.96835</v>
      </c>
      <c r="F22" s="407" t="s">
        <v>416</v>
      </c>
      <c r="G22" s="288"/>
      <c r="H22" s="254">
        <f>$E22*H$16</f>
        <v>606539.97558527754</v>
      </c>
      <c r="I22" s="254">
        <f t="shared" ref="I22:T31" si="8">$E22*I$16</f>
        <v>734169.76132876077</v>
      </c>
      <c r="J22" s="254">
        <f t="shared" si="8"/>
        <v>194663.99383574011</v>
      </c>
      <c r="K22" s="254">
        <f t="shared" si="8"/>
        <v>65240.717063687589</v>
      </c>
      <c r="L22" s="254">
        <f t="shared" si="8"/>
        <v>70627.415038185121</v>
      </c>
      <c r="M22" s="254">
        <f t="shared" si="8"/>
        <v>15900.771512008398</v>
      </c>
      <c r="N22" s="254">
        <f t="shared" si="8"/>
        <v>2910.8831360110739</v>
      </c>
      <c r="O22" s="254">
        <f t="shared" si="8"/>
        <v>12317.756582872276</v>
      </c>
      <c r="P22" s="254">
        <f t="shared" si="8"/>
        <v>17934.6564631742</v>
      </c>
      <c r="Q22" s="254">
        <f t="shared" si="8"/>
        <v>15187.051565239672</v>
      </c>
      <c r="R22" s="254">
        <f t="shared" si="8"/>
        <v>0</v>
      </c>
      <c r="S22" s="254">
        <f t="shared" si="8"/>
        <v>0</v>
      </c>
      <c r="T22" s="254">
        <f t="shared" si="8"/>
        <v>71754.986239042977</v>
      </c>
      <c r="U22" s="253">
        <f t="shared" si="7"/>
        <v>0</v>
      </c>
    </row>
    <row r="23" spans="1:21" x14ac:dyDescent="0.25">
      <c r="A23" s="252"/>
      <c r="B23" s="252"/>
      <c r="C23" s="252" t="str">
        <f>'[2]3. ProForma'!A18</f>
        <v xml:space="preserve">  Payroll Taxes</v>
      </c>
      <c r="D23" s="252"/>
      <c r="E23" s="253">
        <f>+'Pro Forma'!G18</f>
        <v>248362.40938499998</v>
      </c>
      <c r="F23" s="408" t="s">
        <v>416</v>
      </c>
      <c r="G23" s="289"/>
      <c r="H23" s="254">
        <f t="shared" ref="H23:H31" si="9">$E23*H$16</f>
        <v>83354.211686962371</v>
      </c>
      <c r="I23" s="254">
        <f t="shared" si="8"/>
        <v>100893.83084917573</v>
      </c>
      <c r="J23" s="254">
        <f t="shared" si="8"/>
        <v>26751.845555367669</v>
      </c>
      <c r="K23" s="254">
        <f t="shared" si="8"/>
        <v>8965.7545415508339</v>
      </c>
      <c r="L23" s="254">
        <f t="shared" si="8"/>
        <v>9706.0255563783976</v>
      </c>
      <c r="M23" s="254">
        <f t="shared" si="8"/>
        <v>2185.1754673202454</v>
      </c>
      <c r="N23" s="254">
        <f t="shared" si="8"/>
        <v>400.03030118657426</v>
      </c>
      <c r="O23" s="254">
        <f t="shared" si="8"/>
        <v>1692.7769496585377</v>
      </c>
      <c r="P23" s="254">
        <f t="shared" si="8"/>
        <v>2464.6836342845272</v>
      </c>
      <c r="Q23" s="254">
        <f t="shared" si="8"/>
        <v>2087.0919675958257</v>
      </c>
      <c r="R23" s="254">
        <f t="shared" si="8"/>
        <v>0</v>
      </c>
      <c r="S23" s="254">
        <f t="shared" si="8"/>
        <v>0</v>
      </c>
      <c r="T23" s="254">
        <f t="shared" si="8"/>
        <v>9860.9828755192102</v>
      </c>
      <c r="U23" s="253">
        <f t="shared" si="7"/>
        <v>0</v>
      </c>
    </row>
    <row r="24" spans="1:21" x14ac:dyDescent="0.25">
      <c r="A24" s="252"/>
      <c r="B24" s="252"/>
      <c r="C24" s="252" t="str">
        <f>'[2]3. ProForma'!A19</f>
        <v xml:space="preserve">  Benefits</v>
      </c>
      <c r="D24" s="252"/>
      <c r="E24" s="253">
        <f>+'Pro Forma'!G19</f>
        <v>77876.813600000009</v>
      </c>
      <c r="F24" s="408" t="str">
        <f>F16</f>
        <v>C</v>
      </c>
      <c r="G24" s="289"/>
      <c r="H24" s="254">
        <f t="shared" si="9"/>
        <v>26136.646130928384</v>
      </c>
      <c r="I24" s="254">
        <f t="shared" si="8"/>
        <v>31636.390055514319</v>
      </c>
      <c r="J24" s="254">
        <f t="shared" si="8"/>
        <v>8388.3406306541565</v>
      </c>
      <c r="K24" s="254">
        <f t="shared" si="8"/>
        <v>2811.3126980232846</v>
      </c>
      <c r="L24" s="254">
        <f t="shared" si="8"/>
        <v>3043.4329612223851</v>
      </c>
      <c r="M24" s="254">
        <f t="shared" si="8"/>
        <v>685.18622835549547</v>
      </c>
      <c r="N24" s="254">
        <f t="shared" si="8"/>
        <v>125.4339788255421</v>
      </c>
      <c r="O24" s="254">
        <f t="shared" si="8"/>
        <v>530.78916129606682</v>
      </c>
      <c r="P24" s="254">
        <f t="shared" si="8"/>
        <v>772.82914288614234</v>
      </c>
      <c r="Q24" s="254">
        <f t="shared" si="8"/>
        <v>654.43104908263888</v>
      </c>
      <c r="R24" s="254">
        <f t="shared" si="8"/>
        <v>0</v>
      </c>
      <c r="S24" s="254">
        <f t="shared" si="8"/>
        <v>0</v>
      </c>
      <c r="T24" s="254">
        <f t="shared" si="8"/>
        <v>3092.0215632115783</v>
      </c>
      <c r="U24" s="253">
        <f t="shared" si="7"/>
        <v>0</v>
      </c>
    </row>
    <row r="25" spans="1:21" x14ac:dyDescent="0.25">
      <c r="A25" s="252"/>
      <c r="B25" s="252"/>
      <c r="C25" s="252" t="str">
        <f>'[2]3. ProForma'!A20</f>
        <v xml:space="preserve">  Medical Expense</v>
      </c>
      <c r="D25" s="252"/>
      <c r="E25" s="253">
        <f>+'Pro Forma'!G20</f>
        <v>261041.12612899998</v>
      </c>
      <c r="F25" s="408" t="s">
        <v>416</v>
      </c>
      <c r="G25" s="289"/>
      <c r="H25" s="254">
        <f t="shared" si="9"/>
        <v>87609.382354759247</v>
      </c>
      <c r="I25" s="254">
        <f t="shared" si="8"/>
        <v>106044.38606291094</v>
      </c>
      <c r="J25" s="254">
        <f t="shared" si="8"/>
        <v>28117.50742431001</v>
      </c>
      <c r="K25" s="254">
        <f t="shared" si="8"/>
        <v>9423.4496593830263</v>
      </c>
      <c r="L25" s="254">
        <f t="shared" si="8"/>
        <v>10201.510960325277</v>
      </c>
      <c r="M25" s="254">
        <f t="shared" si="8"/>
        <v>2296.7270537889681</v>
      </c>
      <c r="N25" s="254">
        <f t="shared" si="8"/>
        <v>420.45155128766908</v>
      </c>
      <c r="O25" s="254">
        <f t="shared" si="8"/>
        <v>1779.1919571012429</v>
      </c>
      <c r="P25" s="254">
        <f t="shared" si="8"/>
        <v>2590.5039053152582</v>
      </c>
      <c r="Q25" s="254">
        <f t="shared" si="8"/>
        <v>2193.6364641698037</v>
      </c>
      <c r="R25" s="254">
        <f t="shared" si="8"/>
        <v>0</v>
      </c>
      <c r="S25" s="254">
        <f t="shared" si="8"/>
        <v>0</v>
      </c>
      <c r="T25" s="254">
        <f t="shared" si="8"/>
        <v>10364.378735648492</v>
      </c>
      <c r="U25" s="253">
        <f t="shared" si="7"/>
        <v>0</v>
      </c>
    </row>
    <row r="26" spans="1:21" x14ac:dyDescent="0.25">
      <c r="A26" s="252"/>
      <c r="B26" s="252"/>
      <c r="C26" s="252" t="str">
        <f>'[2]3. ProForma'!A21</f>
        <v xml:space="preserve">  Other EE Costs</v>
      </c>
      <c r="D26" s="252"/>
      <c r="E26" s="253">
        <f>+'Pro Forma'!G21</f>
        <v>57736</v>
      </c>
      <c r="F26" s="408" t="s">
        <v>416</v>
      </c>
      <c r="G26" s="289"/>
      <c r="H26" s="254">
        <f t="shared" si="9"/>
        <v>19377.081974181863</v>
      </c>
      <c r="I26" s="254">
        <f t="shared" si="8"/>
        <v>23454.460086502237</v>
      </c>
      <c r="J26" s="254">
        <f t="shared" si="8"/>
        <v>6218.9143631249999</v>
      </c>
      <c r="K26" s="254">
        <f t="shared" si="8"/>
        <v>2084.239742611559</v>
      </c>
      <c r="L26" s="254">
        <f t="shared" si="8"/>
        <v>2256.3281331933645</v>
      </c>
      <c r="M26" s="254">
        <f t="shared" si="8"/>
        <v>507.98062031049614</v>
      </c>
      <c r="N26" s="254">
        <f t="shared" si="8"/>
        <v>92.993740584572379</v>
      </c>
      <c r="O26" s="254">
        <f t="shared" si="8"/>
        <v>393.51434143152608</v>
      </c>
      <c r="P26" s="254">
        <f t="shared" si="8"/>
        <v>572.95697308388992</v>
      </c>
      <c r="Q26" s="254">
        <f t="shared" si="8"/>
        <v>485.17946874286645</v>
      </c>
      <c r="R26" s="254">
        <f t="shared" si="8"/>
        <v>0</v>
      </c>
      <c r="S26" s="254">
        <f t="shared" si="8"/>
        <v>0</v>
      </c>
      <c r="T26" s="254">
        <f t="shared" si="8"/>
        <v>2292.350556232615</v>
      </c>
      <c r="U26" s="253">
        <f t="shared" si="7"/>
        <v>0</v>
      </c>
    </row>
    <row r="27" spans="1:21" x14ac:dyDescent="0.25">
      <c r="A27" s="252"/>
      <c r="B27" s="252"/>
      <c r="C27" s="252" t="str">
        <f>'[2]3. ProForma'!A22</f>
        <v>Insurance Premiums</v>
      </c>
      <c r="D27" s="252"/>
      <c r="E27" s="253">
        <f>+'Pro Forma'!G22</f>
        <v>67044.19</v>
      </c>
      <c r="F27" s="408" t="str">
        <f>F16</f>
        <v>C</v>
      </c>
      <c r="G27" s="289"/>
      <c r="H27" s="254">
        <f t="shared" si="9"/>
        <v>22501.052471986699</v>
      </c>
      <c r="I27" s="254">
        <f t="shared" si="8"/>
        <v>27235.784924256484</v>
      </c>
      <c r="J27" s="254">
        <f t="shared" si="8"/>
        <v>7221.5268836615196</v>
      </c>
      <c r="K27" s="254">
        <f t="shared" si="8"/>
        <v>2420.2605880074902</v>
      </c>
      <c r="L27" s="254">
        <f t="shared" si="8"/>
        <v>2620.0930453124784</v>
      </c>
      <c r="M27" s="254">
        <f t="shared" si="8"/>
        <v>589.87718623414787</v>
      </c>
      <c r="N27" s="254">
        <f t="shared" si="8"/>
        <v>107.98617868509737</v>
      </c>
      <c r="O27" s="254">
        <f t="shared" si="8"/>
        <v>456.95666957634938</v>
      </c>
      <c r="P27" s="254">
        <f t="shared" si="8"/>
        <v>665.32901768846477</v>
      </c>
      <c r="Q27" s="254">
        <f t="shared" si="8"/>
        <v>563.40003613855822</v>
      </c>
      <c r="R27" s="254">
        <f t="shared" si="8"/>
        <v>0</v>
      </c>
      <c r="S27" s="254">
        <f t="shared" si="8"/>
        <v>0</v>
      </c>
      <c r="T27" s="254">
        <f t="shared" si="8"/>
        <v>2661.9229984527005</v>
      </c>
      <c r="U27" s="253">
        <f t="shared" si="7"/>
        <v>0</v>
      </c>
    </row>
    <row r="28" spans="1:21" x14ac:dyDescent="0.25">
      <c r="A28" s="284"/>
      <c r="B28" s="284"/>
      <c r="C28" s="284" t="str">
        <f>'[2]3. ProForma'!A23</f>
        <v>Fleet Deprec</v>
      </c>
      <c r="D28" s="284"/>
      <c r="E28" s="253">
        <f>+'Pro Forma'!G23</f>
        <v>553378.08000000007</v>
      </c>
      <c r="F28" s="409" t="str">
        <f>F16</f>
        <v>C</v>
      </c>
      <c r="G28" s="290"/>
      <c r="H28" s="254">
        <f t="shared" si="9"/>
        <v>185722.12170700033</v>
      </c>
      <c r="I28" s="254">
        <f t="shared" si="8"/>
        <v>224802.27397300198</v>
      </c>
      <c r="J28" s="254">
        <f t="shared" si="8"/>
        <v>59605.980496579876</v>
      </c>
      <c r="K28" s="254">
        <f t="shared" si="8"/>
        <v>19976.662516039883</v>
      </c>
      <c r="L28" s="254">
        <f t="shared" si="8"/>
        <v>21626.065716304012</v>
      </c>
      <c r="M28" s="254">
        <f t="shared" si="8"/>
        <v>4868.8052574586291</v>
      </c>
      <c r="N28" s="254">
        <f t="shared" si="8"/>
        <v>891.31040627526579</v>
      </c>
      <c r="O28" s="254">
        <f t="shared" si="8"/>
        <v>3771.6885602369816</v>
      </c>
      <c r="P28" s="254">
        <f t="shared" si="8"/>
        <v>5491.5794251034831</v>
      </c>
      <c r="Q28" s="254">
        <f t="shared" si="8"/>
        <v>4650.2647025832666</v>
      </c>
      <c r="R28" s="254">
        <f t="shared" si="8"/>
        <v>0</v>
      </c>
      <c r="S28" s="254">
        <f t="shared" si="8"/>
        <v>0</v>
      </c>
      <c r="T28" s="254">
        <f t="shared" si="8"/>
        <v>21971.327239416249</v>
      </c>
      <c r="U28" s="253">
        <f t="shared" si="7"/>
        <v>0</v>
      </c>
    </row>
    <row r="29" spans="1:21" x14ac:dyDescent="0.25">
      <c r="A29" s="252"/>
      <c r="B29" s="252"/>
      <c r="C29" s="252" t="str">
        <f>'[2]3. ProForma'!A24</f>
        <v>Rent- Maint Facility</v>
      </c>
      <c r="D29" s="252"/>
      <c r="E29" s="253">
        <f>+'Pro Forma'!G24</f>
        <v>153900</v>
      </c>
      <c r="F29" s="409" t="s">
        <v>416</v>
      </c>
      <c r="G29" s="289"/>
      <c r="H29" s="254">
        <f t="shared" si="9"/>
        <v>51651.186708926645</v>
      </c>
      <c r="I29" s="254">
        <f t="shared" si="8"/>
        <v>62519.769421378238</v>
      </c>
      <c r="J29" s="254">
        <f t="shared" si="8"/>
        <v>16577.021624028985</v>
      </c>
      <c r="K29" s="254">
        <f t="shared" si="8"/>
        <v>5555.710412704706</v>
      </c>
      <c r="L29" s="254">
        <f t="shared" si="8"/>
        <v>6014.4260028138215</v>
      </c>
      <c r="M29" s="254">
        <f t="shared" si="8"/>
        <v>1354.0636252214451</v>
      </c>
      <c r="N29" s="254">
        <f t="shared" si="8"/>
        <v>247.88237279973828</v>
      </c>
      <c r="O29" s="254">
        <f t="shared" si="8"/>
        <v>1048.9444566009399</v>
      </c>
      <c r="P29" s="254">
        <f t="shared" si="8"/>
        <v>1527.2633739367232</v>
      </c>
      <c r="Q29" s="254">
        <f t="shared" si="8"/>
        <v>1293.2853027491885</v>
      </c>
      <c r="R29" s="254">
        <f t="shared" si="8"/>
        <v>0</v>
      </c>
      <c r="S29" s="254">
        <f t="shared" si="8"/>
        <v>0</v>
      </c>
      <c r="T29" s="254">
        <f t="shared" si="8"/>
        <v>6110.4466988395352</v>
      </c>
      <c r="U29" s="253">
        <f t="shared" si="7"/>
        <v>0</v>
      </c>
    </row>
    <row r="30" spans="1:21" x14ac:dyDescent="0.25">
      <c r="A30" s="252"/>
      <c r="B30" s="252"/>
      <c r="C30" s="252" t="str">
        <f>'[2]3. ProForma'!A25</f>
        <v>Shop Depreciation</v>
      </c>
      <c r="D30" s="291"/>
      <c r="E30" s="253">
        <f>+'Pro Forma'!G25</f>
        <v>12724.95</v>
      </c>
      <c r="F30" s="408" t="s">
        <v>416</v>
      </c>
      <c r="G30" s="289"/>
      <c r="H30" s="254">
        <f t="shared" si="9"/>
        <v>4270.6872534876948</v>
      </c>
      <c r="I30" s="254">
        <f t="shared" si="8"/>
        <v>5169.3368414461802</v>
      </c>
      <c r="J30" s="254">
        <f t="shared" si="8"/>
        <v>1370.6417889193481</v>
      </c>
      <c r="K30" s="254">
        <f t="shared" si="8"/>
        <v>459.36411446489114</v>
      </c>
      <c r="L30" s="254">
        <f t="shared" si="8"/>
        <v>497.29220379795805</v>
      </c>
      <c r="M30" s="254">
        <f t="shared" si="8"/>
        <v>111.95836210371429</v>
      </c>
      <c r="N30" s="254">
        <f t="shared" si="8"/>
        <v>20.495716697583038</v>
      </c>
      <c r="O30" s="254">
        <f t="shared" si="8"/>
        <v>86.730121916985894</v>
      </c>
      <c r="P30" s="254">
        <f t="shared" si="8"/>
        <v>126.27907777892207</v>
      </c>
      <c r="Q30" s="254">
        <f t="shared" si="8"/>
        <v>106.93301373111296</v>
      </c>
      <c r="R30" s="254">
        <f t="shared" si="8"/>
        <v>0</v>
      </c>
      <c r="S30" s="254">
        <f t="shared" si="8"/>
        <v>0</v>
      </c>
      <c r="T30" s="254">
        <f t="shared" si="8"/>
        <v>505.23150565560854</v>
      </c>
      <c r="U30" s="253">
        <f t="shared" si="7"/>
        <v>0</v>
      </c>
    </row>
    <row r="31" spans="1:21" x14ac:dyDescent="0.25">
      <c r="A31" s="252"/>
      <c r="B31" s="252"/>
      <c r="C31" s="252" t="str">
        <f>'[2]3. ProForma'!A26</f>
        <v>Vehicle License</v>
      </c>
      <c r="D31" s="252"/>
      <c r="E31" s="253">
        <f>+'Pro Forma'!G26</f>
        <v>44048.74</v>
      </c>
      <c r="F31" s="408" t="s">
        <v>416</v>
      </c>
      <c r="G31" s="289"/>
      <c r="H31" s="254">
        <f t="shared" si="9"/>
        <v>14783.428811130379</v>
      </c>
      <c r="I31" s="254">
        <f t="shared" si="8"/>
        <v>17894.197973373881</v>
      </c>
      <c r="J31" s="254">
        <f t="shared" si="8"/>
        <v>4744.6193339261245</v>
      </c>
      <c r="K31" s="254">
        <f t="shared" si="8"/>
        <v>1590.1367347922176</v>
      </c>
      <c r="L31" s="254">
        <f t="shared" si="8"/>
        <v>1721.4287670382409</v>
      </c>
      <c r="M31" s="254">
        <f t="shared" si="8"/>
        <v>387.55553327379386</v>
      </c>
      <c r="N31" s="254">
        <f t="shared" si="8"/>
        <v>70.948058414806638</v>
      </c>
      <c r="O31" s="254">
        <f t="shared" si="8"/>
        <v>300.22535180803169</v>
      </c>
      <c r="P31" s="254">
        <f t="shared" si="8"/>
        <v>437.12818239156269</v>
      </c>
      <c r="Q31" s="254">
        <f t="shared" si="8"/>
        <v>370.15976638479714</v>
      </c>
      <c r="R31" s="254">
        <f t="shared" si="8"/>
        <v>0</v>
      </c>
      <c r="S31" s="254">
        <f t="shared" si="8"/>
        <v>0</v>
      </c>
      <c r="T31" s="254">
        <f>$E31*T$16</f>
        <v>1748.9114874661534</v>
      </c>
      <c r="U31" s="253">
        <f t="shared" si="7"/>
        <v>0</v>
      </c>
    </row>
    <row r="32" spans="1:21" x14ac:dyDescent="0.25">
      <c r="A32" s="252"/>
      <c r="B32" s="252"/>
      <c r="C32" s="252"/>
      <c r="D32" s="252"/>
      <c r="E32" s="253"/>
      <c r="F32" s="408"/>
      <c r="G32" s="289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3"/>
    </row>
    <row r="33" spans="1:21" x14ac:dyDescent="0.25">
      <c r="A33" s="252"/>
      <c r="B33" s="252"/>
      <c r="C33" s="252" t="str">
        <f>'[2]3. ProForma'!A28</f>
        <v>Shop Wages:</v>
      </c>
      <c r="D33" s="252"/>
      <c r="E33" s="253">
        <f>+'Pro Forma'!G28</f>
        <v>407169.94170000008</v>
      </c>
      <c r="F33" s="408" t="s">
        <v>416</v>
      </c>
      <c r="G33" s="289"/>
      <c r="H33" s="254">
        <f>$E$33*H16</f>
        <v>136652.44107218637</v>
      </c>
      <c r="I33" s="254">
        <f t="shared" ref="I33:T33" si="10">$E$33*I16</f>
        <v>165407.21813125422</v>
      </c>
      <c r="J33" s="254">
        <f t="shared" si="10"/>
        <v>43857.471918229516</v>
      </c>
      <c r="K33" s="254">
        <f t="shared" si="10"/>
        <v>14698.624332963343</v>
      </c>
      <c r="L33" s="254">
        <f t="shared" si="10"/>
        <v>15912.23836858134</v>
      </c>
      <c r="M33" s="254">
        <f t="shared" si="10"/>
        <v>3582.4172016862026</v>
      </c>
      <c r="N33" s="254">
        <f t="shared" si="10"/>
        <v>655.81709734455569</v>
      </c>
      <c r="O33" s="254">
        <f t="shared" si="10"/>
        <v>2775.1699365870236</v>
      </c>
      <c r="P33" s="254">
        <f t="shared" si="10"/>
        <v>4040.6480761946787</v>
      </c>
      <c r="Q33" s="254">
        <f>$E$33*Q16</f>
        <v>3421.6172925396622</v>
      </c>
      <c r="R33" s="254">
        <f t="shared" si="10"/>
        <v>0</v>
      </c>
      <c r="S33" s="254">
        <f t="shared" si="10"/>
        <v>0</v>
      </c>
      <c r="T33" s="254">
        <f t="shared" si="10"/>
        <v>16166.278272433085</v>
      </c>
      <c r="U33" s="253">
        <f t="shared" si="7"/>
        <v>0</v>
      </c>
    </row>
    <row r="34" spans="1:21" x14ac:dyDescent="0.25">
      <c r="A34" s="252"/>
      <c r="B34" s="252"/>
      <c r="C34" s="252" t="str">
        <f>'[2]3. ProForma'!A29</f>
        <v xml:space="preserve">  Payroll Taxes</v>
      </c>
      <c r="D34" s="252"/>
      <c r="E34" s="253">
        <f>+'Pro Forma'!G29</f>
        <v>64625.537693000006</v>
      </c>
      <c r="F34" s="408" t="str">
        <f>F16</f>
        <v>C</v>
      </c>
      <c r="G34" s="289"/>
      <c r="H34" s="254">
        <f>$E$34*H16</f>
        <v>21689.315877491357</v>
      </c>
      <c r="I34" s="254">
        <f t="shared" ref="I34:T34" si="11">$E$34*I16</f>
        <v>26253.240515262823</v>
      </c>
      <c r="J34" s="254">
        <f t="shared" si="11"/>
        <v>6961.0067303532251</v>
      </c>
      <c r="K34" s="254">
        <f t="shared" si="11"/>
        <v>2332.9484904979895</v>
      </c>
      <c r="L34" s="254">
        <f t="shared" si="11"/>
        <v>2525.571893090344</v>
      </c>
      <c r="M34" s="254">
        <f t="shared" si="11"/>
        <v>568.59707505177869</v>
      </c>
      <c r="N34" s="254">
        <f t="shared" si="11"/>
        <v>104.09052389083668</v>
      </c>
      <c r="O34" s="254">
        <f t="shared" si="11"/>
        <v>440.47173176041224</v>
      </c>
      <c r="P34" s="254">
        <f t="shared" si="11"/>
        <v>641.32694437612781</v>
      </c>
      <c r="Q34" s="254">
        <f>$E$34*Q16</f>
        <v>543.07510123860038</v>
      </c>
      <c r="R34" s="254">
        <f t="shared" si="11"/>
        <v>0</v>
      </c>
      <c r="S34" s="254">
        <f t="shared" si="11"/>
        <v>0</v>
      </c>
      <c r="T34" s="254">
        <f t="shared" si="11"/>
        <v>2565.892809986497</v>
      </c>
      <c r="U34" s="253">
        <f t="shared" si="7"/>
        <v>0</v>
      </c>
    </row>
    <row r="35" spans="1:21" x14ac:dyDescent="0.25">
      <c r="A35" s="252"/>
      <c r="B35" s="252"/>
      <c r="C35" s="252" t="str">
        <f>'[2]3. ProForma'!A30</f>
        <v xml:space="preserve">  Benefits</v>
      </c>
      <c r="D35" s="252"/>
      <c r="E35" s="253">
        <f>+'Pro Forma'!G30</f>
        <v>21306.700906999999</v>
      </c>
      <c r="F35" s="408" t="s">
        <v>416</v>
      </c>
      <c r="G35" s="289"/>
      <c r="H35" s="254">
        <f>$E$35*H16</f>
        <v>7150.8537147414791</v>
      </c>
      <c r="I35" s="254">
        <f t="shared" ref="I35:T35" si="12">$E$35*I16</f>
        <v>8655.5557364256692</v>
      </c>
      <c r="J35" s="254">
        <f t="shared" si="12"/>
        <v>2295.007418271975</v>
      </c>
      <c r="K35" s="254">
        <f t="shared" si="12"/>
        <v>769.16088427163538</v>
      </c>
      <c r="L35" s="254">
        <f t="shared" si="12"/>
        <v>832.66781006652127</v>
      </c>
      <c r="M35" s="254">
        <f t="shared" si="12"/>
        <v>187.46347414971717</v>
      </c>
      <c r="N35" s="254">
        <f t="shared" si="12"/>
        <v>34.318099917878463</v>
      </c>
      <c r="O35" s="254">
        <f t="shared" si="12"/>
        <v>145.22122030443057</v>
      </c>
      <c r="P35" s="254">
        <f t="shared" si="12"/>
        <v>211.44213069971059</v>
      </c>
      <c r="Q35" s="254">
        <f>$E$35*Q16</f>
        <v>179.04901321049968</v>
      </c>
      <c r="R35" s="254">
        <f t="shared" si="12"/>
        <v>0</v>
      </c>
      <c r="S35" s="254">
        <f t="shared" si="12"/>
        <v>0</v>
      </c>
      <c r="T35" s="254">
        <f t="shared" si="12"/>
        <v>845.96140494047745</v>
      </c>
      <c r="U35" s="253">
        <f t="shared" si="7"/>
        <v>0</v>
      </c>
    </row>
    <row r="36" spans="1:21" x14ac:dyDescent="0.25">
      <c r="A36" s="252"/>
      <c r="B36" s="252"/>
      <c r="C36" s="252" t="str">
        <f>'[2]3. ProForma'!A31</f>
        <v xml:space="preserve">  Medical Expense</v>
      </c>
      <c r="D36" s="252"/>
      <c r="E36" s="253">
        <f>+'Pro Forma'!G31</f>
        <v>42922.479999999996</v>
      </c>
      <c r="F36" s="408" t="s">
        <v>416</v>
      </c>
      <c r="G36" s="289"/>
      <c r="H36" s="254">
        <f>$E$36*H16</f>
        <v>14405.438781612538</v>
      </c>
      <c r="I36" s="254">
        <f t="shared" ref="I36:T36" si="13">$E$36*I16</f>
        <v>17436.670257269128</v>
      </c>
      <c r="J36" s="254">
        <f t="shared" si="13"/>
        <v>4623.3065569652472</v>
      </c>
      <c r="K36" s="254">
        <f t="shared" si="13"/>
        <v>1549.4793312222837</v>
      </c>
      <c r="L36" s="254">
        <f t="shared" si="13"/>
        <v>1677.4144237638477</v>
      </c>
      <c r="M36" s="254">
        <f t="shared" si="13"/>
        <v>377.64632145740723</v>
      </c>
      <c r="N36" s="254">
        <f t="shared" si="13"/>
        <v>69.134023319358732</v>
      </c>
      <c r="O36" s="254">
        <f t="shared" si="13"/>
        <v>292.54904132270764</v>
      </c>
      <c r="P36" s="254">
        <f t="shared" si="13"/>
        <v>425.95147253106899</v>
      </c>
      <c r="Q36" s="254">
        <f>$E$36*Q16</f>
        <v>360.69533815169575</v>
      </c>
      <c r="R36" s="254">
        <f t="shared" si="13"/>
        <v>0</v>
      </c>
      <c r="S36" s="254">
        <f t="shared" si="13"/>
        <v>0</v>
      </c>
      <c r="T36" s="254">
        <f t="shared" si="13"/>
        <v>1704.1944523847042</v>
      </c>
      <c r="U36" s="253">
        <f t="shared" si="7"/>
        <v>0</v>
      </c>
    </row>
    <row r="37" spans="1:21" x14ac:dyDescent="0.25">
      <c r="A37" s="252"/>
      <c r="B37" s="252"/>
      <c r="C37" s="252" t="str">
        <f>'[2]3. ProForma'!A32</f>
        <v xml:space="preserve">  Other EE Costs</v>
      </c>
      <c r="D37" s="252"/>
      <c r="E37" s="253">
        <f>+'Pro Forma'!G32</f>
        <v>5287.75</v>
      </c>
      <c r="F37" s="408" t="s">
        <v>416</v>
      </c>
      <c r="G37" s="289"/>
      <c r="H37" s="254">
        <f>$E$37*H16</f>
        <v>1774.6495290456587</v>
      </c>
      <c r="I37" s="254">
        <f t="shared" ref="I37:T37" si="14">$E$37*I16</f>
        <v>2148.0760932936505</v>
      </c>
      <c r="J37" s="254">
        <f t="shared" si="14"/>
        <v>569.55910391461509</v>
      </c>
      <c r="K37" s="254">
        <f t="shared" si="14"/>
        <v>190.88504051188636</v>
      </c>
      <c r="L37" s="254">
        <f t="shared" si="14"/>
        <v>206.64575111357235</v>
      </c>
      <c r="M37" s="254">
        <f t="shared" si="14"/>
        <v>46.523391385735522</v>
      </c>
      <c r="N37" s="254">
        <f t="shared" si="14"/>
        <v>8.5168292187902281</v>
      </c>
      <c r="O37" s="254">
        <f t="shared" si="14"/>
        <v>36.040000327430924</v>
      </c>
      <c r="P37" s="254">
        <f t="shared" si="14"/>
        <v>52.474248898855805</v>
      </c>
      <c r="Q37" s="254">
        <f>$E$37*Q16</f>
        <v>44.435148535490718</v>
      </c>
      <c r="R37" s="254">
        <f t="shared" si="14"/>
        <v>0</v>
      </c>
      <c r="S37" s="254">
        <f t="shared" si="14"/>
        <v>0</v>
      </c>
      <c r="T37" s="254">
        <f t="shared" si="14"/>
        <v>209.94486375431291</v>
      </c>
      <c r="U37" s="253">
        <f t="shared" si="7"/>
        <v>0</v>
      </c>
    </row>
    <row r="38" spans="1:21" x14ac:dyDescent="0.25">
      <c r="A38" s="252"/>
      <c r="B38" s="252"/>
      <c r="C38" s="252" t="str">
        <f>'[2]3. ProForma'!A33</f>
        <v>Maint Fleet Equip</v>
      </c>
      <c r="D38" s="252"/>
      <c r="E38" s="253">
        <f>+'Pro Forma'!G33</f>
        <v>323631.65000000002</v>
      </c>
      <c r="F38" s="408" t="str">
        <f>F36</f>
        <v>C</v>
      </c>
      <c r="G38" s="289"/>
      <c r="H38" s="254">
        <f>$E$38*H16</f>
        <v>108615.71656314492</v>
      </c>
      <c r="I38" s="254">
        <f t="shared" ref="I38:T38" si="15">$E$38*I16</f>
        <v>131470.93005497198</v>
      </c>
      <c r="J38" s="254">
        <f t="shared" si="15"/>
        <v>34859.316830865369</v>
      </c>
      <c r="K38" s="254">
        <f t="shared" si="15"/>
        <v>11682.935203286583</v>
      </c>
      <c r="L38" s="254">
        <f t="shared" si="15"/>
        <v>12647.554328093189</v>
      </c>
      <c r="M38" s="254">
        <f t="shared" si="15"/>
        <v>2847.4193972410521</v>
      </c>
      <c r="N38" s="254">
        <f t="shared" si="15"/>
        <v>521.26433603050305</v>
      </c>
      <c r="O38" s="254">
        <f t="shared" si="15"/>
        <v>2205.7935363750198</v>
      </c>
      <c r="P38" s="254">
        <f t="shared" si="15"/>
        <v>3211.6359044295568</v>
      </c>
      <c r="Q38" s="254">
        <f>$E$38*Q16</f>
        <v>2719.6105032454152</v>
      </c>
      <c r="R38" s="254">
        <f t="shared" si="15"/>
        <v>0</v>
      </c>
      <c r="S38" s="254">
        <f t="shared" si="15"/>
        <v>0</v>
      </c>
      <c r="T38" s="254">
        <f t="shared" si="15"/>
        <v>12849.473342316389</v>
      </c>
      <c r="U38" s="253">
        <f t="shared" si="7"/>
        <v>0</v>
      </c>
    </row>
    <row r="39" spans="1:21" x14ac:dyDescent="0.25">
      <c r="A39" s="252"/>
      <c r="B39" s="252"/>
      <c r="C39" s="252" t="str">
        <f>'[2]3. ProForma'!A34</f>
        <v>Maint Outside Repair</v>
      </c>
      <c r="D39" s="252"/>
      <c r="E39" s="253">
        <f>+'Pro Forma'!G34</f>
        <v>61778.2</v>
      </c>
      <c r="F39" s="408" t="str">
        <f>F37</f>
        <v>C</v>
      </c>
      <c r="G39" s="289"/>
      <c r="H39" s="254">
        <f>$E$39*H16</f>
        <v>20733.705930743417</v>
      </c>
      <c r="I39" s="254">
        <f t="shared" ref="I39:P39" si="16">$E$39*I16</f>
        <v>25096.54853325399</v>
      </c>
      <c r="J39" s="254">
        <f t="shared" si="16"/>
        <v>6654.3116133436479</v>
      </c>
      <c r="K39" s="254">
        <f t="shared" si="16"/>
        <v>2230.1610722427149</v>
      </c>
      <c r="L39" s="254">
        <f t="shared" si="16"/>
        <v>2414.2976769787706</v>
      </c>
      <c r="M39" s="254">
        <f t="shared" si="16"/>
        <v>543.54524659945082</v>
      </c>
      <c r="N39" s="254">
        <f t="shared" si="16"/>
        <v>99.504397682240352</v>
      </c>
      <c r="O39" s="254">
        <f t="shared" si="16"/>
        <v>421.06498004408172</v>
      </c>
      <c r="P39" s="254">
        <f t="shared" si="16"/>
        <v>613.07070934202511</v>
      </c>
      <c r="Q39" s="254">
        <f>$E$39*Q16</f>
        <v>519.14774587589284</v>
      </c>
      <c r="R39" s="254">
        <f>$E$39*R16</f>
        <v>0</v>
      </c>
      <c r="S39" s="254">
        <f>$E$39*S16</f>
        <v>0</v>
      </c>
      <c r="T39" s="254">
        <f>$E$39*T16</f>
        <v>2452.8420938937529</v>
      </c>
      <c r="U39" s="253">
        <f t="shared" si="7"/>
        <v>0</v>
      </c>
    </row>
    <row r="40" spans="1:21" x14ac:dyDescent="0.25">
      <c r="A40" s="252"/>
      <c r="B40" s="252"/>
      <c r="C40" s="252" t="str">
        <f>'[2]3. ProForma'!A35</f>
        <v>Maint Lubricants</v>
      </c>
      <c r="D40" s="252"/>
      <c r="E40" s="253">
        <f>+'Pro Forma'!G35</f>
        <v>74699.649999999994</v>
      </c>
      <c r="F40" s="408" t="str">
        <f>F38</f>
        <v>C</v>
      </c>
      <c r="G40" s="289"/>
      <c r="H40" s="254">
        <f>$E$40*H16</f>
        <v>25070.34158051639</v>
      </c>
      <c r="I40" s="254">
        <f t="shared" ref="I40:T40" si="17">$E$40*I16</f>
        <v>30345.710811290817</v>
      </c>
      <c r="J40" s="254">
        <f t="shared" si="17"/>
        <v>8046.1189951747674</v>
      </c>
      <c r="K40" s="254">
        <f t="shared" si="17"/>
        <v>2696.6187350902992</v>
      </c>
      <c r="L40" s="254">
        <f t="shared" si="17"/>
        <v>2919.2691186555649</v>
      </c>
      <c r="M40" s="254">
        <f t="shared" si="17"/>
        <v>657.23248136304824</v>
      </c>
      <c r="N40" s="254">
        <f t="shared" si="17"/>
        <v>120.31661136653651</v>
      </c>
      <c r="O40" s="254">
        <f t="shared" si="17"/>
        <v>509.13439751481735</v>
      </c>
      <c r="P40" s="254">
        <f t="shared" si="17"/>
        <v>741.2998017601841</v>
      </c>
      <c r="Q40" s="254">
        <f>$E$40*Q16</f>
        <v>627.73203031519427</v>
      </c>
      <c r="R40" s="254">
        <f t="shared" si="17"/>
        <v>0</v>
      </c>
      <c r="S40" s="254">
        <f t="shared" si="17"/>
        <v>0</v>
      </c>
      <c r="T40" s="254">
        <f t="shared" si="17"/>
        <v>2965.8754369523631</v>
      </c>
      <c r="U40" s="253">
        <f t="shared" si="7"/>
        <v>0</v>
      </c>
    </row>
    <row r="41" spans="1:21" x14ac:dyDescent="0.25">
      <c r="A41" s="252"/>
      <c r="B41" s="252"/>
      <c r="C41" s="252" t="str">
        <f>'[2]3. ProForma'!A36</f>
        <v>Fuel</v>
      </c>
      <c r="D41" s="252"/>
      <c r="E41" s="253">
        <f>+'Pro Forma'!G36</f>
        <v>683965.16999999993</v>
      </c>
      <c r="F41" s="408" t="s">
        <v>416</v>
      </c>
      <c r="G41" s="289"/>
      <c r="H41" s="254">
        <f>$E$41*H16</f>
        <v>229549.14033835445</v>
      </c>
      <c r="I41" s="254">
        <f t="shared" ref="I41:T41" si="18">$E$41*I16</f>
        <v>277851.49266181781</v>
      </c>
      <c r="J41" s="254">
        <f t="shared" si="18"/>
        <v>73671.900020615081</v>
      </c>
      <c r="K41" s="254">
        <f t="shared" si="18"/>
        <v>24690.788933699441</v>
      </c>
      <c r="L41" s="254">
        <f t="shared" si="18"/>
        <v>26729.421075159033</v>
      </c>
      <c r="M41" s="254">
        <f t="shared" si="18"/>
        <v>6017.7541105614155</v>
      </c>
      <c r="N41" s="254">
        <f t="shared" si="18"/>
        <v>1101.6433349706065</v>
      </c>
      <c r="O41" s="254">
        <f t="shared" si="18"/>
        <v>4661.7379699780331</v>
      </c>
      <c r="P41" s="254">
        <f t="shared" si="18"/>
        <v>6787.4915736803405</v>
      </c>
      <c r="Q41" s="254">
        <f>$E$41*Q16</f>
        <v>5747.6419880009753</v>
      </c>
      <c r="R41" s="254">
        <f t="shared" si="18"/>
        <v>0</v>
      </c>
      <c r="S41" s="254">
        <f t="shared" si="18"/>
        <v>0</v>
      </c>
      <c r="T41" s="254">
        <f t="shared" si="18"/>
        <v>27156.157993162582</v>
      </c>
      <c r="U41" s="253">
        <f t="shared" si="7"/>
        <v>0</v>
      </c>
    </row>
    <row r="42" spans="1:21" x14ac:dyDescent="0.25">
      <c r="A42" s="252"/>
      <c r="B42" s="252"/>
      <c r="C42" s="252" t="str">
        <f>'[2]3. ProForma'!A37</f>
        <v>Tires</v>
      </c>
      <c r="D42" s="252"/>
      <c r="E42" s="253">
        <f>+'Pro Forma'!G37</f>
        <v>267425.55000000005</v>
      </c>
      <c r="F42" s="408" t="s">
        <v>416</v>
      </c>
      <c r="G42" s="289"/>
      <c r="H42" s="254">
        <f>$E$42*H16</f>
        <v>89752.092357293062</v>
      </c>
      <c r="I42" s="254">
        <f t="shared" ref="I42:P42" si="19">$E$42*I16</f>
        <v>108637.97091218493</v>
      </c>
      <c r="J42" s="254">
        <f t="shared" si="19"/>
        <v>28805.192496217322</v>
      </c>
      <c r="K42" s="254">
        <f t="shared" si="19"/>
        <v>9653.9240595080137</v>
      </c>
      <c r="L42" s="254">
        <f t="shared" si="19"/>
        <v>10451.014826099987</v>
      </c>
      <c r="M42" s="254">
        <f t="shared" si="19"/>
        <v>2352.8993483420331</v>
      </c>
      <c r="N42" s="254">
        <f t="shared" si="19"/>
        <v>430.7347620615663</v>
      </c>
      <c r="O42" s="254">
        <f t="shared" si="19"/>
        <v>1822.7066161530702</v>
      </c>
      <c r="P42" s="254">
        <f t="shared" si="19"/>
        <v>2653.8612590635735</v>
      </c>
      <c r="Q42" s="254">
        <f>$E$42*Q16</f>
        <v>2247.2874164692548</v>
      </c>
      <c r="R42" s="254">
        <f>$E$42*R16</f>
        <v>0</v>
      </c>
      <c r="S42" s="254">
        <f>$E$42*S16</f>
        <v>0</v>
      </c>
      <c r="T42" s="254">
        <f>$E$42*T16</f>
        <v>10617.865946607197</v>
      </c>
      <c r="U42" s="253">
        <f t="shared" si="7"/>
        <v>0</v>
      </c>
    </row>
    <row r="43" spans="1:21" x14ac:dyDescent="0.25">
      <c r="A43" s="252"/>
      <c r="B43" s="252"/>
      <c r="C43" s="252" t="str">
        <f>'[2]3. ProForma'!A38</f>
        <v>Shop Supplies and Small Tools</v>
      </c>
      <c r="D43" s="252"/>
      <c r="E43" s="253">
        <f>+'Pro Forma'!G38</f>
        <v>57762.090000000004</v>
      </c>
      <c r="F43" s="408" t="s">
        <v>416</v>
      </c>
      <c r="G43" s="289"/>
      <c r="H43" s="254">
        <f>$E$43*H16</f>
        <v>19385.83817600926</v>
      </c>
      <c r="I43" s="254">
        <f t="shared" ref="I43:P43" si="20">$E$43*I16</f>
        <v>23465.05879205262</v>
      </c>
      <c r="J43" s="254">
        <f t="shared" si="20"/>
        <v>6221.7245937563903</v>
      </c>
      <c r="K43" s="254">
        <f t="shared" si="20"/>
        <v>2085.1815781194696</v>
      </c>
      <c r="L43" s="254">
        <f t="shared" si="20"/>
        <v>2257.3477327672008</v>
      </c>
      <c r="M43" s="254">
        <f t="shared" si="20"/>
        <v>508.21016884839111</v>
      </c>
      <c r="N43" s="254">
        <f t="shared" si="20"/>
        <v>93.035763008915112</v>
      </c>
      <c r="O43" s="254">
        <f t="shared" si="20"/>
        <v>393.6921644391461</v>
      </c>
      <c r="P43" s="254">
        <f t="shared" si="20"/>
        <v>573.2158834245397</v>
      </c>
      <c r="Q43" s="254">
        <f>$E$43*Q16</f>
        <v>485.39871379516489</v>
      </c>
      <c r="R43" s="254">
        <f>$E$43*R16</f>
        <v>0</v>
      </c>
      <c r="S43" s="254">
        <f>$E$43*S16</f>
        <v>0</v>
      </c>
      <c r="T43" s="254">
        <f>$E$43*T16</f>
        <v>2293.3864337788964</v>
      </c>
      <c r="U43" s="253">
        <f t="shared" si="7"/>
        <v>0</v>
      </c>
    </row>
    <row r="44" spans="1:21" x14ac:dyDescent="0.25">
      <c r="A44" s="252"/>
      <c r="B44" s="252"/>
      <c r="C44" s="252" t="str">
        <f>'[2]3. ProForma'!A39</f>
        <v>Shop utilities</v>
      </c>
      <c r="D44" s="252"/>
      <c r="E44" s="253">
        <f>+'Pro Forma'!G39</f>
        <v>30146.46</v>
      </c>
      <c r="F44" s="408" t="s">
        <v>416</v>
      </c>
      <c r="G44" s="289"/>
      <c r="H44" s="254">
        <f>$E$44*H16</f>
        <v>10117.611657395639</v>
      </c>
      <c r="I44" s="254">
        <f t="shared" ref="I44:P44" si="21">$E$44*I16</f>
        <v>12246.586927035753</v>
      </c>
      <c r="J44" s="254">
        <f t="shared" si="21"/>
        <v>3247.1638681476597</v>
      </c>
      <c r="K44" s="254">
        <f t="shared" si="21"/>
        <v>1088.2716161675498</v>
      </c>
      <c r="L44" s="254">
        <f t="shared" si="21"/>
        <v>1178.1263997192123</v>
      </c>
      <c r="M44" s="254">
        <f t="shared" si="21"/>
        <v>265.23862842880629</v>
      </c>
      <c r="N44" s="254">
        <f t="shared" si="21"/>
        <v>48.556049618664055</v>
      </c>
      <c r="O44" s="254">
        <f t="shared" si="21"/>
        <v>205.47083887681589</v>
      </c>
      <c r="P44" s="254">
        <f t="shared" si="21"/>
        <v>299.16558942071777</v>
      </c>
      <c r="Q44" s="254">
        <f>$E$44*Q16</f>
        <v>253.33316210471929</v>
      </c>
      <c r="R44" s="254">
        <f>$E$44*R16</f>
        <v>0</v>
      </c>
      <c r="S44" s="254">
        <f>$E$44*S16</f>
        <v>0</v>
      </c>
      <c r="T44" s="254">
        <f>$E$44*T16</f>
        <v>1196.935263084458</v>
      </c>
      <c r="U44" s="253">
        <f t="shared" si="7"/>
        <v>0</v>
      </c>
    </row>
    <row r="45" spans="1:21" x14ac:dyDescent="0.25">
      <c r="A45" s="252"/>
      <c r="B45" s="252"/>
      <c r="C45" s="252" t="str">
        <f>'[2]3. ProForma'!A40</f>
        <v>Building Maintenance</v>
      </c>
      <c r="D45" s="252"/>
      <c r="E45" s="253">
        <f>+'Pro Forma'!G40</f>
        <v>12337.01</v>
      </c>
      <c r="F45" s="289" t="s">
        <v>2500</v>
      </c>
      <c r="G45" s="289"/>
      <c r="H45" s="254">
        <f>$E45*H$15</f>
        <v>2732.1759728717075</v>
      </c>
      <c r="I45" s="254">
        <f t="shared" ref="I45:T47" si="22">$E45*I$15</f>
        <v>8633.1515036006276</v>
      </c>
      <c r="J45" s="254">
        <f t="shared" si="22"/>
        <v>91.609266523784967</v>
      </c>
      <c r="K45" s="254">
        <f t="shared" si="22"/>
        <v>275.06026291734037</v>
      </c>
      <c r="L45" s="254">
        <f t="shared" si="22"/>
        <v>527.793671753647</v>
      </c>
      <c r="M45" s="254">
        <f t="shared" si="22"/>
        <v>26.637521003561613</v>
      </c>
      <c r="N45" s="254">
        <f t="shared" si="22"/>
        <v>38.527789613518131</v>
      </c>
      <c r="O45" s="254">
        <f t="shared" si="22"/>
        <v>7.4843935919414113</v>
      </c>
      <c r="P45" s="254">
        <f t="shared" si="22"/>
        <v>4.5229402249177202</v>
      </c>
      <c r="Q45" s="254">
        <f t="shared" si="22"/>
        <v>4.6677898954839273E-2</v>
      </c>
      <c r="R45" s="254">
        <f t="shared" si="22"/>
        <v>4.6677898954839273E-2</v>
      </c>
      <c r="S45" s="254">
        <f t="shared" si="22"/>
        <v>0</v>
      </c>
      <c r="T45" s="254">
        <f t="shared" si="22"/>
        <v>0</v>
      </c>
      <c r="U45" s="253">
        <f>E45-(SUM(H45:T45))</f>
        <v>-4.6677898953930708E-2</v>
      </c>
    </row>
    <row r="46" spans="1:21" x14ac:dyDescent="0.25">
      <c r="A46" s="252"/>
      <c r="B46" s="252"/>
      <c r="C46" s="252"/>
      <c r="D46" s="252"/>
      <c r="E46" s="253"/>
      <c r="F46" s="289"/>
      <c r="G46" s="289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53"/>
    </row>
    <row r="47" spans="1:21" x14ac:dyDescent="0.25">
      <c r="A47" s="252"/>
      <c r="B47" s="252"/>
      <c r="C47" s="252" t="str">
        <f>'[2]3. ProForma'!A42</f>
        <v>Container Maint. Wages</v>
      </c>
      <c r="D47" s="252"/>
      <c r="E47" s="253">
        <f>+'Pro Forma'!G42</f>
        <v>96980.209999999992</v>
      </c>
      <c r="F47" s="289" t="s">
        <v>2500</v>
      </c>
      <c r="G47" s="289"/>
      <c r="H47" s="254">
        <f>$E47*H$15</f>
        <v>21477.408189346726</v>
      </c>
      <c r="I47" s="254">
        <f t="shared" si="22"/>
        <v>67864.486271876609</v>
      </c>
      <c r="J47" s="254">
        <f t="shared" si="22"/>
        <v>720.13282841001467</v>
      </c>
      <c r="K47" s="254">
        <f t="shared" si="22"/>
        <v>2162.2258602675106</v>
      </c>
      <c r="L47" s="254">
        <f t="shared" si="22"/>
        <v>4148.9421766975747</v>
      </c>
      <c r="M47" s="254">
        <f t="shared" si="22"/>
        <v>209.39533815769101</v>
      </c>
      <c r="N47" s="254">
        <f t="shared" si="22"/>
        <v>302.86375122941519</v>
      </c>
      <c r="O47" s="254">
        <f t="shared" si="22"/>
        <v>58.834195827768013</v>
      </c>
      <c r="P47" s="254">
        <f t="shared" si="22"/>
        <v>35.554457103460862</v>
      </c>
      <c r="Q47" s="254">
        <f t="shared" si="22"/>
        <v>0.36693108322025297</v>
      </c>
      <c r="R47" s="254">
        <f t="shared" si="22"/>
        <v>0.36693108322025297</v>
      </c>
      <c r="S47" s="254">
        <f t="shared" si="22"/>
        <v>0</v>
      </c>
      <c r="T47" s="254">
        <f t="shared" si="22"/>
        <v>0</v>
      </c>
      <c r="U47" s="253">
        <f t="shared" si="7"/>
        <v>-0.36693108320469037</v>
      </c>
    </row>
    <row r="48" spans="1:21" x14ac:dyDescent="0.25">
      <c r="A48" s="252"/>
      <c r="B48" s="252"/>
      <c r="C48" s="252" t="str">
        <f>'[2]3. ProForma'!A43</f>
        <v xml:space="preserve">  Payroll Taxes</v>
      </c>
      <c r="D48" s="252"/>
      <c r="E48" s="253">
        <f>+'Pro Forma'!G43</f>
        <v>18814.586674999999</v>
      </c>
      <c r="F48" s="289" t="s">
        <v>2500</v>
      </c>
      <c r="G48" s="289"/>
      <c r="H48" s="254">
        <f t="shared" ref="H48:T51" si="23">$E48*H$15</f>
        <v>4166.7115170488787</v>
      </c>
      <c r="I48" s="254">
        <f t="shared" si="23"/>
        <v>13166.00839611061</v>
      </c>
      <c r="J48" s="254">
        <f t="shared" si="23"/>
        <v>139.70893151946282</v>
      </c>
      <c r="K48" s="254">
        <f t="shared" si="23"/>
        <v>419.48131334144887</v>
      </c>
      <c r="L48" s="254">
        <f t="shared" si="23"/>
        <v>804.91300434428513</v>
      </c>
      <c r="M48" s="254">
        <f t="shared" si="23"/>
        <v>40.623615262421197</v>
      </c>
      <c r="N48" s="254">
        <f t="shared" si="23"/>
        <v>58.756897909598976</v>
      </c>
      <c r="O48" s="254">
        <f t="shared" si="23"/>
        <v>11.414092389111806</v>
      </c>
      <c r="P48" s="254">
        <f t="shared" si="23"/>
        <v>6.8977208324835946</v>
      </c>
      <c r="Q48" s="254">
        <f t="shared" si="23"/>
        <v>7.1186241698167979E-2</v>
      </c>
      <c r="R48" s="254">
        <f t="shared" si="23"/>
        <v>7.1186241698167979E-2</v>
      </c>
      <c r="S48" s="254">
        <f t="shared" si="23"/>
        <v>0</v>
      </c>
      <c r="T48" s="254">
        <f t="shared" si="23"/>
        <v>0</v>
      </c>
      <c r="U48" s="253">
        <f t="shared" si="7"/>
        <v>-7.1186241701070685E-2</v>
      </c>
    </row>
    <row r="49" spans="1:21" x14ac:dyDescent="0.25">
      <c r="A49" s="252"/>
      <c r="B49" s="252"/>
      <c r="C49" s="252" t="str">
        <f>'[2]3. ProForma'!A44</f>
        <v xml:space="preserve">  Benefits</v>
      </c>
      <c r="D49" s="252"/>
      <c r="E49" s="253">
        <f>+'Pro Forma'!G44</f>
        <v>4380.4004029999996</v>
      </c>
      <c r="F49" s="289" t="s">
        <v>2500</v>
      </c>
      <c r="G49" s="289"/>
      <c r="H49" s="254">
        <f t="shared" si="23"/>
        <v>970.09119167724941</v>
      </c>
      <c r="I49" s="254">
        <f t="shared" si="23"/>
        <v>3065.3019107167975</v>
      </c>
      <c r="J49" s="254">
        <f t="shared" si="23"/>
        <v>32.526946804721895</v>
      </c>
      <c r="K49" s="254">
        <f t="shared" si="23"/>
        <v>97.663379257405452</v>
      </c>
      <c r="L49" s="254">
        <f t="shared" si="23"/>
        <v>187.39934655565042</v>
      </c>
      <c r="M49" s="254">
        <f t="shared" si="23"/>
        <v>9.4579649152365324</v>
      </c>
      <c r="N49" s="254">
        <f t="shared" si="23"/>
        <v>13.679744536946474</v>
      </c>
      <c r="O49" s="254">
        <f t="shared" si="23"/>
        <v>2.6574219123070155</v>
      </c>
      <c r="P49" s="254">
        <f t="shared" si="23"/>
        <v>1.6059230870344183</v>
      </c>
      <c r="Q49" s="254">
        <f t="shared" si="23"/>
        <v>1.6573536650531306E-2</v>
      </c>
      <c r="R49" s="254">
        <f t="shared" si="23"/>
        <v>1.6573536650531306E-2</v>
      </c>
      <c r="S49" s="254">
        <f t="shared" si="23"/>
        <v>0</v>
      </c>
      <c r="T49" s="254">
        <f t="shared" si="23"/>
        <v>0</v>
      </c>
      <c r="U49" s="253">
        <f t="shared" si="7"/>
        <v>-1.6573536650867027E-2</v>
      </c>
    </row>
    <row r="50" spans="1:21" x14ac:dyDescent="0.25">
      <c r="A50" s="252"/>
      <c r="B50" s="252"/>
      <c r="C50" s="252" t="str">
        <f>'[2]3. ProForma'!A45</f>
        <v xml:space="preserve">  Medical Expense</v>
      </c>
      <c r="D50" s="252"/>
      <c r="E50" s="253">
        <f>+'Pro Forma'!G45</f>
        <v>17135.73</v>
      </c>
      <c r="F50" s="289" t="s">
        <v>2500</v>
      </c>
      <c r="G50" s="289"/>
      <c r="H50" s="254">
        <f t="shared" si="23"/>
        <v>3794.9089595953069</v>
      </c>
      <c r="I50" s="254">
        <f t="shared" si="23"/>
        <v>11991.183699680423</v>
      </c>
      <c r="J50" s="254">
        <f t="shared" si="23"/>
        <v>127.24247258044029</v>
      </c>
      <c r="K50" s="254">
        <f t="shared" si="23"/>
        <v>382.05030222724605</v>
      </c>
      <c r="L50" s="254">
        <f t="shared" si="23"/>
        <v>733.08928621109339</v>
      </c>
      <c r="M50" s="254">
        <f t="shared" si="23"/>
        <v>36.998702909891527</v>
      </c>
      <c r="N50" s="254">
        <f t="shared" si="23"/>
        <v>53.513922766865804</v>
      </c>
      <c r="O50" s="254">
        <f t="shared" si="23"/>
        <v>10.395594054413362</v>
      </c>
      <c r="P50" s="254">
        <f t="shared" si="23"/>
        <v>6.2822257986602361</v>
      </c>
      <c r="Q50" s="254">
        <f t="shared" si="23"/>
        <v>6.4834175659856635E-2</v>
      </c>
      <c r="R50" s="254">
        <f t="shared" si="23"/>
        <v>6.4834175659856635E-2</v>
      </c>
      <c r="S50" s="254">
        <f t="shared" si="23"/>
        <v>0</v>
      </c>
      <c r="T50" s="254">
        <f t="shared" si="23"/>
        <v>0</v>
      </c>
      <c r="U50" s="253">
        <f t="shared" si="7"/>
        <v>-6.4834175660507753E-2</v>
      </c>
    </row>
    <row r="51" spans="1:21" x14ac:dyDescent="0.25">
      <c r="A51" s="252"/>
      <c r="B51" s="252"/>
      <c r="C51" s="252" t="str">
        <f>'[2]3. ProForma'!A46</f>
        <v xml:space="preserve">  Contract Labor</v>
      </c>
      <c r="D51" s="252"/>
      <c r="E51" s="253">
        <f>+'Pro Forma'!G46</f>
        <v>118236.45999999999</v>
      </c>
      <c r="F51" s="408" t="s">
        <v>2500</v>
      </c>
      <c r="G51" s="289"/>
      <c r="H51" s="254">
        <f t="shared" si="23"/>
        <v>26184.854768651941</v>
      </c>
      <c r="I51" s="254">
        <f t="shared" si="23"/>
        <v>82739.11364499302</v>
      </c>
      <c r="J51" s="254">
        <f t="shared" si="23"/>
        <v>877.97248903655259</v>
      </c>
      <c r="K51" s="254">
        <f t="shared" si="23"/>
        <v>2636.1453686116488</v>
      </c>
      <c r="L51" s="254">
        <f t="shared" si="23"/>
        <v>5058.3127806942857</v>
      </c>
      <c r="M51" s="254">
        <f t="shared" si="23"/>
        <v>255.29088382329044</v>
      </c>
      <c r="N51" s="254">
        <f t="shared" si="23"/>
        <v>369.24582662469692</v>
      </c>
      <c r="O51" s="254">
        <f t="shared" si="23"/>
        <v>71.729552262487985</v>
      </c>
      <c r="P51" s="254">
        <f t="shared" si="23"/>
        <v>43.347329781355043</v>
      </c>
      <c r="Q51" s="254">
        <f t="shared" si="23"/>
        <v>0.44735552071838275</v>
      </c>
      <c r="R51" s="254">
        <f t="shared" si="23"/>
        <v>0.44735552071838275</v>
      </c>
      <c r="S51" s="254">
        <f t="shared" si="23"/>
        <v>0</v>
      </c>
      <c r="T51" s="254">
        <f t="shared" si="23"/>
        <v>0</v>
      </c>
      <c r="U51" s="253">
        <f t="shared" si="7"/>
        <v>-0.44735552072233986</v>
      </c>
    </row>
    <row r="52" spans="1:21" x14ac:dyDescent="0.25">
      <c r="A52" s="252"/>
      <c r="B52" s="252"/>
      <c r="C52" s="252" t="str">
        <f>'[2]3. ProForma'!A47</f>
        <v>Cart Rents</v>
      </c>
      <c r="D52" s="252"/>
      <c r="E52" s="253">
        <f>+'Pro Forma'!G47</f>
        <v>694876.00000000012</v>
      </c>
      <c r="F52" s="408" t="s">
        <v>2507</v>
      </c>
      <c r="G52" s="289"/>
      <c r="H52" s="287">
        <f>+E52*'Can Count'!U11</f>
        <v>107865.76259085364</v>
      </c>
      <c r="I52" s="287">
        <f>+E52*'Can Count'!U13</f>
        <v>480082.05885368917</v>
      </c>
      <c r="J52" s="287">
        <f>+E52*'Can Count'!U20</f>
        <v>42610.858921901832</v>
      </c>
      <c r="K52" s="287">
        <f>+E52*'Can Count'!U15</f>
        <v>17869.519916330417</v>
      </c>
      <c r="L52" s="287">
        <f>+E52*'Can Count'!U16</f>
        <v>23433.140042989078</v>
      </c>
      <c r="M52" s="287">
        <f>+E52*'Can Count'!U21</f>
        <v>15702.545058854899</v>
      </c>
      <c r="N52" s="287">
        <f>+E52*'Can Count'!U14</f>
        <v>2005.959695189742</v>
      </c>
      <c r="O52" s="287">
        <f>+E52*'Can Count'!U19</f>
        <v>2648.9350924614105</v>
      </c>
      <c r="P52" s="287">
        <f>+E52*'Can Count'!U18</f>
        <v>1874.5303641961486</v>
      </c>
      <c r="Q52" s="287">
        <f>+E52*'Can Count'!U17</f>
        <v>782.68946353386548</v>
      </c>
      <c r="R52" s="287"/>
      <c r="S52" s="287"/>
      <c r="T52" s="287"/>
      <c r="U52" s="253">
        <f t="shared" si="7"/>
        <v>0</v>
      </c>
    </row>
    <row r="53" spans="1:21" x14ac:dyDescent="0.25">
      <c r="A53" s="252"/>
      <c r="B53" s="252"/>
      <c r="C53" s="252" t="str">
        <f>'[2]3. ProForma'!A48</f>
        <v>Depreciation Cont./Carts</v>
      </c>
      <c r="D53" s="252"/>
      <c r="E53" s="253">
        <f>+'Pro Forma'!G48</f>
        <v>129164.96</v>
      </c>
      <c r="F53" s="408" t="s">
        <v>2500</v>
      </c>
      <c r="G53" s="289"/>
      <c r="H53" s="254">
        <f>$E53*H$15</f>
        <v>28605.099635076505</v>
      </c>
      <c r="I53" s="254">
        <f t="shared" ref="I53:T53" si="24">$E53*I$15</f>
        <v>90386.622742181047</v>
      </c>
      <c r="J53" s="254">
        <f t="shared" si="24"/>
        <v>959.12277336032184</v>
      </c>
      <c r="K53" s="254">
        <f t="shared" si="24"/>
        <v>2879.8021447099218</v>
      </c>
      <c r="L53" s="254">
        <f t="shared" si="24"/>
        <v>5525.8485241004864</v>
      </c>
      <c r="M53" s="254">
        <f t="shared" si="24"/>
        <v>278.88721294091482</v>
      </c>
      <c r="N53" s="254">
        <f t="shared" si="24"/>
        <v>403.37491858387773</v>
      </c>
      <c r="O53" s="254">
        <f t="shared" si="24"/>
        <v>78.359456539904627</v>
      </c>
      <c r="P53" s="254">
        <f t="shared" si="24"/>
        <v>47.353888278755413</v>
      </c>
      <c r="Q53" s="254">
        <f t="shared" si="24"/>
        <v>0.48870422828431337</v>
      </c>
      <c r="R53" s="254">
        <f t="shared" si="24"/>
        <v>0.48870422828431337</v>
      </c>
      <c r="S53" s="254">
        <f t="shared" si="24"/>
        <v>0</v>
      </c>
      <c r="T53" s="254">
        <f t="shared" si="24"/>
        <v>0</v>
      </c>
      <c r="U53" s="253">
        <f t="shared" si="7"/>
        <v>-0.48870422827894799</v>
      </c>
    </row>
    <row r="54" spans="1:21" x14ac:dyDescent="0.25">
      <c r="A54" s="252"/>
      <c r="B54" s="252"/>
      <c r="C54" s="252" t="str">
        <f>'[2]3. ProForma'!A49</f>
        <v>Maintenance Containers</v>
      </c>
      <c r="D54" s="252"/>
      <c r="E54" s="253">
        <f>+'Pro Forma'!G49</f>
        <v>25429.640000000003</v>
      </c>
      <c r="F54" s="408" t="str">
        <f>F50</f>
        <v>B</v>
      </c>
      <c r="G54" s="289"/>
      <c r="H54" s="254">
        <f>$E$54*H15</f>
        <v>5631.6928823740345</v>
      </c>
      <c r="I54" s="254">
        <f t="shared" ref="I54:T54" si="25">$E$54*I15</f>
        <v>17795.068237929831</v>
      </c>
      <c r="J54" s="254">
        <f t="shared" si="25"/>
        <v>188.82943828074252</v>
      </c>
      <c r="K54" s="254">
        <f t="shared" si="25"/>
        <v>566.96747950219026</v>
      </c>
      <c r="L54" s="254">
        <f t="shared" si="25"/>
        <v>1087.9137705954208</v>
      </c>
      <c r="M54" s="254">
        <f t="shared" si="25"/>
        <v>54.906542964057792</v>
      </c>
      <c r="N54" s="254">
        <f t="shared" si="25"/>
        <v>79.415338065504159</v>
      </c>
      <c r="O54" s="254">
        <f t="shared" si="25"/>
        <v>15.427193028244041</v>
      </c>
      <c r="P54" s="254">
        <f t="shared" si="25"/>
        <v>9.3229025234782714</v>
      </c>
      <c r="Q54" s="254">
        <f>$E$54*Q15</f>
        <v>9.6214736502437712E-2</v>
      </c>
      <c r="R54" s="254">
        <f t="shared" si="25"/>
        <v>9.6214736502437712E-2</v>
      </c>
      <c r="S54" s="254">
        <f t="shared" si="25"/>
        <v>0</v>
      </c>
      <c r="T54" s="254">
        <f t="shared" si="25"/>
        <v>0</v>
      </c>
      <c r="U54" s="253">
        <f t="shared" si="7"/>
        <v>-9.6214736506226473E-2</v>
      </c>
    </row>
    <row r="55" spans="1:21" x14ac:dyDescent="0.25">
      <c r="A55" s="252"/>
      <c r="B55" s="252"/>
      <c r="C55" s="252" t="str">
        <f>'[2]3. ProForma'!A50</f>
        <v>Property Tax</v>
      </c>
      <c r="D55" s="252"/>
      <c r="E55" s="253">
        <f>+'Pro Forma'!G50</f>
        <v>9913.58</v>
      </c>
      <c r="F55" s="289" t="str">
        <f>F53</f>
        <v>B</v>
      </c>
      <c r="G55" s="289"/>
      <c r="H55" s="254">
        <f>$E$55*H15</f>
        <v>2195.4788948976698</v>
      </c>
      <c r="I55" s="254">
        <f t="shared" ref="I55:T55" si="26">$E$55*I15</f>
        <v>6937.291781644426</v>
      </c>
      <c r="J55" s="254">
        <f t="shared" si="26"/>
        <v>73.61393015202745</v>
      </c>
      <c r="K55" s="254">
        <f t="shared" si="26"/>
        <v>221.02858968681124</v>
      </c>
      <c r="L55" s="254">
        <f t="shared" si="26"/>
        <v>424.11611795917486</v>
      </c>
      <c r="M55" s="254">
        <f t="shared" si="26"/>
        <v>21.404959181397139</v>
      </c>
      <c r="N55" s="254">
        <f t="shared" si="26"/>
        <v>30.959553778166761</v>
      </c>
      <c r="O55" s="254">
        <f t="shared" si="26"/>
        <v>6.0141910094259901</v>
      </c>
      <c r="P55" s="254">
        <f t="shared" si="26"/>
        <v>3.6344730007465191</v>
      </c>
      <c r="Q55" s="254">
        <f>$E$55*Q15</f>
        <v>3.7508690154317417E-2</v>
      </c>
      <c r="R55" s="254">
        <f t="shared" si="26"/>
        <v>3.7508690154317417E-2</v>
      </c>
      <c r="S55" s="254">
        <f t="shared" si="26"/>
        <v>0</v>
      </c>
      <c r="T55" s="254">
        <f t="shared" si="26"/>
        <v>0</v>
      </c>
      <c r="U55" s="253">
        <f t="shared" si="7"/>
        <v>-3.7508690153117641E-2</v>
      </c>
    </row>
    <row r="56" spans="1:21" x14ac:dyDescent="0.25">
      <c r="A56" s="252"/>
      <c r="B56" s="252"/>
      <c r="C56" s="252" t="str">
        <f>'[2]3. ProForma'!A51</f>
        <v>Insurance</v>
      </c>
      <c r="D56" s="252"/>
      <c r="E56" s="253">
        <f>+'Pro Forma'!G51</f>
        <v>49619.724921068293</v>
      </c>
      <c r="F56" s="289" t="str">
        <f>F54</f>
        <v>B</v>
      </c>
      <c r="G56" s="289"/>
      <c r="H56" s="254">
        <f>$E$56*H15</f>
        <v>10988.871712825576</v>
      </c>
      <c r="I56" s="254">
        <f t="shared" ref="I56:T56" si="27">$E$56*I15</f>
        <v>34722.724777767893</v>
      </c>
      <c r="J56" s="254">
        <f t="shared" si="27"/>
        <v>368.45448006697245</v>
      </c>
      <c r="K56" s="254">
        <f t="shared" si="27"/>
        <v>1106.2984128792268</v>
      </c>
      <c r="L56" s="254">
        <f t="shared" si="27"/>
        <v>2122.7977287443696</v>
      </c>
      <c r="M56" s="254">
        <f t="shared" si="27"/>
        <v>107.13669396198158</v>
      </c>
      <c r="N56" s="254">
        <f t="shared" si="27"/>
        <v>154.95961520980867</v>
      </c>
      <c r="O56" s="254">
        <f t="shared" si="27"/>
        <v>30.102395250805426</v>
      </c>
      <c r="P56" s="254">
        <f t="shared" si="27"/>
        <v>18.191364827851483</v>
      </c>
      <c r="Q56" s="254">
        <f>$E$56*Q15</f>
        <v>0.1877395338118836</v>
      </c>
      <c r="R56" s="254">
        <f t="shared" si="27"/>
        <v>0.1877395338118836</v>
      </c>
      <c r="S56" s="254">
        <f t="shared" si="27"/>
        <v>0</v>
      </c>
      <c r="T56" s="254">
        <f t="shared" si="27"/>
        <v>0</v>
      </c>
      <c r="U56" s="253">
        <f t="shared" si="7"/>
        <v>-0.18773953380878083</v>
      </c>
    </row>
    <row r="57" spans="1:21" x14ac:dyDescent="0.25">
      <c r="A57" s="252"/>
      <c r="B57" s="252"/>
      <c r="C57" s="252"/>
      <c r="D57" s="252"/>
      <c r="E57" s="253"/>
      <c r="F57" s="289"/>
      <c r="G57" s="289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3">
        <f t="shared" si="7"/>
        <v>0</v>
      </c>
    </row>
    <row r="58" spans="1:21" x14ac:dyDescent="0.25">
      <c r="A58" s="252"/>
      <c r="B58" s="252"/>
      <c r="C58" s="252" t="str">
        <f>'[2]3. ProForma'!A53</f>
        <v>Officer Wages</v>
      </c>
      <c r="D58" s="252"/>
      <c r="E58" s="253">
        <f>+'Pro Forma'!G53</f>
        <v>386378.31</v>
      </c>
      <c r="F58" s="289" t="s">
        <v>2505</v>
      </c>
      <c r="G58" s="289"/>
      <c r="H58" s="254">
        <f>$E$58*H18</f>
        <v>118954.43393016857</v>
      </c>
      <c r="I58" s="254">
        <f t="shared" ref="I58:T58" si="28">$E$58*I18</f>
        <v>177126.14246021738</v>
      </c>
      <c r="J58" s="254">
        <f t="shared" si="28"/>
        <v>36828.992532712407</v>
      </c>
      <c r="K58" s="254">
        <f t="shared" si="28"/>
        <v>13123.778663923669</v>
      </c>
      <c r="L58" s="254">
        <f t="shared" si="28"/>
        <v>14984.478746749186</v>
      </c>
      <c r="M58" s="254">
        <f t="shared" si="28"/>
        <v>3779.1868716058057</v>
      </c>
      <c r="N58" s="254">
        <f>$E$58*N18</f>
        <v>718.35463391176245</v>
      </c>
      <c r="O58" s="254">
        <f t="shared" si="28"/>
        <v>2331.5332356720887</v>
      </c>
      <c r="P58" s="254">
        <f t="shared" si="28"/>
        <v>3262.0939278966257</v>
      </c>
      <c r="Q58" s="254">
        <f>$E$58*Q18</f>
        <v>2705.728777910615</v>
      </c>
      <c r="R58" s="254">
        <f>$E$58*R18</f>
        <v>0.10839121837378186</v>
      </c>
      <c r="S58" s="254">
        <f>$E$58*S18</f>
        <v>0</v>
      </c>
      <c r="T58" s="254">
        <f t="shared" si="28"/>
        <v>12563.586219231744</v>
      </c>
      <c r="U58" s="253">
        <f t="shared" si="7"/>
        <v>-0.10839121829485521</v>
      </c>
    </row>
    <row r="59" spans="1:21" x14ac:dyDescent="0.25">
      <c r="A59" s="252"/>
      <c r="B59" s="252"/>
      <c r="C59" s="252" t="str">
        <f>'[2]3. ProForma'!A54</f>
        <v xml:space="preserve">  Payroll Taxes</v>
      </c>
      <c r="D59" s="252"/>
      <c r="E59" s="253">
        <f>+'Pro Forma'!G54</f>
        <v>15316.864631</v>
      </c>
      <c r="F59" s="289" t="s">
        <v>2505</v>
      </c>
      <c r="G59" s="288"/>
      <c r="H59" s="254">
        <f>$E$59*H18</f>
        <v>4715.6088077656987</v>
      </c>
      <c r="I59" s="254">
        <f t="shared" ref="I59:T59" si="29">$E$59*I18</f>
        <v>7021.660058180727</v>
      </c>
      <c r="J59" s="254">
        <f t="shared" si="29"/>
        <v>1459.9802279782884</v>
      </c>
      <c r="K59" s="254">
        <f t="shared" si="29"/>
        <v>520.2547245535726</v>
      </c>
      <c r="L59" s="254">
        <f t="shared" si="29"/>
        <v>594.01686531020289</v>
      </c>
      <c r="M59" s="254">
        <f t="shared" si="29"/>
        <v>149.8150704361187</v>
      </c>
      <c r="N59" s="254">
        <f t="shared" si="29"/>
        <v>28.477117891731627</v>
      </c>
      <c r="O59" s="254">
        <f t="shared" si="29"/>
        <v>92.426976435263157</v>
      </c>
      <c r="P59" s="254">
        <f t="shared" si="29"/>
        <v>129.31639746340755</v>
      </c>
      <c r="Q59" s="254">
        <f>$E$59*Q18</f>
        <v>107.26089003147706</v>
      </c>
      <c r="R59" s="254">
        <f t="shared" si="29"/>
        <v>4.2968602948244604E-3</v>
      </c>
      <c r="S59" s="254">
        <f t="shared" si="29"/>
        <v>0</v>
      </c>
      <c r="T59" s="254">
        <f t="shared" si="29"/>
        <v>498.0474949535074</v>
      </c>
      <c r="U59" s="253">
        <f t="shared" si="7"/>
        <v>-4.2968602901964914E-3</v>
      </c>
    </row>
    <row r="60" spans="1:21" x14ac:dyDescent="0.25">
      <c r="A60" s="252"/>
      <c r="B60" s="252"/>
      <c r="C60" s="252" t="str">
        <f>'[2]3. ProForma'!A55</f>
        <v xml:space="preserve">  Benefits</v>
      </c>
      <c r="D60" s="252"/>
      <c r="E60" s="253">
        <f>+'Pro Forma'!G55</f>
        <v>9757.6212130000004</v>
      </c>
      <c r="F60" s="289" t="s">
        <v>2505</v>
      </c>
      <c r="G60" s="289"/>
      <c r="H60" s="254">
        <f>$E$60*H18</f>
        <v>3004.0824700988519</v>
      </c>
      <c r="I60" s="254">
        <f t="shared" ref="I60:T60" si="30">$E$60*I18</f>
        <v>4473.1543161588888</v>
      </c>
      <c r="J60" s="254">
        <f t="shared" si="30"/>
        <v>930.08160522937533</v>
      </c>
      <c r="K60" s="254">
        <f t="shared" si="30"/>
        <v>331.42870024411667</v>
      </c>
      <c r="L60" s="254">
        <f t="shared" si="30"/>
        <v>378.41893269067697</v>
      </c>
      <c r="M60" s="254">
        <f t="shared" si="30"/>
        <v>95.43981386085548</v>
      </c>
      <c r="N60" s="254">
        <f t="shared" si="30"/>
        <v>18.141371378518279</v>
      </c>
      <c r="O60" s="254">
        <f t="shared" si="30"/>
        <v>58.880681369532624</v>
      </c>
      <c r="P60" s="254">
        <f t="shared" si="30"/>
        <v>82.381117381155818</v>
      </c>
      <c r="Q60" s="254">
        <f>$E$60*Q18</f>
        <v>68.330638228541304</v>
      </c>
      <c r="R60" s="254">
        <f t="shared" si="30"/>
        <v>2.7373183854624999E-3</v>
      </c>
      <c r="S60" s="254">
        <f t="shared" si="30"/>
        <v>0</v>
      </c>
      <c r="T60" s="254">
        <f t="shared" si="30"/>
        <v>317.28156635948363</v>
      </c>
      <c r="U60" s="253">
        <f t="shared" si="7"/>
        <v>-2.7373183802410495E-3</v>
      </c>
    </row>
    <row r="61" spans="1:21" x14ac:dyDescent="0.25">
      <c r="A61" s="252"/>
      <c r="B61" s="252"/>
      <c r="C61" s="252" t="str">
        <f>'[2]3. ProForma'!A56</f>
        <v xml:space="preserve">  Medical Expense</v>
      </c>
      <c r="D61" s="252"/>
      <c r="E61" s="253">
        <f>+'Pro Forma'!G56</f>
        <v>6986.4699999999975</v>
      </c>
      <c r="F61" s="289" t="s">
        <v>2505</v>
      </c>
      <c r="G61" s="293"/>
      <c r="H61" s="254">
        <f>$E$61*H18</f>
        <v>2150.92711601773</v>
      </c>
      <c r="I61" s="254">
        <f t="shared" ref="I61:T61" si="31">$E$61*I18</f>
        <v>3202.7845468707455</v>
      </c>
      <c r="J61" s="254">
        <f t="shared" si="31"/>
        <v>665.93968864354508</v>
      </c>
      <c r="K61" s="254">
        <f t="shared" si="31"/>
        <v>237.3033981181365</v>
      </c>
      <c r="L61" s="254">
        <f t="shared" si="31"/>
        <v>270.94846817307308</v>
      </c>
      <c r="M61" s="254">
        <f t="shared" si="31"/>
        <v>68.335035946680861</v>
      </c>
      <c r="N61" s="254">
        <f t="shared" si="31"/>
        <v>12.989246469827744</v>
      </c>
      <c r="O61" s="254">
        <f t="shared" si="31"/>
        <v>42.158647583053956</v>
      </c>
      <c r="P61" s="254">
        <f t="shared" si="31"/>
        <v>58.984991586178666</v>
      </c>
      <c r="Q61" s="254">
        <f>$E$61*Q18</f>
        <v>48.924829489028951</v>
      </c>
      <c r="R61" s="254">
        <f t="shared" si="31"/>
        <v>1.9599236702284753E-3</v>
      </c>
      <c r="S61" s="254">
        <f t="shared" si="31"/>
        <v>0</v>
      </c>
      <c r="T61" s="254">
        <f t="shared" si="31"/>
        <v>227.17403110199425</v>
      </c>
      <c r="U61" s="253">
        <f t="shared" si="7"/>
        <v>-1.9599236666181241E-3</v>
      </c>
    </row>
    <row r="62" spans="1:21" x14ac:dyDescent="0.25">
      <c r="A62" s="252"/>
      <c r="B62" s="252"/>
      <c r="C62" s="252" t="str">
        <f>'[2]3. ProForma'!A57</f>
        <v xml:space="preserve">  Other EE Costs</v>
      </c>
      <c r="D62" s="252"/>
      <c r="E62" s="253">
        <f>+'Pro Forma'!C57</f>
        <v>0</v>
      </c>
      <c r="F62" s="289" t="s">
        <v>2505</v>
      </c>
      <c r="G62" s="294"/>
      <c r="H62" s="254">
        <f>$E$62*H18</f>
        <v>0</v>
      </c>
      <c r="I62" s="254">
        <f t="shared" ref="I62:T62" si="32">$E$62*I18</f>
        <v>0</v>
      </c>
      <c r="J62" s="254">
        <f t="shared" si="32"/>
        <v>0</v>
      </c>
      <c r="K62" s="254">
        <f t="shared" si="32"/>
        <v>0</v>
      </c>
      <c r="L62" s="254">
        <f t="shared" si="32"/>
        <v>0</v>
      </c>
      <c r="M62" s="254">
        <f t="shared" si="32"/>
        <v>0</v>
      </c>
      <c r="N62" s="254">
        <f t="shared" si="32"/>
        <v>0</v>
      </c>
      <c r="O62" s="254">
        <f t="shared" si="32"/>
        <v>0</v>
      </c>
      <c r="P62" s="254">
        <f t="shared" si="32"/>
        <v>0</v>
      </c>
      <c r="Q62" s="254">
        <f>$E$62*Q18</f>
        <v>0</v>
      </c>
      <c r="R62" s="254">
        <f t="shared" si="32"/>
        <v>0</v>
      </c>
      <c r="S62" s="254">
        <f t="shared" si="32"/>
        <v>0</v>
      </c>
      <c r="T62" s="254">
        <f t="shared" si="32"/>
        <v>0</v>
      </c>
      <c r="U62" s="253">
        <f t="shared" si="7"/>
        <v>0</v>
      </c>
    </row>
    <row r="63" spans="1:21" x14ac:dyDescent="0.25">
      <c r="A63" s="256"/>
      <c r="B63" s="256"/>
      <c r="C63" s="252"/>
      <c r="D63" s="256"/>
      <c r="E63" s="253"/>
      <c r="F63" s="293"/>
      <c r="G63" s="256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3">
        <f t="shared" si="7"/>
        <v>0</v>
      </c>
    </row>
    <row r="64" spans="1:21" x14ac:dyDescent="0.25">
      <c r="A64" s="252"/>
      <c r="B64" s="252"/>
      <c r="C64" s="252" t="str">
        <f>'[2]3. ProForma'!A59</f>
        <v>Customer Service</v>
      </c>
      <c r="D64" s="252"/>
      <c r="E64" s="253">
        <f>+'Pro Forma'!G59</f>
        <v>368048.04399999999</v>
      </c>
      <c r="F64" s="293" t="s">
        <v>2500</v>
      </c>
      <c r="G64" s="295"/>
      <c r="H64" s="254">
        <f t="shared" ref="H64:S64" si="33">$E$64*H15</f>
        <v>81508.56833861924</v>
      </c>
      <c r="I64" s="254">
        <f t="shared" si="33"/>
        <v>257551.42651711151</v>
      </c>
      <c r="J64" s="254">
        <f t="shared" si="33"/>
        <v>2732.9645802632676</v>
      </c>
      <c r="K64" s="254">
        <f t="shared" si="33"/>
        <v>8205.8287825699135</v>
      </c>
      <c r="L64" s="254">
        <f t="shared" si="33"/>
        <v>15745.584102185847</v>
      </c>
      <c r="M64" s="254">
        <f t="shared" si="33"/>
        <v>794.67289905493863</v>
      </c>
      <c r="N64" s="254">
        <f t="shared" si="33"/>
        <v>1149.3933786953942</v>
      </c>
      <c r="O64" s="254">
        <f t="shared" si="33"/>
        <v>223.28071567099082</v>
      </c>
      <c r="P64" s="254">
        <f t="shared" si="33"/>
        <v>134.93215154319296</v>
      </c>
      <c r="Q64" s="254">
        <f t="shared" si="33"/>
        <v>1.3925342857271121</v>
      </c>
      <c r="R64" s="254">
        <f t="shared" si="33"/>
        <v>1.3925342857271121</v>
      </c>
      <c r="S64" s="254">
        <f t="shared" si="33"/>
        <v>0</v>
      </c>
      <c r="T64" s="254">
        <f>$E$64*T15</f>
        <v>0</v>
      </c>
      <c r="U64" s="253">
        <f t="shared" si="7"/>
        <v>-1.3925342857837677</v>
      </c>
    </row>
    <row r="65" spans="1:21" x14ac:dyDescent="0.25">
      <c r="A65" s="252"/>
      <c r="B65" s="252"/>
      <c r="C65" s="252" t="str">
        <f>'[2]3. ProForma'!A60</f>
        <v xml:space="preserve">  Payroll Taxes</v>
      </c>
      <c r="D65" s="252"/>
      <c r="E65" s="253">
        <f>+'Pro Forma'!G60</f>
        <v>33246.458179000001</v>
      </c>
      <c r="F65" s="293" t="s">
        <v>2500</v>
      </c>
      <c r="G65" s="252"/>
      <c r="H65" s="254">
        <f t="shared" ref="H65:S65" si="34">$E$65*H15</f>
        <v>7362.81920982052</v>
      </c>
      <c r="I65" s="254">
        <f t="shared" si="34"/>
        <v>23265.09506091259</v>
      </c>
      <c r="J65" s="254">
        <f t="shared" si="34"/>
        <v>246.87372777454843</v>
      </c>
      <c r="K65" s="254">
        <f t="shared" si="34"/>
        <v>741.2476384299033</v>
      </c>
      <c r="L65" s="254">
        <f t="shared" si="34"/>
        <v>1422.3276332837922</v>
      </c>
      <c r="M65" s="254">
        <f t="shared" si="34"/>
        <v>71.784267665921107</v>
      </c>
      <c r="N65" s="254">
        <f t="shared" si="34"/>
        <v>103.8268223917417</v>
      </c>
      <c r="O65" s="254">
        <f t="shared" si="34"/>
        <v>20.169358584426512</v>
      </c>
      <c r="P65" s="254">
        <f t="shared" si="34"/>
        <v>12.188669947892061</v>
      </c>
      <c r="Q65" s="254">
        <f t="shared" si="34"/>
        <v>0.12579018866691782</v>
      </c>
      <c r="R65" s="254">
        <f t="shared" si="34"/>
        <v>0.12579018866691782</v>
      </c>
      <c r="S65" s="254">
        <f t="shared" si="34"/>
        <v>0</v>
      </c>
      <c r="T65" s="254">
        <f>$E$65*T15</f>
        <v>0</v>
      </c>
      <c r="U65" s="253">
        <f t="shared" si="7"/>
        <v>-0.12579018866381375</v>
      </c>
    </row>
    <row r="66" spans="1:21" x14ac:dyDescent="0.25">
      <c r="A66" s="252"/>
      <c r="B66" s="252"/>
      <c r="C66" s="252" t="str">
        <f>'[2]3. ProForma'!A61</f>
        <v xml:space="preserve">  Benefits</v>
      </c>
      <c r="D66" s="252"/>
      <c r="E66" s="253">
        <f>+'Pro Forma'!G61</f>
        <v>26583.322698000004</v>
      </c>
      <c r="F66" s="293" t="s">
        <v>2500</v>
      </c>
      <c r="G66" s="252"/>
      <c r="H66" s="254">
        <f t="shared" ref="H66:S66" si="35">$E$66*H15</f>
        <v>5887.1894855050532</v>
      </c>
      <c r="I66" s="254">
        <f t="shared" si="35"/>
        <v>18602.388449141195</v>
      </c>
      <c r="J66" s="254">
        <f t="shared" si="35"/>
        <v>197.39618385077623</v>
      </c>
      <c r="K66" s="254">
        <f t="shared" si="35"/>
        <v>592.68945478105172</v>
      </c>
      <c r="L66" s="254">
        <f t="shared" si="35"/>
        <v>1137.2698485442977</v>
      </c>
      <c r="M66" s="254">
        <f t="shared" si="35"/>
        <v>57.397523120466893</v>
      </c>
      <c r="N66" s="254">
        <f t="shared" si="35"/>
        <v>83.018224362046027</v>
      </c>
      <c r="O66" s="254">
        <f t="shared" si="35"/>
        <v>16.127088334484764</v>
      </c>
      <c r="P66" s="254">
        <f t="shared" si="35"/>
        <v>9.7458605888098067</v>
      </c>
      <c r="Q66" s="254">
        <f t="shared" si="35"/>
        <v>0.10057977182324805</v>
      </c>
      <c r="R66" s="254">
        <f t="shared" si="35"/>
        <v>0.10057977182324805</v>
      </c>
      <c r="S66" s="254">
        <f t="shared" si="35"/>
        <v>0</v>
      </c>
      <c r="T66" s="254">
        <f>$E$66*T15</f>
        <v>0</v>
      </c>
      <c r="U66" s="253">
        <f t="shared" si="7"/>
        <v>-0.10057977182441391</v>
      </c>
    </row>
    <row r="67" spans="1:21" x14ac:dyDescent="0.25">
      <c r="A67" s="256"/>
      <c r="B67" s="256"/>
      <c r="C67" s="252" t="str">
        <f>'[2]3. ProForma'!A62</f>
        <v xml:space="preserve">  Medical Expense</v>
      </c>
      <c r="D67" s="256"/>
      <c r="E67" s="253">
        <f>+'Pro Forma'!G62</f>
        <v>43932.2</v>
      </c>
      <c r="F67" s="293" t="s">
        <v>2500</v>
      </c>
      <c r="G67" s="256"/>
      <c r="H67" s="254">
        <f t="shared" ref="H67:S67" si="36">$E$67*H15</f>
        <v>9729.3024221747746</v>
      </c>
      <c r="I67" s="254">
        <f t="shared" si="36"/>
        <v>30742.727653336056</v>
      </c>
      <c r="J67" s="254">
        <f t="shared" si="36"/>
        <v>326.22139552259625</v>
      </c>
      <c r="K67" s="254">
        <f t="shared" si="36"/>
        <v>979.49199056636735</v>
      </c>
      <c r="L67" s="254">
        <f t="shared" si="36"/>
        <v>1879.4778594015543</v>
      </c>
      <c r="M67" s="254">
        <f t="shared" si="36"/>
        <v>94.856444165374711</v>
      </c>
      <c r="N67" s="254">
        <f t="shared" si="36"/>
        <v>137.19779418667903</v>
      </c>
      <c r="O67" s="254">
        <f t="shared" si="36"/>
        <v>26.651990730321888</v>
      </c>
      <c r="P67" s="254">
        <f t="shared" si="36"/>
        <v>16.106229511780427</v>
      </c>
      <c r="Q67" s="254">
        <f t="shared" si="36"/>
        <v>0.1662204044953996</v>
      </c>
      <c r="R67" s="254">
        <f t="shared" si="36"/>
        <v>0.1662204044953996</v>
      </c>
      <c r="S67" s="254">
        <f t="shared" si="36"/>
        <v>0</v>
      </c>
      <c r="T67" s="254">
        <f>$E$67*T15</f>
        <v>0</v>
      </c>
      <c r="U67" s="253">
        <f t="shared" si="7"/>
        <v>-0.16622040450602071</v>
      </c>
    </row>
    <row r="68" spans="1:21" x14ac:dyDescent="0.25">
      <c r="A68" s="252"/>
      <c r="B68" s="252"/>
      <c r="C68" s="252" t="str">
        <f>'[2]3. ProForma'!A63</f>
        <v xml:space="preserve">  Other EE Costs</v>
      </c>
      <c r="D68" s="252"/>
      <c r="E68" s="253"/>
      <c r="F68" s="293" t="s">
        <v>2500</v>
      </c>
      <c r="G68" s="252"/>
      <c r="H68" s="254">
        <f t="shared" ref="H68:S68" si="37">$E$68*H15</f>
        <v>0</v>
      </c>
      <c r="I68" s="254">
        <f t="shared" si="37"/>
        <v>0</v>
      </c>
      <c r="J68" s="254">
        <f t="shared" si="37"/>
        <v>0</v>
      </c>
      <c r="K68" s="254">
        <f t="shared" si="37"/>
        <v>0</v>
      </c>
      <c r="L68" s="254">
        <f t="shared" si="37"/>
        <v>0</v>
      </c>
      <c r="M68" s="254">
        <f t="shared" si="37"/>
        <v>0</v>
      </c>
      <c r="N68" s="254">
        <f t="shared" si="37"/>
        <v>0</v>
      </c>
      <c r="O68" s="254">
        <f t="shared" si="37"/>
        <v>0</v>
      </c>
      <c r="P68" s="254">
        <f t="shared" si="37"/>
        <v>0</v>
      </c>
      <c r="Q68" s="254">
        <f t="shared" si="37"/>
        <v>0</v>
      </c>
      <c r="R68" s="254">
        <f t="shared" si="37"/>
        <v>0</v>
      </c>
      <c r="S68" s="254">
        <f t="shared" si="37"/>
        <v>0</v>
      </c>
      <c r="T68" s="254">
        <f>$E$68*T15</f>
        <v>0</v>
      </c>
      <c r="U68" s="253">
        <f t="shared" si="7"/>
        <v>0</v>
      </c>
    </row>
    <row r="69" spans="1:21" x14ac:dyDescent="0.25">
      <c r="A69" s="252"/>
      <c r="B69" s="252"/>
      <c r="C69" s="252"/>
      <c r="D69" s="252"/>
      <c r="E69" s="253"/>
      <c r="F69" s="293"/>
      <c r="G69" s="252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3">
        <f t="shared" si="7"/>
        <v>0</v>
      </c>
    </row>
    <row r="70" spans="1:21" x14ac:dyDescent="0.25">
      <c r="A70" s="252"/>
      <c r="B70" s="252"/>
      <c r="C70" s="252" t="str">
        <f>'[2]3. ProForma'!A65</f>
        <v>Admin Wages</v>
      </c>
      <c r="D70" s="252"/>
      <c r="E70" s="253">
        <f>+'Pro Forma'!G65</f>
        <v>466051.07559999998</v>
      </c>
      <c r="F70" s="293" t="s">
        <v>2505</v>
      </c>
      <c r="G70" s="252"/>
      <c r="H70" s="254">
        <f t="shared" ref="H70:T70" si="38">$E$70*H18</f>
        <v>143483.31789262238</v>
      </c>
      <c r="I70" s="254">
        <f t="shared" si="38"/>
        <v>213650.26730010577</v>
      </c>
      <c r="J70" s="254">
        <f t="shared" si="38"/>
        <v>44423.279306581637</v>
      </c>
      <c r="K70" s="254">
        <f t="shared" si="38"/>
        <v>15829.954746315747</v>
      </c>
      <c r="L70" s="254">
        <f t="shared" si="38"/>
        <v>18074.338689528919</v>
      </c>
      <c r="M70" s="254">
        <f t="shared" si="38"/>
        <v>4558.4704441749973</v>
      </c>
      <c r="N70" s="254">
        <f t="shared" si="38"/>
        <v>866.48225620330788</v>
      </c>
      <c r="O70" s="254">
        <f t="shared" si="38"/>
        <v>2812.3047908204917</v>
      </c>
      <c r="P70" s="254">
        <f t="shared" si="38"/>
        <v>3934.7508502856986</v>
      </c>
      <c r="Q70" s="254">
        <f t="shared" si="38"/>
        <v>3263.660962819356</v>
      </c>
      <c r="R70" s="254">
        <f t="shared" si="38"/>
        <v>0.13074192469213791</v>
      </c>
      <c r="S70" s="254">
        <f t="shared" si="38"/>
        <v>0</v>
      </c>
      <c r="T70" s="254">
        <f t="shared" si="38"/>
        <v>15154.248360541489</v>
      </c>
      <c r="U70" s="253">
        <f t="shared" si="7"/>
        <v>-0.13074192451313138</v>
      </c>
    </row>
    <row r="71" spans="1:21" x14ac:dyDescent="0.25">
      <c r="A71" s="252"/>
      <c r="B71" s="252"/>
      <c r="C71" s="252" t="str">
        <f>'[2]3. ProForma'!A66</f>
        <v xml:space="preserve">  Payroll Taxes</v>
      </c>
      <c r="D71" s="252"/>
      <c r="E71" s="253">
        <f>+'Pro Forma'!G66</f>
        <v>27785.46409428</v>
      </c>
      <c r="F71" s="293" t="s">
        <v>2505</v>
      </c>
      <c r="G71" s="252"/>
      <c r="H71" s="254">
        <f t="shared" ref="H71:T71" si="39">$E$71*H18</f>
        <v>8554.3211595446483</v>
      </c>
      <c r="I71" s="254">
        <f t="shared" si="39"/>
        <v>12737.59924951971</v>
      </c>
      <c r="J71" s="254">
        <f t="shared" si="39"/>
        <v>2648.4681545560534</v>
      </c>
      <c r="K71" s="254">
        <f t="shared" si="39"/>
        <v>943.76488382002879</v>
      </c>
      <c r="L71" s="254">
        <f t="shared" si="39"/>
        <v>1077.5726416664054</v>
      </c>
      <c r="M71" s="254">
        <f t="shared" si="39"/>
        <v>271.77110725127784</v>
      </c>
      <c r="N71" s="254">
        <f t="shared" si="39"/>
        <v>51.658740594198804</v>
      </c>
      <c r="O71" s="254">
        <f t="shared" si="39"/>
        <v>167.66658823158909</v>
      </c>
      <c r="P71" s="254">
        <f t="shared" si="39"/>
        <v>234.58561559974862</v>
      </c>
      <c r="Q71" s="254">
        <f t="shared" si="39"/>
        <v>194.57595797107632</v>
      </c>
      <c r="R71" s="254">
        <f t="shared" si="39"/>
        <v>7.7946929946972922E-3</v>
      </c>
      <c r="S71" s="254">
        <f t="shared" si="39"/>
        <v>0</v>
      </c>
      <c r="T71" s="254">
        <f t="shared" si="39"/>
        <v>903.47999552525255</v>
      </c>
      <c r="U71" s="253">
        <f t="shared" si="7"/>
        <v>-7.7946929850440938E-3</v>
      </c>
    </row>
    <row r="72" spans="1:21" x14ac:dyDescent="0.25">
      <c r="A72" s="252"/>
      <c r="B72" s="252"/>
      <c r="C72" s="252" t="str">
        <f>'[2]3. ProForma'!A67</f>
        <v xml:space="preserve">  Benefits</v>
      </c>
      <c r="D72" s="252"/>
      <c r="E72" s="253">
        <f>+'Pro Forma'!G67</f>
        <v>17646.163339999999</v>
      </c>
      <c r="F72" s="293" t="s">
        <v>2505</v>
      </c>
      <c r="G72" s="252"/>
      <c r="H72" s="254">
        <f t="shared" ref="H72:T72" si="40">$E$72*H18</f>
        <v>5432.7308671881519</v>
      </c>
      <c r="I72" s="254">
        <f t="shared" si="40"/>
        <v>8089.4728320466675</v>
      </c>
      <c r="J72" s="254">
        <f t="shared" si="40"/>
        <v>1682.0054362779406</v>
      </c>
      <c r="K72" s="254">
        <f t="shared" si="40"/>
        <v>599.37200393470334</v>
      </c>
      <c r="L72" s="254">
        <f t="shared" si="40"/>
        <v>684.35145733179127</v>
      </c>
      <c r="M72" s="254">
        <f t="shared" si="40"/>
        <v>172.59806542644603</v>
      </c>
      <c r="N72" s="254">
        <f t="shared" si="40"/>
        <v>32.807750533545381</v>
      </c>
      <c r="O72" s="254">
        <f t="shared" si="40"/>
        <v>106.48272753537429</v>
      </c>
      <c r="P72" s="254">
        <f t="shared" si="40"/>
        <v>148.98207480147124</v>
      </c>
      <c r="Q72" s="254">
        <f t="shared" si="40"/>
        <v>123.57249548699899</v>
      </c>
      <c r="R72" s="254">
        <f t="shared" si="40"/>
        <v>4.9503015426651765E-3</v>
      </c>
      <c r="S72" s="254">
        <f t="shared" si="40"/>
        <v>0</v>
      </c>
      <c r="T72" s="254">
        <f t="shared" si="40"/>
        <v>573.78762943690185</v>
      </c>
      <c r="U72" s="253">
        <f t="shared" si="7"/>
        <v>-4.9503015361551661E-3</v>
      </c>
    </row>
    <row r="73" spans="1:21" x14ac:dyDescent="0.25">
      <c r="A73" s="252"/>
      <c r="B73" s="252"/>
      <c r="C73" s="252" t="str">
        <f>'[2]3. ProForma'!A68</f>
        <v xml:space="preserve">  Medical Expense</v>
      </c>
      <c r="D73" s="252"/>
      <c r="E73" s="253">
        <f>+'Pro Forma'!G68</f>
        <v>28243.689471999998</v>
      </c>
      <c r="F73" s="293" t="s">
        <v>2505</v>
      </c>
      <c r="G73" s="252"/>
      <c r="H73" s="254">
        <f t="shared" ref="H73:T73" si="41">$E$73*H18</f>
        <v>8695.3951769218656</v>
      </c>
      <c r="I73" s="254">
        <f t="shared" si="41"/>
        <v>12947.662007786133</v>
      </c>
      <c r="J73" s="254">
        <f t="shared" si="41"/>
        <v>2692.1455002495763</v>
      </c>
      <c r="K73" s="254">
        <f t="shared" si="41"/>
        <v>959.32902983896565</v>
      </c>
      <c r="L73" s="254">
        <f t="shared" si="41"/>
        <v>1095.3434850495819</v>
      </c>
      <c r="M73" s="254">
        <f t="shared" si="41"/>
        <v>276.25303412682121</v>
      </c>
      <c r="N73" s="254">
        <f t="shared" si="41"/>
        <v>52.510673311284116</v>
      </c>
      <c r="O73" s="254">
        <f t="shared" si="41"/>
        <v>170.43167019900744</v>
      </c>
      <c r="P73" s="254">
        <f t="shared" si="41"/>
        <v>238.45429607062843</v>
      </c>
      <c r="Q73" s="254">
        <f t="shared" si="41"/>
        <v>197.78481716212659</v>
      </c>
      <c r="R73" s="254">
        <f t="shared" si="41"/>
        <v>7.9232395660119633E-3</v>
      </c>
      <c r="S73" s="254">
        <f t="shared" si="41"/>
        <v>0</v>
      </c>
      <c r="T73" s="254">
        <f t="shared" si="41"/>
        <v>918.37978128399561</v>
      </c>
      <c r="U73" s="253">
        <f t="shared" si="7"/>
        <v>-7.9232395510189235E-3</v>
      </c>
    </row>
    <row r="74" spans="1:21" x14ac:dyDescent="0.25">
      <c r="A74" s="252"/>
      <c r="B74" s="252"/>
      <c r="C74" s="252" t="str">
        <f>'[2]3. ProForma'!A69</f>
        <v xml:space="preserve">  Other EE Costs</v>
      </c>
      <c r="D74" s="252"/>
      <c r="E74" s="253">
        <f>+'Pro Forma'!G69</f>
        <v>225</v>
      </c>
      <c r="F74" s="293" t="s">
        <v>2505</v>
      </c>
      <c r="G74" s="252"/>
      <c r="H74" s="254">
        <f t="shared" ref="H74:T74" si="42">$E$74*H18</f>
        <v>69.270833640449254</v>
      </c>
      <c r="I74" s="254">
        <f t="shared" si="42"/>
        <v>103.14601265673767</v>
      </c>
      <c r="J74" s="254">
        <f t="shared" si="42"/>
        <v>21.446657603166937</v>
      </c>
      <c r="K74" s="254">
        <f t="shared" si="42"/>
        <v>7.6423808556510986</v>
      </c>
      <c r="L74" s="254">
        <f t="shared" si="42"/>
        <v>8.7259238698429193</v>
      </c>
      <c r="M74" s="254">
        <f t="shared" si="42"/>
        <v>2.2007370085326641</v>
      </c>
      <c r="N74" s="254">
        <f t="shared" si="42"/>
        <v>0.41832004656303445</v>
      </c>
      <c r="O74" s="254">
        <f t="shared" si="42"/>
        <v>1.3577236724965744</v>
      </c>
      <c r="P74" s="254">
        <f t="shared" si="42"/>
        <v>1.8996178480534811</v>
      </c>
      <c r="Q74" s="254">
        <f t="shared" si="42"/>
        <v>1.5756292712960218</v>
      </c>
      <c r="R74" s="254">
        <f t="shared" si="42"/>
        <v>6.3119547611512983E-5</v>
      </c>
      <c r="S74" s="254">
        <f t="shared" si="42"/>
        <v>0</v>
      </c>
      <c r="T74" s="254">
        <f t="shared" si="42"/>
        <v>7.3161635272102679</v>
      </c>
      <c r="U74" s="253">
        <f t="shared" si="7"/>
        <v>-6.3119547490941841E-5</v>
      </c>
    </row>
    <row r="75" spans="1:21" x14ac:dyDescent="0.25">
      <c r="A75" s="252"/>
      <c r="B75" s="252"/>
      <c r="C75" s="252" t="str">
        <f>'[2]3. ProForma'!A70</f>
        <v xml:space="preserve">  Contract Labor</v>
      </c>
      <c r="D75" s="252"/>
      <c r="E75" s="253"/>
      <c r="F75" s="293"/>
      <c r="G75" s="252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3">
        <f t="shared" si="7"/>
        <v>0</v>
      </c>
    </row>
    <row r="76" spans="1:21" x14ac:dyDescent="0.25">
      <c r="A76" s="252"/>
      <c r="B76" s="252"/>
      <c r="C76" s="252"/>
      <c r="D76" s="252"/>
      <c r="E76" s="253"/>
      <c r="F76" s="293"/>
      <c r="G76" s="252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3">
        <f t="shared" si="7"/>
        <v>0</v>
      </c>
    </row>
    <row r="77" spans="1:21" x14ac:dyDescent="0.25">
      <c r="A77" s="252"/>
      <c r="B77" s="252"/>
      <c r="C77" s="252" t="str">
        <f>'[2]3. ProForma'!A72</f>
        <v>City Taxes</v>
      </c>
      <c r="D77" s="295"/>
      <c r="E77" s="253">
        <f>+'Pro Forma'!G71</f>
        <v>651696.86</v>
      </c>
      <c r="F77" s="293" t="s">
        <v>2508</v>
      </c>
      <c r="G77" s="252"/>
      <c r="H77" s="287">
        <v>0</v>
      </c>
      <c r="I77" s="604">
        <f>(+I11/$E$11)*$E$77</f>
        <v>534703.11784920143</v>
      </c>
      <c r="J77" s="604">
        <f t="shared" ref="J77:T77" si="43">(+J11/$E$11)*$E$77</f>
        <v>52546.776602774415</v>
      </c>
      <c r="K77" s="604">
        <f t="shared" si="43"/>
        <v>23899.67816157125</v>
      </c>
      <c r="L77" s="604">
        <f t="shared" si="43"/>
        <v>17689.617595658958</v>
      </c>
      <c r="M77" s="604">
        <f t="shared" si="43"/>
        <v>9172.2381951503576</v>
      </c>
      <c r="N77" s="604">
        <f t="shared" si="43"/>
        <v>1516.268789296148</v>
      </c>
      <c r="O77" s="604">
        <f t="shared" si="43"/>
        <v>2772.9971855140629</v>
      </c>
      <c r="P77" s="604">
        <f t="shared" si="43"/>
        <v>1343.8714471822452</v>
      </c>
      <c r="Q77" s="604">
        <f t="shared" si="43"/>
        <v>291.70035749169307</v>
      </c>
      <c r="R77" s="604">
        <f t="shared" si="43"/>
        <v>1124.0430192311146</v>
      </c>
      <c r="S77" s="604">
        <f t="shared" si="43"/>
        <v>0</v>
      </c>
      <c r="T77" s="604">
        <f t="shared" si="43"/>
        <v>6636.5507969282698</v>
      </c>
      <c r="U77" s="253">
        <f t="shared" si="7"/>
        <v>0</v>
      </c>
    </row>
    <row r="78" spans="1:21" x14ac:dyDescent="0.25">
      <c r="A78" s="252"/>
      <c r="B78" s="252"/>
      <c r="C78" s="278" t="str">
        <f>'[2]3. ProForma'!A73</f>
        <v>State Excise Tax</v>
      </c>
      <c r="D78" s="295"/>
      <c r="E78" s="253">
        <f>+'Pro Forma'!G72</f>
        <v>220942.55</v>
      </c>
      <c r="F78" s="293" t="s">
        <v>2498</v>
      </c>
      <c r="G78" s="295"/>
      <c r="H78" s="287">
        <f t="shared" ref="H78:T78" si="44">$E$78*H14</f>
        <v>60803.389759999998</v>
      </c>
      <c r="I78" s="287">
        <f t="shared" si="44"/>
        <v>130046.78492999999</v>
      </c>
      <c r="J78" s="287">
        <f t="shared" si="44"/>
        <v>12770.479389999999</v>
      </c>
      <c r="K78" s="287">
        <f t="shared" si="44"/>
        <v>5810.7890649999999</v>
      </c>
      <c r="L78" s="287">
        <f t="shared" si="44"/>
        <v>4308.3797249999998</v>
      </c>
      <c r="M78" s="287">
        <f t="shared" si="44"/>
        <v>2231.5197549999998</v>
      </c>
      <c r="N78" s="287">
        <f t="shared" si="44"/>
        <v>375.60233499999998</v>
      </c>
      <c r="O78" s="287">
        <f t="shared" si="44"/>
        <v>684.92190499999992</v>
      </c>
      <c r="P78" s="287">
        <f t="shared" si="44"/>
        <v>331.41382499999997</v>
      </c>
      <c r="Q78" s="287">
        <f t="shared" si="44"/>
        <v>66.282764999999998</v>
      </c>
      <c r="R78" s="287">
        <f t="shared" si="44"/>
        <v>265.13105999999999</v>
      </c>
      <c r="S78" s="287">
        <f t="shared" si="44"/>
        <v>0</v>
      </c>
      <c r="T78" s="287">
        <f t="shared" si="44"/>
        <v>3269.94974</v>
      </c>
      <c r="U78" s="253">
        <f t="shared" si="7"/>
        <v>-22.094255000003614</v>
      </c>
    </row>
    <row r="79" spans="1:21" x14ac:dyDescent="0.25">
      <c r="A79" s="252"/>
      <c r="B79" s="252"/>
      <c r="C79" s="252" t="str">
        <f>'[2]3. ProForma'!A74</f>
        <v>WUTC Reg Fees</v>
      </c>
      <c r="D79" s="295"/>
      <c r="E79" s="253">
        <f>+'Pro Forma'!G73</f>
        <v>20978.795730999995</v>
      </c>
      <c r="F79" s="293" t="s">
        <v>2508</v>
      </c>
      <c r="G79" s="252"/>
      <c r="H79" s="287">
        <f>E79</f>
        <v>20978.795730999995</v>
      </c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53">
        <f t="shared" si="7"/>
        <v>0</v>
      </c>
    </row>
    <row r="80" spans="1:21" x14ac:dyDescent="0.25">
      <c r="A80" s="252"/>
      <c r="B80" s="252"/>
      <c r="C80" s="252" t="str">
        <f>'[2]3. ProForma'!A75</f>
        <v xml:space="preserve">Other Taxes &amp; Licenses        </v>
      </c>
      <c r="D80" s="295"/>
      <c r="E80" s="253">
        <f>+'Pro Forma'!G74</f>
        <v>12170.410000000003</v>
      </c>
      <c r="F80" s="293" t="s">
        <v>2505</v>
      </c>
      <c r="G80" s="252"/>
      <c r="H80" s="254">
        <f>$E80*H$18</f>
        <v>3746.9086508713785</v>
      </c>
      <c r="I80" s="254">
        <f t="shared" ref="I80:T80" si="45">$E80*I$18</f>
        <v>5579.2411728786092</v>
      </c>
      <c r="J80" s="254">
        <f t="shared" si="45"/>
        <v>1160.0649607118178</v>
      </c>
      <c r="K80" s="254">
        <f t="shared" si="45"/>
        <v>413.38181506410984</v>
      </c>
      <c r="L80" s="254">
        <f t="shared" si="45"/>
        <v>471.99142722122218</v>
      </c>
      <c r="M80" s="254">
        <f t="shared" si="45"/>
        <v>119.03942976007123</v>
      </c>
      <c r="N80" s="254">
        <f t="shared" si="45"/>
        <v>22.627228790627651</v>
      </c>
      <c r="O80" s="254">
        <f t="shared" si="45"/>
        <v>73.440238937729063</v>
      </c>
      <c r="P80" s="254">
        <f t="shared" si="45"/>
        <v>102.75168024057143</v>
      </c>
      <c r="Q80" s="254">
        <f t="shared" si="45"/>
        <v>85.226907731883657</v>
      </c>
      <c r="R80" s="254">
        <f t="shared" si="45"/>
        <v>3.4141812153183726E-3</v>
      </c>
      <c r="S80" s="254">
        <f t="shared" si="45"/>
        <v>0</v>
      </c>
      <c r="T80" s="254">
        <f t="shared" si="45"/>
        <v>395.73648779197839</v>
      </c>
      <c r="U80" s="253">
        <f t="shared" si="7"/>
        <v>-3.4141812084271805E-3</v>
      </c>
    </row>
    <row r="81" spans="1:21" x14ac:dyDescent="0.25">
      <c r="A81" s="256"/>
      <c r="B81" s="256"/>
      <c r="C81" s="252" t="str">
        <f>'[2]3. ProForma'!A76</f>
        <v xml:space="preserve">Building &amp; Prop Maint         </v>
      </c>
      <c r="D81" s="256"/>
      <c r="E81" s="253">
        <f>+'Pro Forma'!G75</f>
        <v>6597.8999999999987</v>
      </c>
      <c r="F81" s="293" t="s">
        <v>2505</v>
      </c>
      <c r="G81" s="256"/>
      <c r="H81" s="254">
        <f t="shared" ref="H81:Q81" si="46">$E$81*H18</f>
        <v>2031.2979256725334</v>
      </c>
      <c r="I81" s="254">
        <f t="shared" si="46"/>
        <v>3024.6536751461749</v>
      </c>
      <c r="J81" s="254">
        <f t="shared" si="46"/>
        <v>628.90178755526711</v>
      </c>
      <c r="K81" s="254">
        <f t="shared" si="46"/>
        <v>224.10517621111279</v>
      </c>
      <c r="L81" s="254">
        <f t="shared" si="46"/>
        <v>255.87899155927371</v>
      </c>
      <c r="M81" s="254">
        <f t="shared" si="46"/>
        <v>64.534412038211826</v>
      </c>
      <c r="N81" s="254">
        <f t="shared" si="46"/>
        <v>12.26681704541442</v>
      </c>
      <c r="O81" s="254">
        <f t="shared" si="46"/>
        <v>39.81388897228954</v>
      </c>
      <c r="P81" s="254">
        <f t="shared" si="46"/>
        <v>55.704393776320266</v>
      </c>
      <c r="Q81" s="254">
        <f t="shared" si="46"/>
        <v>46.203752751484537</v>
      </c>
      <c r="R81" s="254">
        <f>$E81*R$18</f>
        <v>1.8509176141600062E-3</v>
      </c>
      <c r="S81" s="254">
        <f>$E81*S$18</f>
        <v>0</v>
      </c>
      <c r="T81" s="254">
        <f>$E$81*T18</f>
        <v>214.53917927191387</v>
      </c>
      <c r="U81" s="253">
        <f t="shared" si="7"/>
        <v>-1.8509176115912851E-3</v>
      </c>
    </row>
    <row r="82" spans="1:21" x14ac:dyDescent="0.25">
      <c r="A82" s="256"/>
      <c r="B82" s="256"/>
      <c r="C82" s="252" t="str">
        <f>'[2]3. ProForma'!A77</f>
        <v xml:space="preserve">Office Supplies, Postage, &amp; Exp         </v>
      </c>
      <c r="D82" s="256"/>
      <c r="E82" s="253">
        <f>+'Pro Forma'!G76</f>
        <v>162932.94</v>
      </c>
      <c r="F82" s="293" t="s">
        <v>2500</v>
      </c>
      <c r="G82" s="256"/>
      <c r="H82" s="254">
        <f>$E82*H$15</f>
        <v>36083.415986316584</v>
      </c>
      <c r="I82" s="254">
        <f t="shared" ref="I82:T82" si="47">$E82*I$15</f>
        <v>114016.66659482896</v>
      </c>
      <c r="J82" s="254">
        <f t="shared" si="47"/>
        <v>1209.8690951830197</v>
      </c>
      <c r="K82" s="254">
        <f t="shared" si="47"/>
        <v>3632.6773921959407</v>
      </c>
      <c r="L82" s="254">
        <f t="shared" si="47"/>
        <v>6970.4875534847306</v>
      </c>
      <c r="M82" s="254">
        <f t="shared" si="47"/>
        <v>351.7975272308318</v>
      </c>
      <c r="N82" s="254">
        <f t="shared" si="47"/>
        <v>508.83042434365973</v>
      </c>
      <c r="O82" s="254">
        <f t="shared" si="47"/>
        <v>98.845202528989958</v>
      </c>
      <c r="P82" s="254">
        <f t="shared" si="47"/>
        <v>59.733756257805204</v>
      </c>
      <c r="Q82" s="254">
        <f t="shared" si="47"/>
        <v>0.61646762949328004</v>
      </c>
      <c r="R82" s="254">
        <f t="shared" si="47"/>
        <v>0.61646762949328004</v>
      </c>
      <c r="S82" s="254">
        <f t="shared" si="47"/>
        <v>0</v>
      </c>
      <c r="T82" s="254">
        <f t="shared" si="47"/>
        <v>0</v>
      </c>
      <c r="U82" s="253">
        <f t="shared" si="7"/>
        <v>-0.61646762953023426</v>
      </c>
    </row>
    <row r="83" spans="1:21" x14ac:dyDescent="0.25">
      <c r="A83" s="256"/>
      <c r="B83" s="256"/>
      <c r="C83" s="252" t="str">
        <f>'[2]3. ProForma'!A78</f>
        <v xml:space="preserve">Utilities                     </v>
      </c>
      <c r="D83" s="256"/>
      <c r="E83" s="253">
        <f>+'Pro Forma'!G77</f>
        <v>7136.9400000000005</v>
      </c>
      <c r="F83" s="293" t="s">
        <v>2505</v>
      </c>
      <c r="G83" s="256"/>
      <c r="H83" s="254">
        <f t="shared" ref="H83:Q83" si="48">$E$83*H18</f>
        <v>2197.252370852746</v>
      </c>
      <c r="I83" s="254">
        <f t="shared" si="48"/>
        <v>3271.7640158683439</v>
      </c>
      <c r="J83" s="254">
        <f t="shared" si="48"/>
        <v>680.2822600637611</v>
      </c>
      <c r="K83" s="254">
        <f t="shared" si="48"/>
        <v>242.41428277302469</v>
      </c>
      <c r="L83" s="254">
        <f t="shared" si="48"/>
        <v>276.78397823838543</v>
      </c>
      <c r="M83" s="254">
        <f t="shared" si="48"/>
        <v>69.806791047453828</v>
      </c>
      <c r="N83" s="254">
        <f t="shared" si="48"/>
        <v>13.269000324967037</v>
      </c>
      <c r="O83" s="254">
        <f t="shared" si="48"/>
        <v>43.066632831945348</v>
      </c>
      <c r="P83" s="254">
        <f t="shared" si="48"/>
        <v>60.255371575496945</v>
      </c>
      <c r="Q83" s="254">
        <f t="shared" si="48"/>
        <v>49.978540317704137</v>
      </c>
      <c r="R83" s="254">
        <f>$E83*R$18</f>
        <v>2.0021352183578287E-3</v>
      </c>
      <c r="S83" s="254">
        <f>$E83*S$18</f>
        <v>0</v>
      </c>
      <c r="T83" s="254">
        <f>$E$83*T18</f>
        <v>232.06675610616912</v>
      </c>
      <c r="U83" s="253">
        <f t="shared" si="7"/>
        <v>-2.0021352156618377E-3</v>
      </c>
    </row>
    <row r="84" spans="1:21" x14ac:dyDescent="0.25">
      <c r="A84" s="256"/>
      <c r="B84" s="256"/>
      <c r="C84" s="252" t="str">
        <f>'[2]3. ProForma'!A79</f>
        <v xml:space="preserve">Telephone, Internet, &amp; Radio  </v>
      </c>
      <c r="D84" s="256"/>
      <c r="E84" s="253">
        <f>+'Pro Forma'!G78</f>
        <v>29023.59</v>
      </c>
      <c r="F84" s="293" t="s">
        <v>2505</v>
      </c>
      <c r="G84" s="256"/>
      <c r="H84" s="254">
        <f t="shared" ref="H84:Q84" si="49">$E$84*H18</f>
        <v>8935.5034423938068</v>
      </c>
      <c r="I84" s="254">
        <f t="shared" si="49"/>
        <v>13305.189251039843</v>
      </c>
      <c r="J84" s="254">
        <f t="shared" si="49"/>
        <v>2766.4844317542215</v>
      </c>
      <c r="K84" s="254">
        <f t="shared" si="49"/>
        <v>985.81923812562968</v>
      </c>
      <c r="L84" s="254">
        <f t="shared" si="49"/>
        <v>1125.5894967534855</v>
      </c>
      <c r="M84" s="254">
        <f t="shared" si="49"/>
        <v>283.88128281546017</v>
      </c>
      <c r="N84" s="254">
        <f t="shared" si="49"/>
        <v>53.960664534339649</v>
      </c>
      <c r="O84" s="254">
        <f t="shared" si="49"/>
        <v>175.13784535037712</v>
      </c>
      <c r="P84" s="254">
        <f t="shared" si="49"/>
        <v>245.03879812705125</v>
      </c>
      <c r="Q84" s="254">
        <f t="shared" si="49"/>
        <v>203.24630205375337</v>
      </c>
      <c r="R84" s="254">
        <f>$E84*R$18</f>
        <v>8.1420260927201425E-3</v>
      </c>
      <c r="S84" s="254">
        <f>$E84*S$18</f>
        <v>0</v>
      </c>
      <c r="T84" s="254">
        <f>$E$84*T18</f>
        <v>943.73924705202069</v>
      </c>
      <c r="U84" s="253">
        <f t="shared" ref="U84:U102" si="50">E84-(SUM(H84:T84))</f>
        <v>-8.1420260867162142E-3</v>
      </c>
    </row>
    <row r="85" spans="1:21" x14ac:dyDescent="0.25">
      <c r="A85" s="256"/>
      <c r="B85" s="256"/>
      <c r="C85" s="252" t="str">
        <f>'[2]3. ProForma'!A80</f>
        <v xml:space="preserve">Computer Expense              </v>
      </c>
      <c r="D85" s="256"/>
      <c r="E85" s="253">
        <f>+'Pro Forma'!G79</f>
        <v>137735.24</v>
      </c>
      <c r="F85" s="293" t="s">
        <v>2500</v>
      </c>
      <c r="G85" s="256"/>
      <c r="H85" s="254">
        <f t="shared" ref="H85:T88" si="51">$E85*H$15</f>
        <v>30503.088945029474</v>
      </c>
      <c r="I85" s="254">
        <f t="shared" si="51"/>
        <v>96383.90455262606</v>
      </c>
      <c r="J85" s="254">
        <f t="shared" si="51"/>
        <v>1022.7619423894029</v>
      </c>
      <c r="K85" s="254">
        <f t="shared" si="51"/>
        <v>3070.8811395453981</v>
      </c>
      <c r="L85" s="254">
        <f t="shared" si="51"/>
        <v>5892.4964841132314</v>
      </c>
      <c r="M85" s="254">
        <f t="shared" si="51"/>
        <v>297.39177875600325</v>
      </c>
      <c r="N85" s="254">
        <f t="shared" si="51"/>
        <v>430.13942187672922</v>
      </c>
      <c r="O85" s="254">
        <f t="shared" si="51"/>
        <v>83.558718655534221</v>
      </c>
      <c r="P85" s="254">
        <f t="shared" si="51"/>
        <v>50.49588655474026</v>
      </c>
      <c r="Q85" s="254">
        <f t="shared" si="51"/>
        <v>0.52113045342757569</v>
      </c>
      <c r="R85" s="254">
        <f t="shared" si="51"/>
        <v>0.52113045342757569</v>
      </c>
      <c r="S85" s="254">
        <f t="shared" si="51"/>
        <v>0</v>
      </c>
      <c r="T85" s="254">
        <f t="shared" si="51"/>
        <v>0</v>
      </c>
      <c r="U85" s="253">
        <f t="shared" si="50"/>
        <v>-0.521130453387741</v>
      </c>
    </row>
    <row r="86" spans="1:21" x14ac:dyDescent="0.25">
      <c r="A86" s="256"/>
      <c r="B86" s="256"/>
      <c r="C86" s="252" t="str">
        <f>'[2]3. ProForma'!A81</f>
        <v xml:space="preserve">Dues &amp; Subscriptions          </v>
      </c>
      <c r="D86" s="256"/>
      <c r="E86" s="253">
        <f>+'Pro Forma'!G80</f>
        <v>22193</v>
      </c>
      <c r="F86" s="293" t="s">
        <v>2508</v>
      </c>
      <c r="G86" s="256"/>
      <c r="H86" s="254">
        <f>21480-3222</f>
        <v>18258</v>
      </c>
      <c r="I86" s="254">
        <v>675</v>
      </c>
      <c r="J86" s="254">
        <v>0</v>
      </c>
      <c r="K86" s="254">
        <v>1095</v>
      </c>
      <c r="L86" s="254">
        <v>400</v>
      </c>
      <c r="M86" s="254">
        <v>0</v>
      </c>
      <c r="N86" s="254">
        <v>0</v>
      </c>
      <c r="O86" s="254">
        <v>0</v>
      </c>
      <c r="P86" s="254">
        <v>0</v>
      </c>
      <c r="Q86" s="254">
        <f t="shared" si="51"/>
        <v>8.3968693508779516E-2</v>
      </c>
      <c r="R86" s="254">
        <f t="shared" si="51"/>
        <v>8.3968693508779516E-2</v>
      </c>
      <c r="S86" s="254">
        <f t="shared" si="51"/>
        <v>0</v>
      </c>
      <c r="T86" s="254">
        <f>505+550+55+161+49+220+225</f>
        <v>1765</v>
      </c>
      <c r="U86" s="253">
        <f t="shared" si="50"/>
        <v>-0.16793738702108385</v>
      </c>
    </row>
    <row r="87" spans="1:21" x14ac:dyDescent="0.25">
      <c r="A87" s="256"/>
      <c r="B87" s="256"/>
      <c r="C87" s="252" t="str">
        <f>'[2]3. ProForma'!A82</f>
        <v xml:space="preserve">Contributions                 </v>
      </c>
      <c r="D87" s="256"/>
      <c r="E87" s="253">
        <f>+'Pro Forma'!G81</f>
        <v>7730</v>
      </c>
      <c r="F87" s="293" t="s">
        <v>2508</v>
      </c>
      <c r="G87" s="256"/>
      <c r="H87" s="287">
        <v>0</v>
      </c>
      <c r="I87" s="287">
        <v>0</v>
      </c>
      <c r="J87" s="287">
        <v>0</v>
      </c>
      <c r="K87" s="287">
        <v>0</v>
      </c>
      <c r="L87" s="287">
        <v>0</v>
      </c>
      <c r="M87" s="287">
        <v>0</v>
      </c>
      <c r="N87" s="287">
        <v>0</v>
      </c>
      <c r="O87" s="287">
        <v>0</v>
      </c>
      <c r="P87" s="287">
        <v>0</v>
      </c>
      <c r="Q87" s="287">
        <v>0</v>
      </c>
      <c r="R87" s="287">
        <f>SUM(H87:Q87)</f>
        <v>0</v>
      </c>
      <c r="S87" s="287">
        <f>SUM(I87:R87)</f>
        <v>0</v>
      </c>
      <c r="T87" s="287">
        <f>E87</f>
        <v>7730</v>
      </c>
      <c r="U87" s="253">
        <f t="shared" si="50"/>
        <v>0</v>
      </c>
    </row>
    <row r="88" spans="1:21" x14ac:dyDescent="0.25">
      <c r="A88" s="256"/>
      <c r="B88" s="256"/>
      <c r="C88" s="252" t="str">
        <f>'[2]3. ProForma'!A83</f>
        <v>Advertising</v>
      </c>
      <c r="D88" s="256"/>
      <c r="E88" s="253">
        <f>+'Pro Forma'!G82</f>
        <v>22404.07</v>
      </c>
      <c r="F88" s="293" t="s">
        <v>2500</v>
      </c>
      <c r="G88" s="256"/>
      <c r="H88" s="287">
        <f t="shared" si="51"/>
        <v>4961.6448190068604</v>
      </c>
      <c r="I88" s="287">
        <f t="shared" si="51"/>
        <v>15677.845005173353</v>
      </c>
      <c r="J88" s="287">
        <f t="shared" si="51"/>
        <v>166.36287235298786</v>
      </c>
      <c r="K88" s="287">
        <f t="shared" si="51"/>
        <v>499.51077162282417</v>
      </c>
      <c r="L88" s="287">
        <f t="shared" si="51"/>
        <v>958.47586793929236</v>
      </c>
      <c r="M88" s="287">
        <f t="shared" si="51"/>
        <v>48.373867346323351</v>
      </c>
      <c r="N88" s="287">
        <f t="shared" si="51"/>
        <v>69.966652815109427</v>
      </c>
      <c r="O88" s="287">
        <f t="shared" si="51"/>
        <v>13.591695065612074</v>
      </c>
      <c r="P88" s="287">
        <f t="shared" si="51"/>
        <v>8.2136813867276057</v>
      </c>
      <c r="Q88" s="287">
        <f t="shared" si="51"/>
        <v>8.4767290910613344E-2</v>
      </c>
      <c r="R88" s="287">
        <f t="shared" si="51"/>
        <v>8.4767290910613344E-2</v>
      </c>
      <c r="S88" s="287">
        <f t="shared" si="51"/>
        <v>0</v>
      </c>
      <c r="T88" s="287">
        <f t="shared" si="51"/>
        <v>0</v>
      </c>
      <c r="U88" s="253">
        <f t="shared" ref="U88" si="52">E88-(SUM(H88:T88))</f>
        <v>-8.4767290914896876E-2</v>
      </c>
    </row>
    <row r="89" spans="1:21" x14ac:dyDescent="0.25">
      <c r="A89" s="256"/>
      <c r="B89" s="256"/>
      <c r="C89" s="252" t="s">
        <v>2775</v>
      </c>
      <c r="D89" s="256"/>
      <c r="E89" s="253">
        <f>+'Pro Forma'!G83</f>
        <v>10206.419999999998</v>
      </c>
      <c r="F89" s="293" t="s">
        <v>2507</v>
      </c>
      <c r="G89" s="256"/>
      <c r="H89" s="444"/>
      <c r="I89" s="444">
        <f>+E89</f>
        <v>10206.419999999998</v>
      </c>
      <c r="J89" s="444"/>
      <c r="K89" s="444"/>
      <c r="L89" s="444"/>
      <c r="M89" s="444"/>
      <c r="N89" s="444"/>
      <c r="O89" s="444"/>
      <c r="P89" s="444"/>
      <c r="Q89" s="444"/>
      <c r="R89" s="287"/>
      <c r="S89" s="287"/>
      <c r="T89" s="444"/>
      <c r="U89" s="253"/>
    </row>
    <row r="90" spans="1:21" x14ac:dyDescent="0.25">
      <c r="A90" s="256"/>
      <c r="B90" s="256"/>
      <c r="C90" s="252" t="str">
        <f>'[2]3. ProForma'!A84</f>
        <v>Travel</v>
      </c>
      <c r="D90" s="256"/>
      <c r="E90" s="253">
        <f>+'Pro Forma'!G84</f>
        <v>22721.420000000002</v>
      </c>
      <c r="F90" s="293" t="s">
        <v>2500</v>
      </c>
      <c r="G90" s="256"/>
      <c r="H90" s="287">
        <f t="shared" ref="H90:T93" si="53">$E90*H$15</f>
        <v>5031.925709189396</v>
      </c>
      <c r="I90" s="287">
        <f t="shared" si="53"/>
        <v>15899.919124402215</v>
      </c>
      <c r="J90" s="287">
        <f t="shared" si="53"/>
        <v>168.71937532504703</v>
      </c>
      <c r="K90" s="287">
        <f t="shared" si="53"/>
        <v>506.58626028959338</v>
      </c>
      <c r="L90" s="287">
        <f t="shared" si="53"/>
        <v>972.05252239049412</v>
      </c>
      <c r="M90" s="287">
        <f t="shared" si="53"/>
        <v>49.059075293020349</v>
      </c>
      <c r="N90" s="287">
        <f t="shared" si="53"/>
        <v>70.957719048649821</v>
      </c>
      <c r="O90" s="287">
        <f t="shared" si="53"/>
        <v>13.784219210960307</v>
      </c>
      <c r="P90" s="287">
        <f t="shared" si="53"/>
        <v>8.3300268448554391</v>
      </c>
      <c r="Q90" s="287">
        <f t="shared" si="53"/>
        <v>8.5968005770479583E-2</v>
      </c>
      <c r="R90" s="287">
        <f t="shared" si="53"/>
        <v>8.5968005770479583E-2</v>
      </c>
      <c r="S90" s="287">
        <f t="shared" si="53"/>
        <v>0</v>
      </c>
      <c r="T90" s="287">
        <f t="shared" si="53"/>
        <v>0</v>
      </c>
      <c r="U90" s="253">
        <f t="shared" si="50"/>
        <v>-8.5968005769245792E-2</v>
      </c>
    </row>
    <row r="91" spans="1:21" x14ac:dyDescent="0.25">
      <c r="A91" s="256"/>
      <c r="B91" s="256"/>
      <c r="C91" s="252" t="str">
        <f>'[2]3. ProForma'!A85</f>
        <v>Consulting &amp; Lobbying</v>
      </c>
      <c r="D91" s="256"/>
      <c r="E91" s="253">
        <f>+'Pro Forma'!G85</f>
        <v>0</v>
      </c>
      <c r="F91" s="293" t="s">
        <v>2500</v>
      </c>
      <c r="G91" s="256"/>
      <c r="H91" s="287">
        <f t="shared" si="53"/>
        <v>0</v>
      </c>
      <c r="I91" s="287">
        <f t="shared" si="53"/>
        <v>0</v>
      </c>
      <c r="J91" s="287">
        <f t="shared" si="53"/>
        <v>0</v>
      </c>
      <c r="K91" s="287">
        <f t="shared" si="53"/>
        <v>0</v>
      </c>
      <c r="L91" s="287">
        <f t="shared" si="53"/>
        <v>0</v>
      </c>
      <c r="M91" s="287">
        <f t="shared" si="53"/>
        <v>0</v>
      </c>
      <c r="N91" s="287">
        <f t="shared" si="53"/>
        <v>0</v>
      </c>
      <c r="O91" s="287">
        <f t="shared" si="53"/>
        <v>0</v>
      </c>
      <c r="P91" s="287">
        <f t="shared" si="53"/>
        <v>0</v>
      </c>
      <c r="Q91" s="287">
        <f t="shared" si="53"/>
        <v>0</v>
      </c>
      <c r="R91" s="287">
        <f t="shared" si="53"/>
        <v>0</v>
      </c>
      <c r="S91" s="287">
        <f t="shared" si="53"/>
        <v>0</v>
      </c>
      <c r="T91" s="287">
        <f t="shared" si="53"/>
        <v>0</v>
      </c>
      <c r="U91" s="253">
        <f t="shared" si="50"/>
        <v>0</v>
      </c>
    </row>
    <row r="92" spans="1:21" x14ac:dyDescent="0.25">
      <c r="A92" s="256"/>
      <c r="B92" s="256"/>
      <c r="C92" s="252" t="str">
        <f>'[2]3. ProForma'!A86</f>
        <v xml:space="preserve">Law &amp; Outside Accounting      </v>
      </c>
      <c r="D92" s="256"/>
      <c r="E92" s="253">
        <f>+'Pro Forma'!G86</f>
        <v>92237.45</v>
      </c>
      <c r="F92" s="293" t="s">
        <v>2500</v>
      </c>
      <c r="G92" s="256"/>
      <c r="H92" s="287">
        <f t="shared" si="53"/>
        <v>20427.068202826733</v>
      </c>
      <c r="I92" s="287">
        <f t="shared" si="53"/>
        <v>64545.613577016447</v>
      </c>
      <c r="J92" s="287">
        <f t="shared" si="53"/>
        <v>684.91515695653072</v>
      </c>
      <c r="K92" s="287">
        <f t="shared" si="53"/>
        <v>2056.4834792080928</v>
      </c>
      <c r="L92" s="287">
        <f t="shared" si="53"/>
        <v>3946.0406053568427</v>
      </c>
      <c r="M92" s="287">
        <f t="shared" si="53"/>
        <v>199.15498258410781</v>
      </c>
      <c r="N92" s="287">
        <f t="shared" si="53"/>
        <v>288.05237801439716</v>
      </c>
      <c r="O92" s="287">
        <f t="shared" si="53"/>
        <v>55.956944163700626</v>
      </c>
      <c r="P92" s="287">
        <f t="shared" si="53"/>
        <v>33.815687338247841</v>
      </c>
      <c r="Q92" s="287">
        <f t="shared" si="53"/>
        <v>0.34898653490205811</v>
      </c>
      <c r="R92" s="287">
        <f t="shared" si="53"/>
        <v>0.34898653490205811</v>
      </c>
      <c r="S92" s="287">
        <f t="shared" si="53"/>
        <v>0</v>
      </c>
      <c r="T92" s="287">
        <f t="shared" si="53"/>
        <v>0</v>
      </c>
      <c r="U92" s="253">
        <f t="shared" si="50"/>
        <v>-0.34898653489653952</v>
      </c>
    </row>
    <row r="93" spans="1:21" x14ac:dyDescent="0.25">
      <c r="A93" s="256"/>
      <c r="B93" s="256"/>
      <c r="C93" s="252" t="str">
        <f>'[2]3. ProForma'!A87</f>
        <v xml:space="preserve">Legal Fees Plp Matters        </v>
      </c>
      <c r="D93" s="256"/>
      <c r="E93" s="253">
        <f>+'Pro Forma'!G87</f>
        <v>227560.43999999997</v>
      </c>
      <c r="F93" s="293" t="s">
        <v>2500</v>
      </c>
      <c r="G93" s="256"/>
      <c r="H93" s="287">
        <f t="shared" si="53"/>
        <v>50395.936012381746</v>
      </c>
      <c r="I93" s="287">
        <f t="shared" si="53"/>
        <v>159241.48191061043</v>
      </c>
      <c r="J93" s="287">
        <f t="shared" si="53"/>
        <v>1689.7647807880332</v>
      </c>
      <c r="K93" s="287">
        <f t="shared" si="53"/>
        <v>5073.5822096266156</v>
      </c>
      <c r="L93" s="287">
        <f t="shared" si="53"/>
        <v>9735.3378309230084</v>
      </c>
      <c r="M93" s="287">
        <f t="shared" si="53"/>
        <v>491.3383388746318</v>
      </c>
      <c r="N93" s="287">
        <f t="shared" si="53"/>
        <v>710.65847856811456</v>
      </c>
      <c r="O93" s="287">
        <f t="shared" si="53"/>
        <v>138.05224271645787</v>
      </c>
      <c r="P93" s="287">
        <f t="shared" si="53"/>
        <v>83.42720543113569</v>
      </c>
      <c r="Q93" s="287">
        <f t="shared" si="53"/>
        <v>0.86099007980367726</v>
      </c>
      <c r="R93" s="287">
        <f t="shared" si="53"/>
        <v>0.86099007980367726</v>
      </c>
      <c r="S93" s="287">
        <f t="shared" si="53"/>
        <v>0</v>
      </c>
      <c r="T93" s="287">
        <f t="shared" si="53"/>
        <v>0</v>
      </c>
      <c r="U93" s="253">
        <f>E93-(SUM(H93:T93))</f>
        <v>-0.86099007976008579</v>
      </c>
    </row>
    <row r="94" spans="1:21" x14ac:dyDescent="0.25">
      <c r="A94" s="256"/>
      <c r="B94" s="256"/>
      <c r="C94" s="252" t="str">
        <f>'[2]3. ProForma'!A88</f>
        <v xml:space="preserve">Depreciation - Office Equip   </v>
      </c>
      <c r="D94" s="256"/>
      <c r="E94" s="253">
        <f>+'Pro Forma'!G88</f>
        <v>9103.23</v>
      </c>
      <c r="F94" s="293" t="s">
        <v>2500</v>
      </c>
      <c r="G94" s="256"/>
      <c r="H94" s="287">
        <f t="shared" ref="H94:T97" si="54">$E94*H$15</f>
        <v>2016.0173560307489</v>
      </c>
      <c r="I94" s="287">
        <f t="shared" si="54"/>
        <v>6370.2277749732175</v>
      </c>
      <c r="J94" s="287">
        <f t="shared" si="54"/>
        <v>67.596623760320767</v>
      </c>
      <c r="K94" s="287">
        <f t="shared" si="54"/>
        <v>202.96140127932296</v>
      </c>
      <c r="L94" s="287">
        <f t="shared" si="54"/>
        <v>389.44826878781419</v>
      </c>
      <c r="M94" s="287">
        <f t="shared" si="54"/>
        <v>19.655287652782334</v>
      </c>
      <c r="N94" s="287">
        <f t="shared" si="54"/>
        <v>28.428876222315346</v>
      </c>
      <c r="O94" s="287">
        <f t="shared" si="54"/>
        <v>5.5225825607638157</v>
      </c>
      <c r="P94" s="287">
        <f t="shared" si="54"/>
        <v>3.3373860557523853</v>
      </c>
      <c r="Q94" s="287">
        <f t="shared" si="54"/>
        <v>3.4442676961651285E-2</v>
      </c>
      <c r="R94" s="287">
        <f t="shared" si="54"/>
        <v>3.4442676961651285E-2</v>
      </c>
      <c r="S94" s="287">
        <f t="shared" si="54"/>
        <v>0</v>
      </c>
      <c r="T94" s="287">
        <f t="shared" si="54"/>
        <v>0</v>
      </c>
      <c r="U94" s="253">
        <f t="shared" si="50"/>
        <v>-3.4442676962498808E-2</v>
      </c>
    </row>
    <row r="95" spans="1:21" x14ac:dyDescent="0.25">
      <c r="A95" s="256"/>
      <c r="B95" s="256"/>
      <c r="C95" s="252" t="str">
        <f>'[2]3. ProForma'!A89</f>
        <v>Depreciation - Service Cars &amp; Equip</v>
      </c>
      <c r="D95" s="256"/>
      <c r="E95" s="253">
        <f>+'Pro Forma'!G89</f>
        <v>12767</v>
      </c>
      <c r="F95" s="293" t="s">
        <v>2500</v>
      </c>
      <c r="G95" s="256"/>
      <c r="H95" s="287">
        <f t="shared" si="54"/>
        <v>2827.4023159301232</v>
      </c>
      <c r="I95" s="287">
        <f t="shared" si="54"/>
        <v>8934.0484644552616</v>
      </c>
      <c r="J95" s="287">
        <f t="shared" si="54"/>
        <v>94.802185108803727</v>
      </c>
      <c r="K95" s="287">
        <f t="shared" si="54"/>
        <v>284.64712087172535</v>
      </c>
      <c r="L95" s="287">
        <f t="shared" si="54"/>
        <v>546.1892149944606</v>
      </c>
      <c r="M95" s="287">
        <f t="shared" si="54"/>
        <v>27.565936207595772</v>
      </c>
      <c r="N95" s="287">
        <f t="shared" si="54"/>
        <v>39.870624243296064</v>
      </c>
      <c r="O95" s="287">
        <f t="shared" si="54"/>
        <v>7.7452521306472146</v>
      </c>
      <c r="P95" s="287">
        <f t="shared" si="54"/>
        <v>4.6805812633307857</v>
      </c>
      <c r="Q95" s="287">
        <f t="shared" si="54"/>
        <v>4.8304794756300999E-2</v>
      </c>
      <c r="R95" s="287">
        <f t="shared" si="54"/>
        <v>4.8304794756300999E-2</v>
      </c>
      <c r="S95" s="287">
        <f t="shared" si="54"/>
        <v>0</v>
      </c>
      <c r="T95" s="287">
        <f t="shared" si="54"/>
        <v>0</v>
      </c>
      <c r="U95" s="253">
        <f t="shared" si="50"/>
        <v>-4.8304794758223579E-2</v>
      </c>
    </row>
    <row r="96" spans="1:21" x14ac:dyDescent="0.25">
      <c r="A96" s="256"/>
      <c r="B96" s="256"/>
      <c r="C96" s="252" t="str">
        <f>'[2]3. ProForma'!A90</f>
        <v xml:space="preserve">Rent - Office Facility        </v>
      </c>
      <c r="D96" s="256"/>
      <c r="E96" s="253">
        <f>+'Pro Forma'!G90</f>
        <v>45900</v>
      </c>
      <c r="F96" s="293" t="s">
        <v>2500</v>
      </c>
      <c r="G96" s="256"/>
      <c r="H96" s="287">
        <f t="shared" si="54"/>
        <v>10165.094877511761</v>
      </c>
      <c r="I96" s="287">
        <f t="shared" si="54"/>
        <v>32119.748141184031</v>
      </c>
      <c r="J96" s="287">
        <f t="shared" si="54"/>
        <v>340.83342182925441</v>
      </c>
      <c r="K96" s="287">
        <f t="shared" si="54"/>
        <v>1023.3651482738461</v>
      </c>
      <c r="L96" s="287">
        <f t="shared" si="54"/>
        <v>1963.6629567044524</v>
      </c>
      <c r="M96" s="287">
        <f t="shared" si="54"/>
        <v>99.105230040623951</v>
      </c>
      <c r="N96" s="287">
        <f t="shared" si="54"/>
        <v>143.34312311171689</v>
      </c>
      <c r="O96" s="287">
        <f t="shared" si="54"/>
        <v>27.845779963711692</v>
      </c>
      <c r="P96" s="287">
        <f t="shared" si="54"/>
        <v>16.82765567375915</v>
      </c>
      <c r="Q96" s="287">
        <f t="shared" si="54"/>
        <v>0.17366570684688776</v>
      </c>
      <c r="R96" s="287">
        <f t="shared" si="54"/>
        <v>0.17366570684688776</v>
      </c>
      <c r="S96" s="287">
        <f t="shared" si="54"/>
        <v>0</v>
      </c>
      <c r="T96" s="287">
        <f t="shared" si="54"/>
        <v>0</v>
      </c>
      <c r="U96" s="253">
        <f t="shared" si="50"/>
        <v>-0.17366570684680482</v>
      </c>
    </row>
    <row r="97" spans="1:21" x14ac:dyDescent="0.25">
      <c r="A97" s="256"/>
      <c r="B97" s="256"/>
      <c r="C97" s="252" t="str">
        <f>'[2]3. ProForma'!A91</f>
        <v xml:space="preserve">Bad Debts &amp; Collection Exp    </v>
      </c>
      <c r="D97" s="256"/>
      <c r="E97" s="253">
        <f>+'Pro Forma'!G91</f>
        <v>63315.69</v>
      </c>
      <c r="F97" s="293" t="s">
        <v>2500</v>
      </c>
      <c r="G97" s="256"/>
      <c r="H97" s="287">
        <f t="shared" si="54"/>
        <v>14022.004272007029</v>
      </c>
      <c r="I97" s="287">
        <f t="shared" si="54"/>
        <v>44306.841311226235</v>
      </c>
      <c r="J97" s="287">
        <f t="shared" si="54"/>
        <v>470.15475551591078</v>
      </c>
      <c r="K97" s="287">
        <f t="shared" si="54"/>
        <v>1411.6573090394527</v>
      </c>
      <c r="L97" s="287">
        <f t="shared" si="54"/>
        <v>2708.7293035116022</v>
      </c>
      <c r="M97" s="287">
        <f t="shared" si="54"/>
        <v>136.70841007910312</v>
      </c>
      <c r="N97" s="287">
        <f t="shared" si="54"/>
        <v>197.73134524124842</v>
      </c>
      <c r="O97" s="287">
        <f t="shared" si="54"/>
        <v>38.411215076047512</v>
      </c>
      <c r="P97" s="287">
        <f t="shared" si="54"/>
        <v>23.212519173561557</v>
      </c>
      <c r="Q97" s="287">
        <f t="shared" si="54"/>
        <v>0.23955912981151248</v>
      </c>
      <c r="R97" s="287">
        <f t="shared" si="54"/>
        <v>0.23955912981151248</v>
      </c>
      <c r="S97" s="287">
        <f t="shared" si="54"/>
        <v>0</v>
      </c>
      <c r="T97" s="287">
        <f t="shared" si="54"/>
        <v>0</v>
      </c>
      <c r="U97" s="253">
        <f t="shared" si="50"/>
        <v>-0.23955912981182337</v>
      </c>
    </row>
    <row r="98" spans="1:21" x14ac:dyDescent="0.25">
      <c r="A98" s="256"/>
      <c r="B98" s="256"/>
      <c r="C98" s="252" t="str">
        <f>'[2]3. ProForma'!A92</f>
        <v xml:space="preserve">Misc Expense                  </v>
      </c>
      <c r="D98" s="256"/>
      <c r="E98" s="253">
        <f>+'Pro Forma'!G92</f>
        <v>38143.990000000005</v>
      </c>
      <c r="F98" s="285" t="s">
        <v>2784</v>
      </c>
      <c r="G98" s="256"/>
      <c r="H98" s="287">
        <v>0</v>
      </c>
      <c r="I98" s="287">
        <v>0</v>
      </c>
      <c r="J98" s="287">
        <v>0</v>
      </c>
      <c r="K98" s="287">
        <v>0</v>
      </c>
      <c r="L98" s="287">
        <v>0</v>
      </c>
      <c r="M98" s="287">
        <v>0</v>
      </c>
      <c r="N98" s="287">
        <v>0</v>
      </c>
      <c r="O98" s="287">
        <v>0</v>
      </c>
      <c r="P98" s="287">
        <v>0</v>
      </c>
      <c r="Q98" s="287">
        <v>0</v>
      </c>
      <c r="R98" s="287">
        <v>0</v>
      </c>
      <c r="S98" s="287"/>
      <c r="T98" s="287">
        <f>($E$98*T18-$E$98*T18)+E98</f>
        <v>38143.990000000005</v>
      </c>
      <c r="U98" s="253">
        <f t="shared" si="50"/>
        <v>0</v>
      </c>
    </row>
    <row r="99" spans="1:21" x14ac:dyDescent="0.25">
      <c r="A99" s="256"/>
      <c r="B99" s="256"/>
      <c r="C99" s="252" t="s">
        <v>2545</v>
      </c>
      <c r="D99" s="256"/>
      <c r="E99" s="253">
        <f>+'Pro Forma'!G93</f>
        <v>23966.13</v>
      </c>
      <c r="F99" s="293" t="s">
        <v>2508</v>
      </c>
      <c r="G99" s="256"/>
      <c r="H99" s="444"/>
      <c r="I99" s="444">
        <f>+E99</f>
        <v>23966.13</v>
      </c>
      <c r="J99" s="444"/>
      <c r="K99" s="444"/>
      <c r="L99" s="444"/>
      <c r="M99" s="444"/>
      <c r="N99" s="444"/>
      <c r="O99" s="444"/>
      <c r="P99" s="444"/>
      <c r="Q99" s="444"/>
      <c r="R99" s="444">
        <f>$E99*R16</f>
        <v>0</v>
      </c>
      <c r="S99" s="444">
        <f>$E99*S16</f>
        <v>0</v>
      </c>
      <c r="T99" s="444"/>
      <c r="U99" s="253">
        <f t="shared" si="50"/>
        <v>0</v>
      </c>
    </row>
    <row r="100" spans="1:21" x14ac:dyDescent="0.25">
      <c r="A100" s="256"/>
      <c r="B100" s="256"/>
      <c r="C100" s="252" t="str">
        <f>'[2]3. ProForma'!A94</f>
        <v xml:space="preserve">Interest Income               </v>
      </c>
      <c r="D100" s="256"/>
      <c r="E100" s="253">
        <f>+'Pro Forma'!G94</f>
        <v>0</v>
      </c>
      <c r="F100" s="285" t="s">
        <v>2784</v>
      </c>
      <c r="G100" s="256"/>
      <c r="H100" s="287">
        <v>0</v>
      </c>
      <c r="I100" s="287">
        <v>0</v>
      </c>
      <c r="J100" s="287">
        <v>0</v>
      </c>
      <c r="K100" s="287">
        <v>0</v>
      </c>
      <c r="L100" s="287">
        <v>0</v>
      </c>
      <c r="M100" s="287">
        <v>0</v>
      </c>
      <c r="N100" s="287">
        <v>0</v>
      </c>
      <c r="O100" s="287">
        <v>0</v>
      </c>
      <c r="P100" s="287">
        <v>0</v>
      </c>
      <c r="Q100" s="287">
        <v>0</v>
      </c>
      <c r="R100" s="287">
        <v>0</v>
      </c>
      <c r="S100" s="287"/>
      <c r="T100" s="287">
        <f t="shared" ref="T100:T101" si="55">($E$98*T20-$E$98*T20)+E100</f>
        <v>0</v>
      </c>
      <c r="U100" s="253">
        <f t="shared" ref="U100:U101" si="56">E100-(SUM(H100:T100))</f>
        <v>0</v>
      </c>
    </row>
    <row r="101" spans="1:21" x14ac:dyDescent="0.25">
      <c r="A101" s="256"/>
      <c r="B101" s="256"/>
      <c r="C101" s="252" t="str">
        <f>'[2]3. ProForma'!A95</f>
        <v xml:space="preserve">Interest Expense              </v>
      </c>
      <c r="D101" s="256"/>
      <c r="E101" s="253">
        <f>+'Pro Forma'!G95</f>
        <v>0</v>
      </c>
      <c r="F101" s="285" t="s">
        <v>2508</v>
      </c>
      <c r="G101" s="256"/>
      <c r="H101" s="287">
        <v>0</v>
      </c>
      <c r="I101" s="287">
        <v>0</v>
      </c>
      <c r="J101" s="287">
        <v>0</v>
      </c>
      <c r="K101" s="287">
        <v>0</v>
      </c>
      <c r="L101" s="287">
        <v>0</v>
      </c>
      <c r="M101" s="287">
        <v>0</v>
      </c>
      <c r="N101" s="287">
        <v>0</v>
      </c>
      <c r="O101" s="287">
        <v>0</v>
      </c>
      <c r="P101" s="287">
        <v>0</v>
      </c>
      <c r="Q101" s="287">
        <v>0</v>
      </c>
      <c r="R101" s="287">
        <v>0</v>
      </c>
      <c r="S101" s="287"/>
      <c r="T101" s="287">
        <f t="shared" si="55"/>
        <v>0</v>
      </c>
      <c r="U101" s="253">
        <f t="shared" si="56"/>
        <v>0</v>
      </c>
    </row>
    <row r="102" spans="1:21" x14ac:dyDescent="0.25">
      <c r="A102" s="256"/>
      <c r="B102" s="256"/>
      <c r="C102" s="252" t="str">
        <f>'[2]3. ProForma'!A96</f>
        <v xml:space="preserve">Federal Income Taxes          </v>
      </c>
      <c r="D102" s="256"/>
      <c r="E102" s="253">
        <f>'[2]3. ProForma'!C96</f>
        <v>0</v>
      </c>
      <c r="F102" s="293" t="s">
        <v>2498</v>
      </c>
      <c r="G102" s="256"/>
      <c r="H102" s="257">
        <f t="shared" ref="H102:Q102" si="57">$E$102*H14</f>
        <v>0</v>
      </c>
      <c r="I102" s="257">
        <f t="shared" si="57"/>
        <v>0</v>
      </c>
      <c r="J102" s="257">
        <f t="shared" si="57"/>
        <v>0</v>
      </c>
      <c r="K102" s="257">
        <f t="shared" si="57"/>
        <v>0</v>
      </c>
      <c r="L102" s="257">
        <f t="shared" si="57"/>
        <v>0</v>
      </c>
      <c r="M102" s="257">
        <f t="shared" si="57"/>
        <v>0</v>
      </c>
      <c r="N102" s="257">
        <f t="shared" si="57"/>
        <v>0</v>
      </c>
      <c r="O102" s="257">
        <f t="shared" si="57"/>
        <v>0</v>
      </c>
      <c r="P102" s="257">
        <f t="shared" si="57"/>
        <v>0</v>
      </c>
      <c r="Q102" s="257">
        <f t="shared" si="57"/>
        <v>0</v>
      </c>
      <c r="R102" s="254">
        <f>SUM(H102:Q102)</f>
        <v>0</v>
      </c>
      <c r="S102" s="254">
        <f>SUM(I102:R102)</f>
        <v>0</v>
      </c>
      <c r="T102" s="257">
        <f>$E$102*T14</f>
        <v>0</v>
      </c>
      <c r="U102" s="253">
        <f t="shared" si="50"/>
        <v>0</v>
      </c>
    </row>
    <row r="103" spans="1:21" x14ac:dyDescent="0.25">
      <c r="A103" s="256"/>
      <c r="B103" s="256"/>
      <c r="C103" s="252"/>
      <c r="D103" s="256"/>
      <c r="E103" s="273"/>
      <c r="F103" s="296"/>
      <c r="G103" s="296"/>
      <c r="H103" s="297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55"/>
    </row>
    <row r="104" spans="1:21" x14ac:dyDescent="0.25">
      <c r="A104" s="256"/>
      <c r="B104" s="256"/>
      <c r="C104" s="252" t="str">
        <f>'[2]3. ProForma'!A98</f>
        <v>Total Expense</v>
      </c>
      <c r="D104" s="256"/>
      <c r="E104" s="253">
        <f>SUM(E20:E102)</f>
        <v>15024433.678721353</v>
      </c>
      <c r="F104" s="256"/>
      <c r="G104" s="256"/>
      <c r="H104" s="253">
        <f t="shared" ref="H104:T104" si="58">SUM(H20:H102)</f>
        <v>4151276.078406902</v>
      </c>
      <c r="I104" s="253">
        <f t="shared" si="58"/>
        <v>8135413.5330136772</v>
      </c>
      <c r="J104" s="253">
        <f t="shared" si="58"/>
        <v>1130182.1736789851</v>
      </c>
      <c r="K104" s="253">
        <f t="shared" si="58"/>
        <v>480499.05220325425</v>
      </c>
      <c r="L104" s="253">
        <f t="shared" si="58"/>
        <v>461144.55907554924</v>
      </c>
      <c r="M104" s="253">
        <f t="shared" si="58"/>
        <v>140864.57849561312</v>
      </c>
      <c r="N104" s="253">
        <f t="shared" si="58"/>
        <v>27970.474821178268</v>
      </c>
      <c r="O104" s="253">
        <f t="shared" si="58"/>
        <v>66429.841645774883</v>
      </c>
      <c r="P104" s="253">
        <f t="shared" si="58"/>
        <v>71919.043117148787</v>
      </c>
      <c r="Q104" s="253">
        <f t="shared" si="58"/>
        <v>55485.106745835452</v>
      </c>
      <c r="R104" s="253">
        <f t="shared" si="58"/>
        <v>1396.1654483828825</v>
      </c>
      <c r="S104" s="253">
        <f t="shared" si="58"/>
        <v>0</v>
      </c>
      <c r="T104" s="253">
        <f t="shared" si="58"/>
        <v>301882.24166189169</v>
      </c>
      <c r="U104" s="253">
        <f>SUM(U20:U102)</f>
        <v>-29.169592844968435</v>
      </c>
    </row>
    <row r="105" spans="1:21" x14ac:dyDescent="0.25">
      <c r="A105" s="256"/>
      <c r="B105" s="256"/>
      <c r="C105" s="252"/>
      <c r="D105" s="256"/>
      <c r="E105" s="253"/>
      <c r="F105" s="256"/>
      <c r="G105" s="256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</row>
    <row r="106" spans="1:21" ht="16.5" thickBot="1" x14ac:dyDescent="0.3">
      <c r="A106" s="256"/>
      <c r="B106" s="256"/>
      <c r="C106" s="252" t="str">
        <f>[3]ProForma!A100</f>
        <v>NOI (Loss)</v>
      </c>
      <c r="D106" s="256"/>
      <c r="E106" s="253">
        <f>E13-E104</f>
        <v>-74963.558721352369</v>
      </c>
      <c r="F106" s="256"/>
      <c r="G106" s="256"/>
      <c r="H106" s="298">
        <f>+H13-H104</f>
        <v>-37759.26840690244</v>
      </c>
      <c r="I106" s="298">
        <f t="shared" ref="I106:T106" si="59">+I13-I104</f>
        <v>663255.71698632278</v>
      </c>
      <c r="J106" s="298">
        <f t="shared" si="59"/>
        <v>-265512.24367898505</v>
      </c>
      <c r="K106" s="298">
        <f t="shared" si="59"/>
        <v>-87224.062203254318</v>
      </c>
      <c r="L106" s="298">
        <f t="shared" si="59"/>
        <v>-170057.61907554924</v>
      </c>
      <c r="M106" s="298">
        <f t="shared" si="59"/>
        <v>10066.821504386869</v>
      </c>
      <c r="N106" s="298">
        <f t="shared" si="59"/>
        <v>-3019.9048211782683</v>
      </c>
      <c r="O106" s="298">
        <f t="shared" si="59"/>
        <v>-20799.501645774872</v>
      </c>
      <c r="P106" s="298">
        <f t="shared" si="59"/>
        <v>-49805.313117148791</v>
      </c>
      <c r="Q106" s="298">
        <f t="shared" si="59"/>
        <v>-50685.106745835452</v>
      </c>
      <c r="R106" s="298">
        <f t="shared" si="59"/>
        <v>17100.234551617115</v>
      </c>
      <c r="S106" s="298">
        <f t="shared" si="59"/>
        <v>0</v>
      </c>
      <c r="T106" s="298">
        <f t="shared" si="59"/>
        <v>-80552.481661891681</v>
      </c>
      <c r="U106" s="253">
        <f t="shared" ref="U106" si="60">U13-U104</f>
        <v>29.169592844968435</v>
      </c>
    </row>
    <row r="107" spans="1:21" ht="16.5" thickTop="1" x14ac:dyDescent="0.25">
      <c r="A107" s="256"/>
      <c r="B107" s="256"/>
      <c r="C107" s="252"/>
      <c r="D107" s="256"/>
      <c r="E107" s="253">
        <f>[3]ProForma!G102</f>
        <v>0</v>
      </c>
      <c r="F107" s="256"/>
      <c r="G107" s="256"/>
      <c r="H107" s="257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99"/>
      <c r="U107" s="255"/>
    </row>
    <row r="108" spans="1:21" x14ac:dyDescent="0.25">
      <c r="A108" s="256"/>
      <c r="B108" s="256"/>
      <c r="C108" s="252"/>
      <c r="D108" s="256"/>
      <c r="E108" s="300">
        <f>E106/E13</f>
        <v>-5.0144625943004568E-3</v>
      </c>
      <c r="F108" s="256"/>
      <c r="G108" s="256"/>
      <c r="H108" s="300">
        <f t="shared" ref="H108:T108" si="61">H106/H13</f>
        <v>-9.1793154497653417E-3</v>
      </c>
      <c r="I108" s="300">
        <f t="shared" si="61"/>
        <v>7.53813671296171E-2</v>
      </c>
      <c r="J108" s="300">
        <f t="shared" si="61"/>
        <v>-0.30706774280792326</v>
      </c>
      <c r="K108" s="300">
        <f t="shared" si="61"/>
        <v>-0.22178898842068329</v>
      </c>
      <c r="L108" s="300">
        <f t="shared" si="61"/>
        <v>-0.58421590152945113</v>
      </c>
      <c r="M108" s="300">
        <f t="shared" si="61"/>
        <v>6.6697993289579705E-2</v>
      </c>
      <c r="N108" s="300">
        <f t="shared" si="61"/>
        <v>-0.12103550424612618</v>
      </c>
      <c r="O108" s="300">
        <f t="shared" si="61"/>
        <v>-0.45582613773587632</v>
      </c>
      <c r="P108" s="300">
        <f t="shared" si="61"/>
        <v>-2.2522348385889126</v>
      </c>
      <c r="Q108" s="300">
        <f t="shared" si="61"/>
        <v>-10.55939723871572</v>
      </c>
      <c r="R108" s="300">
        <f t="shared" si="61"/>
        <v>0.92451690878317494</v>
      </c>
      <c r="S108" s="300" t="e">
        <f t="shared" si="61"/>
        <v>#DIV/0!</v>
      </c>
      <c r="T108" s="301">
        <f t="shared" si="61"/>
        <v>-0.36394781100332679</v>
      </c>
      <c r="U108" s="255"/>
    </row>
    <row r="109" spans="1:21" x14ac:dyDescent="0.25">
      <c r="A109" s="256"/>
      <c r="B109" s="256"/>
      <c r="C109" s="256"/>
      <c r="D109" s="256"/>
      <c r="E109" s="255"/>
      <c r="F109" s="256"/>
      <c r="G109" s="256"/>
      <c r="H109" s="257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5"/>
    </row>
  </sheetData>
  <pageMargins left="0.25" right="0.25" top="0.75" bottom="0.75" header="0.3" footer="0.3"/>
  <pageSetup scale="56" fitToHeight="0" orientation="landscape" r:id="rId1"/>
  <headerFooter>
    <oddFooter>&amp;L&amp;D&amp;C&amp;A&amp;RPage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6"/>
  <sheetViews>
    <sheetView topLeftCell="A16" workbookViewId="0">
      <selection activeCell="K268" sqref="K268"/>
    </sheetView>
  </sheetViews>
  <sheetFormatPr defaultRowHeight="15.75" x14ac:dyDescent="0.25"/>
  <cols>
    <col min="2" max="2" width="40.77734375" customWidth="1"/>
    <col min="3" max="3" width="12" customWidth="1"/>
    <col min="4" max="4" width="9.109375" customWidth="1"/>
    <col min="6" max="6" width="10.88671875" customWidth="1"/>
  </cols>
  <sheetData>
    <row r="1" spans="1:12" x14ac:dyDescent="0.25">
      <c r="A1" s="482"/>
      <c r="B1" s="482"/>
      <c r="C1" s="482"/>
      <c r="D1" s="482"/>
      <c r="E1" s="482"/>
      <c r="F1" s="482"/>
      <c r="G1" s="482"/>
      <c r="H1" s="482"/>
      <c r="I1" s="482"/>
      <c r="J1" s="482"/>
    </row>
    <row r="2" spans="1:12" x14ac:dyDescent="0.25">
      <c r="A2" s="451" t="s">
        <v>2809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2" ht="39.75" thickBot="1" x14ac:dyDescent="0.3">
      <c r="A3" s="452" t="s">
        <v>2810</v>
      </c>
      <c r="B3" s="453" t="s">
        <v>2811</v>
      </c>
      <c r="C3" s="454"/>
      <c r="D3" s="453" t="s">
        <v>2812</v>
      </c>
      <c r="E3" s="455" t="s">
        <v>2813</v>
      </c>
      <c r="F3" s="456" t="s">
        <v>2814</v>
      </c>
      <c r="G3" s="457" t="s">
        <v>2815</v>
      </c>
      <c r="H3" s="458" t="s">
        <v>2816</v>
      </c>
      <c r="I3" s="459" t="s">
        <v>2817</v>
      </c>
      <c r="J3" s="458" t="s">
        <v>2818</v>
      </c>
    </row>
    <row r="4" spans="1:12" x14ac:dyDescent="0.25">
      <c r="A4" s="482"/>
      <c r="B4" s="482"/>
      <c r="C4" s="482"/>
      <c r="D4" s="482"/>
      <c r="E4" s="482"/>
      <c r="F4" s="482"/>
      <c r="G4" s="482"/>
      <c r="H4" s="482"/>
      <c r="I4" s="482"/>
      <c r="J4" s="482"/>
    </row>
    <row r="5" spans="1:12" x14ac:dyDescent="0.25">
      <c r="A5" s="452">
        <v>50</v>
      </c>
      <c r="B5" s="460" t="s">
        <v>2819</v>
      </c>
      <c r="C5" s="461"/>
      <c r="D5" s="460"/>
      <c r="E5" s="462">
        <v>25</v>
      </c>
      <c r="F5" s="463"/>
      <c r="G5" s="462">
        <v>25</v>
      </c>
      <c r="H5" s="464"/>
      <c r="I5" s="460"/>
      <c r="J5" s="619">
        <v>1.075</v>
      </c>
      <c r="K5" s="553"/>
      <c r="L5" s="553">
        <f>+J270</f>
        <v>4581843.2860000003</v>
      </c>
    </row>
    <row r="6" spans="1:12" x14ac:dyDescent="0.25">
      <c r="A6" s="452">
        <v>51</v>
      </c>
      <c r="B6" s="460" t="s">
        <v>2820</v>
      </c>
      <c r="C6" s="461"/>
      <c r="D6" s="460">
        <v>247</v>
      </c>
      <c r="E6" s="462">
        <v>20</v>
      </c>
      <c r="F6" s="463">
        <f>D6*E6</f>
        <v>4940</v>
      </c>
      <c r="G6" s="462">
        <f>+E6*$J$5+1</f>
        <v>22.5</v>
      </c>
      <c r="H6" s="463">
        <f t="shared" ref="H6" si="0">+G6*D6*12</f>
        <v>66690</v>
      </c>
      <c r="I6" s="460"/>
      <c r="J6" s="460"/>
      <c r="K6" s="553"/>
    </row>
    <row r="7" spans="1:12" x14ac:dyDescent="0.25">
      <c r="A7" s="452">
        <v>51</v>
      </c>
      <c r="B7" s="460" t="s">
        <v>2821</v>
      </c>
      <c r="C7" s="461"/>
      <c r="D7" s="460"/>
      <c r="E7" s="462">
        <v>20</v>
      </c>
      <c r="F7" s="463"/>
      <c r="G7" s="462">
        <v>20</v>
      </c>
      <c r="H7" s="464"/>
      <c r="I7" s="460"/>
      <c r="J7" s="460"/>
      <c r="K7" s="553"/>
    </row>
    <row r="8" spans="1:12" x14ac:dyDescent="0.25">
      <c r="A8" s="452">
        <v>51</v>
      </c>
      <c r="B8" s="460" t="s">
        <v>2822</v>
      </c>
      <c r="C8" s="461"/>
      <c r="D8" s="460"/>
      <c r="E8" s="462">
        <v>20</v>
      </c>
      <c r="F8" s="463"/>
      <c r="G8" s="462">
        <v>20</v>
      </c>
      <c r="H8" s="464"/>
      <c r="I8" s="460"/>
      <c r="J8" s="460"/>
      <c r="K8" s="553"/>
    </row>
    <row r="9" spans="1:12" x14ac:dyDescent="0.25">
      <c r="A9" s="452">
        <v>52</v>
      </c>
      <c r="B9" s="460" t="s">
        <v>2823</v>
      </c>
      <c r="C9" s="461"/>
      <c r="D9" s="460"/>
      <c r="E9" s="462">
        <v>8.75</v>
      </c>
      <c r="F9" s="463">
        <f>D9*E9*12</f>
        <v>0</v>
      </c>
      <c r="G9" s="462">
        <v>8.75</v>
      </c>
      <c r="H9" s="463">
        <f>+G9*D9*12</f>
        <v>0</v>
      </c>
      <c r="I9" s="460"/>
      <c r="J9" s="460"/>
      <c r="K9" s="553"/>
    </row>
    <row r="10" spans="1:12" x14ac:dyDescent="0.25">
      <c r="A10" s="452">
        <v>52</v>
      </c>
      <c r="B10" s="460" t="s">
        <v>2824</v>
      </c>
      <c r="C10" s="461"/>
      <c r="D10" s="460"/>
      <c r="E10" s="462">
        <v>20</v>
      </c>
      <c r="F10" s="463"/>
      <c r="G10" s="462">
        <v>20</v>
      </c>
      <c r="H10" s="463"/>
      <c r="I10" s="460"/>
      <c r="J10" s="460"/>
      <c r="K10" s="553"/>
    </row>
    <row r="11" spans="1:12" x14ac:dyDescent="0.25">
      <c r="A11" s="452">
        <v>52</v>
      </c>
      <c r="B11" s="460" t="s">
        <v>2825</v>
      </c>
      <c r="C11" s="461"/>
      <c r="D11" s="460"/>
      <c r="E11" s="462">
        <v>50</v>
      </c>
      <c r="F11" s="463"/>
      <c r="G11" s="462">
        <v>50</v>
      </c>
      <c r="H11" s="463"/>
      <c r="I11" s="460"/>
      <c r="J11" s="460"/>
      <c r="K11" s="553"/>
    </row>
    <row r="12" spans="1:12" x14ac:dyDescent="0.25">
      <c r="A12" s="452">
        <v>55</v>
      </c>
      <c r="B12" s="460" t="s">
        <v>2826</v>
      </c>
      <c r="C12" s="461"/>
      <c r="D12" s="460"/>
      <c r="E12" s="462">
        <v>5</v>
      </c>
      <c r="F12" s="463">
        <f>D12*E12*12</f>
        <v>0</v>
      </c>
      <c r="G12" s="462">
        <v>5</v>
      </c>
      <c r="H12" s="463">
        <f t="shared" ref="H12:H23" si="1">+G12*D12*12</f>
        <v>0</v>
      </c>
      <c r="I12" s="460"/>
      <c r="J12" s="460"/>
      <c r="K12" s="553"/>
    </row>
    <row r="13" spans="1:12" x14ac:dyDescent="0.25">
      <c r="A13" s="452">
        <v>60</v>
      </c>
      <c r="B13" s="460" t="s">
        <v>2827</v>
      </c>
      <c r="C13" s="461"/>
      <c r="D13" s="460"/>
      <c r="E13" s="462">
        <v>95</v>
      </c>
      <c r="F13" s="463"/>
      <c r="G13" s="462">
        <v>95</v>
      </c>
      <c r="H13" s="463">
        <f t="shared" si="1"/>
        <v>0</v>
      </c>
      <c r="I13" s="460"/>
      <c r="J13" s="460"/>
      <c r="K13" s="553"/>
    </row>
    <row r="14" spans="1:12" x14ac:dyDescent="0.25">
      <c r="A14" s="452">
        <v>60</v>
      </c>
      <c r="B14" s="460" t="s">
        <v>2828</v>
      </c>
      <c r="C14" s="461"/>
      <c r="D14" s="460"/>
      <c r="E14" s="462">
        <v>47.5</v>
      </c>
      <c r="F14" s="463"/>
      <c r="G14" s="462">
        <v>47.5</v>
      </c>
      <c r="H14" s="463">
        <f t="shared" si="1"/>
        <v>0</v>
      </c>
      <c r="I14" s="460"/>
      <c r="J14" s="460"/>
      <c r="K14" s="553"/>
    </row>
    <row r="15" spans="1:12" x14ac:dyDescent="0.25">
      <c r="A15" s="452">
        <v>70</v>
      </c>
      <c r="B15" s="460" t="s">
        <v>2829</v>
      </c>
      <c r="C15" s="461"/>
      <c r="D15" s="460">
        <v>63</v>
      </c>
      <c r="E15" s="462">
        <v>8.75</v>
      </c>
      <c r="F15" s="463">
        <f>D15*E15</f>
        <v>551.25</v>
      </c>
      <c r="G15" s="462">
        <v>10.4</v>
      </c>
      <c r="H15" s="463">
        <f t="shared" si="1"/>
        <v>7862.4000000000005</v>
      </c>
      <c r="I15" s="460"/>
      <c r="J15" s="460"/>
      <c r="K15" s="553"/>
    </row>
    <row r="16" spans="1:12" x14ac:dyDescent="0.25">
      <c r="A16" s="452">
        <v>70</v>
      </c>
      <c r="B16" s="460" t="s">
        <v>2830</v>
      </c>
      <c r="C16" s="461"/>
      <c r="D16" s="460"/>
      <c r="E16" s="462">
        <v>8.75</v>
      </c>
      <c r="F16" s="463"/>
      <c r="G16" s="462">
        <v>8.75</v>
      </c>
      <c r="H16" s="463">
        <f t="shared" si="1"/>
        <v>0</v>
      </c>
      <c r="I16" s="460"/>
      <c r="J16" s="460"/>
      <c r="K16" s="553"/>
    </row>
    <row r="17" spans="1:11" x14ac:dyDescent="0.25">
      <c r="A17" s="452">
        <v>70</v>
      </c>
      <c r="B17" s="460" t="s">
        <v>2831</v>
      </c>
      <c r="C17" s="461"/>
      <c r="D17" s="460"/>
      <c r="E17" s="462">
        <v>8.75</v>
      </c>
      <c r="F17" s="463"/>
      <c r="G17" s="462">
        <v>8.75</v>
      </c>
      <c r="H17" s="463">
        <f t="shared" si="1"/>
        <v>0</v>
      </c>
      <c r="I17" s="460"/>
      <c r="J17" s="460"/>
      <c r="K17" s="553"/>
    </row>
    <row r="18" spans="1:11" x14ac:dyDescent="0.25">
      <c r="A18" s="452">
        <v>70</v>
      </c>
      <c r="B18" s="460" t="s">
        <v>2832</v>
      </c>
      <c r="C18" s="461"/>
      <c r="D18" s="460"/>
      <c r="E18" s="462">
        <v>8.75</v>
      </c>
      <c r="F18" s="463"/>
      <c r="G18" s="462">
        <v>8.75</v>
      </c>
      <c r="H18" s="463">
        <f t="shared" si="1"/>
        <v>0</v>
      </c>
      <c r="I18" s="460"/>
      <c r="J18" s="460"/>
      <c r="K18" s="553"/>
    </row>
    <row r="19" spans="1:11" x14ac:dyDescent="0.25">
      <c r="A19" s="452">
        <v>70</v>
      </c>
      <c r="B19" s="460" t="s">
        <v>2833</v>
      </c>
      <c r="C19" s="461"/>
      <c r="D19" s="460"/>
      <c r="E19" s="462">
        <v>8.75</v>
      </c>
      <c r="F19" s="463"/>
      <c r="G19" s="462">
        <v>8.75</v>
      </c>
      <c r="H19" s="463">
        <f t="shared" si="1"/>
        <v>0</v>
      </c>
      <c r="I19" s="460"/>
      <c r="J19" s="460"/>
      <c r="K19" s="553"/>
    </row>
    <row r="20" spans="1:11" x14ac:dyDescent="0.25">
      <c r="A20" s="452">
        <v>70</v>
      </c>
      <c r="B20" s="460" t="s">
        <v>2834</v>
      </c>
      <c r="C20" s="461"/>
      <c r="D20" s="460"/>
      <c r="E20" s="462">
        <v>20</v>
      </c>
      <c r="F20" s="463"/>
      <c r="G20" s="462">
        <v>20</v>
      </c>
      <c r="H20" s="463">
        <f t="shared" si="1"/>
        <v>0</v>
      </c>
      <c r="I20" s="460"/>
      <c r="J20" s="460"/>
      <c r="K20" s="553"/>
    </row>
    <row r="21" spans="1:11" x14ac:dyDescent="0.25">
      <c r="A21" s="452">
        <v>70</v>
      </c>
      <c r="B21" s="460" t="s">
        <v>2835</v>
      </c>
      <c r="C21" s="461"/>
      <c r="D21" s="460"/>
      <c r="E21" s="462">
        <v>50</v>
      </c>
      <c r="F21" s="463"/>
      <c r="G21" s="462">
        <v>50</v>
      </c>
      <c r="H21" s="463">
        <f t="shared" si="1"/>
        <v>0</v>
      </c>
      <c r="I21" s="460"/>
      <c r="J21" s="460"/>
      <c r="K21" s="553"/>
    </row>
    <row r="22" spans="1:11" x14ac:dyDescent="0.25">
      <c r="A22" s="452">
        <v>80</v>
      </c>
      <c r="B22" s="460" t="s">
        <v>2836</v>
      </c>
      <c r="C22" s="461"/>
      <c r="D22" s="460">
        <v>1</v>
      </c>
      <c r="E22" s="462">
        <v>2</v>
      </c>
      <c r="F22" s="463">
        <f>D22*E22*12*4.33</f>
        <v>103.92</v>
      </c>
      <c r="G22" s="462">
        <f>+E22*$J$5+1</f>
        <v>3.15</v>
      </c>
      <c r="H22" s="463">
        <f t="shared" si="1"/>
        <v>37.799999999999997</v>
      </c>
      <c r="I22" s="460"/>
      <c r="J22" s="460"/>
      <c r="K22" s="553"/>
    </row>
    <row r="23" spans="1:11" x14ac:dyDescent="0.25">
      <c r="A23" s="452">
        <v>80</v>
      </c>
      <c r="B23" s="460" t="s">
        <v>2837</v>
      </c>
      <c r="C23" s="461"/>
      <c r="D23" s="460"/>
      <c r="E23" s="462">
        <v>2</v>
      </c>
      <c r="F23" s="463"/>
      <c r="G23" s="462">
        <v>2</v>
      </c>
      <c r="H23" s="463">
        <f t="shared" si="1"/>
        <v>0</v>
      </c>
      <c r="I23" s="460"/>
      <c r="J23" s="460"/>
      <c r="K23" s="553"/>
    </row>
    <row r="24" spans="1:11" x14ac:dyDescent="0.25">
      <c r="A24" s="452">
        <v>80</v>
      </c>
      <c r="B24" s="460" t="s">
        <v>2838</v>
      </c>
      <c r="C24" s="460"/>
      <c r="D24" s="460">
        <v>234</v>
      </c>
      <c r="E24" s="462">
        <v>2</v>
      </c>
      <c r="F24" s="463">
        <f>D24*E24*12*4.33</f>
        <v>24317.279999999999</v>
      </c>
      <c r="G24" s="462">
        <f>+E24*$J$5+1</f>
        <v>3.15</v>
      </c>
      <c r="H24" s="463">
        <f>D24*G24*12*4.33</f>
        <v>38299.716</v>
      </c>
      <c r="I24" s="460"/>
      <c r="J24" s="460"/>
      <c r="K24" s="553"/>
    </row>
    <row r="25" spans="1:11" x14ac:dyDescent="0.25">
      <c r="A25" s="452">
        <v>80</v>
      </c>
      <c r="B25" s="460" t="s">
        <v>2839</v>
      </c>
      <c r="C25" s="461"/>
      <c r="D25" s="460"/>
      <c r="E25" s="462">
        <v>0.5</v>
      </c>
      <c r="F25" s="463">
        <f>D25*E25*12*4.33</f>
        <v>0</v>
      </c>
      <c r="G25" s="462">
        <v>0.5</v>
      </c>
      <c r="H25" s="463"/>
      <c r="I25" s="460"/>
      <c r="J25" s="460"/>
      <c r="K25" s="553"/>
    </row>
    <row r="26" spans="1:11" x14ac:dyDescent="0.25">
      <c r="A26" s="452">
        <v>90</v>
      </c>
      <c r="B26" s="460" t="s">
        <v>2840</v>
      </c>
      <c r="C26" s="461"/>
      <c r="D26" s="460"/>
      <c r="E26" s="462">
        <v>0.05</v>
      </c>
      <c r="F26" s="463"/>
      <c r="G26" s="462">
        <v>0.05</v>
      </c>
      <c r="H26" s="463">
        <f>+G26*D28*12</f>
        <v>0</v>
      </c>
      <c r="I26" s="460"/>
      <c r="J26" s="460"/>
      <c r="K26" s="553"/>
    </row>
    <row r="27" spans="1:11" x14ac:dyDescent="0.25">
      <c r="A27" s="452">
        <v>90</v>
      </c>
      <c r="B27" s="460" t="s">
        <v>2841</v>
      </c>
      <c r="C27" s="461" t="s">
        <v>2842</v>
      </c>
      <c r="D27" s="460"/>
      <c r="E27" s="462">
        <v>0.4</v>
      </c>
      <c r="F27" s="463"/>
      <c r="G27" s="462">
        <v>0.4</v>
      </c>
      <c r="H27" s="463">
        <f>+G27*D27*12</f>
        <v>0</v>
      </c>
      <c r="I27" s="460"/>
      <c r="J27" s="460"/>
      <c r="K27" s="553"/>
    </row>
    <row r="28" spans="1:11" x14ac:dyDescent="0.25">
      <c r="A28" s="452">
        <v>90</v>
      </c>
      <c r="B28" s="460" t="s">
        <v>2843</v>
      </c>
      <c r="C28" s="461" t="s">
        <v>2844</v>
      </c>
      <c r="D28" s="460"/>
      <c r="E28" s="462">
        <v>0.4</v>
      </c>
      <c r="F28" s="463"/>
      <c r="G28" s="462">
        <v>0.4</v>
      </c>
      <c r="H28" s="463">
        <f>+G28*D28*12</f>
        <v>0</v>
      </c>
      <c r="I28" s="460"/>
      <c r="J28" s="460"/>
      <c r="K28" s="553"/>
    </row>
    <row r="29" spans="1:11" x14ac:dyDescent="0.25">
      <c r="A29" s="452" t="s">
        <v>711</v>
      </c>
      <c r="B29" s="460" t="s">
        <v>2845</v>
      </c>
      <c r="C29" s="461" t="s">
        <v>2846</v>
      </c>
      <c r="D29" s="460"/>
      <c r="E29" s="462"/>
      <c r="F29" s="463"/>
      <c r="G29" s="462"/>
      <c r="H29" s="463"/>
      <c r="I29" s="460"/>
      <c r="J29" s="460"/>
      <c r="K29" s="553"/>
    </row>
    <row r="30" spans="1:11" x14ac:dyDescent="0.25">
      <c r="A30" s="452" t="s">
        <v>711</v>
      </c>
      <c r="B30" s="460" t="s">
        <v>2847</v>
      </c>
      <c r="C30" s="461" t="s">
        <v>2848</v>
      </c>
      <c r="D30" s="460">
        <v>1</v>
      </c>
      <c r="E30" s="462">
        <v>8.5</v>
      </c>
      <c r="F30" s="463">
        <f>D30*E30*12</f>
        <v>102</v>
      </c>
      <c r="G30" s="462">
        <v>10.15</v>
      </c>
      <c r="H30" s="463">
        <f t="shared" ref="H30:H38" si="2">+G30*D30*12</f>
        <v>121.80000000000001</v>
      </c>
      <c r="I30" s="460"/>
      <c r="J30" s="460"/>
      <c r="K30" s="553"/>
    </row>
    <row r="31" spans="1:11" x14ac:dyDescent="0.25">
      <c r="A31" s="452" t="s">
        <v>711</v>
      </c>
      <c r="B31" s="460" t="s">
        <v>2849</v>
      </c>
      <c r="C31" s="461" t="s">
        <v>2848</v>
      </c>
      <c r="D31" s="460">
        <v>14</v>
      </c>
      <c r="E31" s="462">
        <v>18</v>
      </c>
      <c r="F31" s="463">
        <f>+D31*E31*12</f>
        <v>3024</v>
      </c>
      <c r="G31" s="462">
        <f>+E31*$J$5+1</f>
        <v>20.349999999999998</v>
      </c>
      <c r="H31" s="463">
        <f t="shared" si="2"/>
        <v>3418.7999999999997</v>
      </c>
      <c r="I31" s="460"/>
      <c r="J31" s="460"/>
      <c r="K31" s="553"/>
    </row>
    <row r="32" spans="1:11" x14ac:dyDescent="0.25">
      <c r="A32" s="452" t="s">
        <v>711</v>
      </c>
      <c r="B32" s="460" t="s">
        <v>2849</v>
      </c>
      <c r="C32" s="461" t="s">
        <v>2850</v>
      </c>
      <c r="D32" s="460"/>
      <c r="E32" s="462">
        <v>23</v>
      </c>
      <c r="F32" s="463"/>
      <c r="G32" s="462">
        <v>23</v>
      </c>
      <c r="H32" s="463">
        <f t="shared" si="2"/>
        <v>0</v>
      </c>
      <c r="I32" s="460"/>
      <c r="J32" s="460"/>
      <c r="K32" s="553"/>
    </row>
    <row r="33" spans="1:11" x14ac:dyDescent="0.25">
      <c r="A33" s="452" t="s">
        <v>711</v>
      </c>
      <c r="B33" s="460" t="s">
        <v>2849</v>
      </c>
      <c r="C33" s="461" t="s">
        <v>2851</v>
      </c>
      <c r="D33" s="460"/>
      <c r="E33" s="462">
        <v>28</v>
      </c>
      <c r="F33" s="463"/>
      <c r="G33" s="462">
        <v>28</v>
      </c>
      <c r="H33" s="463">
        <f t="shared" si="2"/>
        <v>0</v>
      </c>
      <c r="I33" s="460"/>
      <c r="J33" s="460"/>
      <c r="K33" s="553"/>
    </row>
    <row r="34" spans="1:11" x14ac:dyDescent="0.25">
      <c r="A34" s="452" t="s">
        <v>711</v>
      </c>
      <c r="B34" s="460" t="s">
        <v>2849</v>
      </c>
      <c r="C34" s="461" t="s">
        <v>2852</v>
      </c>
      <c r="D34" s="460"/>
      <c r="E34" s="462">
        <v>33</v>
      </c>
      <c r="F34" s="463"/>
      <c r="G34" s="462">
        <v>33</v>
      </c>
      <c r="H34" s="463">
        <f t="shared" si="2"/>
        <v>0</v>
      </c>
      <c r="I34" s="460"/>
      <c r="J34" s="460"/>
      <c r="K34" s="553"/>
    </row>
    <row r="35" spans="1:11" x14ac:dyDescent="0.25">
      <c r="A35" s="452" t="s">
        <v>711</v>
      </c>
      <c r="B35" s="460" t="s">
        <v>2853</v>
      </c>
      <c r="C35" s="461" t="s">
        <v>2854</v>
      </c>
      <c r="D35" s="460"/>
      <c r="E35" s="462">
        <v>38</v>
      </c>
      <c r="F35" s="463"/>
      <c r="G35" s="462">
        <v>38</v>
      </c>
      <c r="H35" s="463">
        <f t="shared" si="2"/>
        <v>0</v>
      </c>
      <c r="I35" s="460"/>
      <c r="J35" s="460"/>
      <c r="K35" s="553"/>
    </row>
    <row r="36" spans="1:11" x14ac:dyDescent="0.25">
      <c r="A36" s="452" t="s">
        <v>711</v>
      </c>
      <c r="B36" s="460" t="s">
        <v>2849</v>
      </c>
      <c r="C36" s="461" t="s">
        <v>2855</v>
      </c>
      <c r="D36" s="460"/>
      <c r="E36" s="462">
        <v>43</v>
      </c>
      <c r="F36" s="463"/>
      <c r="G36" s="462">
        <v>43</v>
      </c>
      <c r="H36" s="463">
        <f t="shared" si="2"/>
        <v>0</v>
      </c>
      <c r="I36" s="460"/>
      <c r="J36" s="460"/>
      <c r="K36" s="553"/>
    </row>
    <row r="37" spans="1:11" x14ac:dyDescent="0.25">
      <c r="A37" s="452" t="s">
        <v>711</v>
      </c>
      <c r="B37" s="460" t="s">
        <v>2856</v>
      </c>
      <c r="C37" s="461" t="s">
        <v>2857</v>
      </c>
      <c r="D37" s="465">
        <f>1+613</f>
        <v>614</v>
      </c>
      <c r="E37" s="462">
        <v>17.25</v>
      </c>
      <c r="F37" s="463">
        <f>+D37*E37*12</f>
        <v>127098</v>
      </c>
      <c r="G37" s="462">
        <v>19.5</v>
      </c>
      <c r="H37" s="463">
        <f t="shared" si="2"/>
        <v>143676</v>
      </c>
      <c r="I37" s="460"/>
      <c r="J37" s="460"/>
      <c r="K37" s="553"/>
    </row>
    <row r="38" spans="1:11" x14ac:dyDescent="0.25">
      <c r="A38" s="452" t="s">
        <v>711</v>
      </c>
      <c r="B38" s="460" t="s">
        <v>2856</v>
      </c>
      <c r="C38" s="461" t="s">
        <v>2858</v>
      </c>
      <c r="D38" s="465">
        <v>4566</v>
      </c>
      <c r="E38" s="462">
        <v>21.25</v>
      </c>
      <c r="F38" s="463">
        <f>+D38*E38*12</f>
        <v>1164330</v>
      </c>
      <c r="G38" s="462">
        <v>24</v>
      </c>
      <c r="H38" s="463">
        <f t="shared" si="2"/>
        <v>1315008</v>
      </c>
      <c r="I38" s="460"/>
      <c r="J38" s="460"/>
      <c r="K38" s="553"/>
    </row>
    <row r="39" spans="1:11" x14ac:dyDescent="0.25">
      <c r="A39" s="452" t="s">
        <v>711</v>
      </c>
      <c r="B39" s="460" t="s">
        <v>2856</v>
      </c>
      <c r="C39" s="461" t="s">
        <v>2859</v>
      </c>
      <c r="D39" s="465"/>
      <c r="E39" s="462">
        <v>66.25</v>
      </c>
      <c r="F39" s="463">
        <f>+D39*E39*12</f>
        <v>0</v>
      </c>
      <c r="G39" s="462">
        <v>84.5</v>
      </c>
      <c r="H39" s="463"/>
      <c r="I39" s="460"/>
      <c r="J39" s="460"/>
      <c r="K39" s="553"/>
    </row>
    <row r="40" spans="1:11" x14ac:dyDescent="0.25">
      <c r="A40" s="452" t="s">
        <v>711</v>
      </c>
      <c r="B40" s="460" t="s">
        <v>2860</v>
      </c>
      <c r="C40" s="461"/>
      <c r="D40" s="460"/>
      <c r="E40" s="462">
        <v>2.25</v>
      </c>
      <c r="F40" s="463">
        <f>+D40*E40*12</f>
        <v>0</v>
      </c>
      <c r="G40" s="462">
        <v>1.75</v>
      </c>
      <c r="H40" s="463">
        <f t="shared" ref="H40:H46" si="3">+G40*D40*12</f>
        <v>0</v>
      </c>
      <c r="I40" s="460"/>
      <c r="J40" s="460"/>
      <c r="K40" s="553"/>
    </row>
    <row r="41" spans="1:11" x14ac:dyDescent="0.25">
      <c r="A41" s="452" t="s">
        <v>711</v>
      </c>
      <c r="B41" s="460" t="s">
        <v>2861</v>
      </c>
      <c r="C41" s="461"/>
      <c r="D41" s="460">
        <v>201</v>
      </c>
      <c r="E41" s="462">
        <v>2.75</v>
      </c>
      <c r="F41" s="463">
        <f>D41*E41</f>
        <v>552.75</v>
      </c>
      <c r="G41" s="462">
        <v>4</v>
      </c>
      <c r="H41" s="463">
        <f>+G41*D41</f>
        <v>804</v>
      </c>
      <c r="I41" s="460"/>
      <c r="J41" s="460"/>
      <c r="K41" s="553"/>
    </row>
    <row r="42" spans="1:11" x14ac:dyDescent="0.25">
      <c r="A42" s="452" t="s">
        <v>711</v>
      </c>
      <c r="B42" s="460" t="s">
        <v>2862</v>
      </c>
      <c r="C42" s="461"/>
      <c r="D42" s="460">
        <v>1242</v>
      </c>
      <c r="E42" s="462">
        <v>2.75</v>
      </c>
      <c r="F42" s="463">
        <f>D42*E42</f>
        <v>3415.5</v>
      </c>
      <c r="G42" s="462">
        <v>4</v>
      </c>
      <c r="H42" s="463">
        <f>+G42*D42</f>
        <v>4968</v>
      </c>
      <c r="I42" s="460"/>
      <c r="J42" s="460"/>
      <c r="K42" s="553"/>
    </row>
    <row r="43" spans="1:11" x14ac:dyDescent="0.25">
      <c r="A43" s="452" t="s">
        <v>711</v>
      </c>
      <c r="B43" s="460" t="s">
        <v>2863</v>
      </c>
      <c r="C43" s="461"/>
      <c r="D43" s="460">
        <f>173+7</f>
        <v>180</v>
      </c>
      <c r="E43" s="462">
        <v>17.25</v>
      </c>
      <c r="F43" s="463">
        <f>D43*E43</f>
        <v>3105</v>
      </c>
      <c r="G43" s="462">
        <v>19.5</v>
      </c>
      <c r="H43" s="463">
        <f>+G43*D43</f>
        <v>3510</v>
      </c>
      <c r="I43" s="460"/>
      <c r="J43" s="460"/>
      <c r="K43" s="553"/>
    </row>
    <row r="44" spans="1:11" x14ac:dyDescent="0.25">
      <c r="A44" s="452" t="s">
        <v>711</v>
      </c>
      <c r="B44" s="460" t="s">
        <v>2864</v>
      </c>
      <c r="C44" s="461"/>
      <c r="D44" s="460">
        <v>4</v>
      </c>
      <c r="E44" s="462">
        <v>21.25</v>
      </c>
      <c r="F44" s="463">
        <f t="shared" ref="F44:F61" si="4">D44*E44*12</f>
        <v>1020</v>
      </c>
      <c r="G44" s="462">
        <v>23.75</v>
      </c>
      <c r="H44" s="463">
        <f t="shared" si="3"/>
        <v>1140</v>
      </c>
      <c r="I44" s="460"/>
      <c r="J44" s="460"/>
      <c r="K44" s="553"/>
    </row>
    <row r="45" spans="1:11" x14ac:dyDescent="0.25">
      <c r="A45" s="452" t="s">
        <v>711</v>
      </c>
      <c r="B45" s="460" t="s">
        <v>2865</v>
      </c>
      <c r="C45" s="461"/>
      <c r="D45" s="460"/>
      <c r="E45" s="462">
        <v>11.25</v>
      </c>
      <c r="F45" s="463">
        <f t="shared" si="4"/>
        <v>0</v>
      </c>
      <c r="G45" s="462">
        <v>13</v>
      </c>
      <c r="H45" s="463">
        <f t="shared" si="3"/>
        <v>0</v>
      </c>
      <c r="I45" s="460"/>
      <c r="J45" s="460"/>
      <c r="K45" s="553"/>
    </row>
    <row r="46" spans="1:11" x14ac:dyDescent="0.25">
      <c r="A46" s="452" t="s">
        <v>711</v>
      </c>
      <c r="B46" s="460" t="s">
        <v>2866</v>
      </c>
      <c r="C46" s="461"/>
      <c r="D46" s="460">
        <f>37+620+49</f>
        <v>706</v>
      </c>
      <c r="E46" s="462">
        <v>6.26</v>
      </c>
      <c r="F46" s="463">
        <f>D46*E46</f>
        <v>4419.5599999999995</v>
      </c>
      <c r="G46" s="462">
        <v>7.75</v>
      </c>
      <c r="H46" s="463">
        <f t="shared" si="3"/>
        <v>65658</v>
      </c>
      <c r="I46" s="460"/>
      <c r="J46" s="460"/>
      <c r="K46" s="553"/>
    </row>
    <row r="47" spans="1:11" x14ac:dyDescent="0.25">
      <c r="A47" s="452">
        <v>105</v>
      </c>
      <c r="B47" s="460" t="s">
        <v>2867</v>
      </c>
      <c r="C47" s="461"/>
      <c r="D47" s="460"/>
      <c r="E47" s="462"/>
      <c r="F47" s="463">
        <f t="shared" si="4"/>
        <v>0</v>
      </c>
      <c r="G47" s="462"/>
      <c r="H47" s="463"/>
      <c r="I47" s="460"/>
      <c r="J47" s="460"/>
      <c r="K47" s="553"/>
    </row>
    <row r="48" spans="1:11" x14ac:dyDescent="0.25">
      <c r="A48" s="452">
        <v>120</v>
      </c>
      <c r="B48" s="460" t="s">
        <v>2868</v>
      </c>
      <c r="C48" s="461"/>
      <c r="D48" s="460"/>
      <c r="E48" s="462">
        <v>8.5</v>
      </c>
      <c r="F48" s="463">
        <f t="shared" si="4"/>
        <v>0</v>
      </c>
      <c r="G48" s="462">
        <v>10.15</v>
      </c>
      <c r="H48" s="463">
        <f>+G48*D48*12</f>
        <v>0</v>
      </c>
      <c r="I48" s="460"/>
      <c r="J48" s="460"/>
      <c r="K48" s="553"/>
    </row>
    <row r="49" spans="1:11" x14ac:dyDescent="0.25">
      <c r="A49" s="452">
        <v>120</v>
      </c>
      <c r="B49" s="460" t="s">
        <v>2869</v>
      </c>
      <c r="C49" s="461"/>
      <c r="D49" s="460"/>
      <c r="E49" s="462">
        <v>17.25</v>
      </c>
      <c r="F49" s="463">
        <f t="shared" si="4"/>
        <v>0</v>
      </c>
      <c r="G49" s="462">
        <v>19.5</v>
      </c>
      <c r="H49" s="463">
        <f>+G49*D49*12</f>
        <v>0</v>
      </c>
      <c r="I49" s="460"/>
      <c r="J49" s="460"/>
      <c r="K49" s="553"/>
    </row>
    <row r="50" spans="1:11" x14ac:dyDescent="0.25">
      <c r="A50" s="452">
        <v>130</v>
      </c>
      <c r="B50" s="460" t="s">
        <v>2870</v>
      </c>
      <c r="C50" s="461">
        <v>64</v>
      </c>
      <c r="D50" s="460"/>
      <c r="E50" s="462">
        <v>5.25</v>
      </c>
      <c r="F50" s="463">
        <f t="shared" si="4"/>
        <v>0</v>
      </c>
      <c r="G50" s="462">
        <v>6.5</v>
      </c>
      <c r="H50" s="463">
        <f>+G50*D50*12</f>
        <v>0</v>
      </c>
      <c r="I50" s="460"/>
      <c r="J50" s="460"/>
      <c r="K50" s="553"/>
    </row>
    <row r="51" spans="1:11" x14ac:dyDescent="0.25">
      <c r="A51" s="452">
        <v>130</v>
      </c>
      <c r="B51" s="460" t="s">
        <v>2870</v>
      </c>
      <c r="C51" s="461">
        <v>96</v>
      </c>
      <c r="D51" s="460"/>
      <c r="E51" s="462">
        <v>7.75</v>
      </c>
      <c r="F51" s="463">
        <f t="shared" si="4"/>
        <v>0</v>
      </c>
      <c r="G51" s="462">
        <v>9</v>
      </c>
      <c r="H51" s="463">
        <f>+G51*D51*12</f>
        <v>0</v>
      </c>
      <c r="I51" s="460"/>
      <c r="J51" s="460"/>
      <c r="K51" s="553"/>
    </row>
    <row r="52" spans="1:11" x14ac:dyDescent="0.25">
      <c r="A52" s="452">
        <v>130</v>
      </c>
      <c r="B52" s="460" t="s">
        <v>2871</v>
      </c>
      <c r="C52" s="461">
        <v>64</v>
      </c>
      <c r="D52" s="460"/>
      <c r="E52" s="462">
        <v>17.5</v>
      </c>
      <c r="F52" s="463">
        <f t="shared" si="4"/>
        <v>0</v>
      </c>
      <c r="G52" s="462">
        <v>20</v>
      </c>
      <c r="H52" s="463"/>
      <c r="I52" s="460"/>
      <c r="J52" s="460"/>
      <c r="K52" s="553"/>
    </row>
    <row r="53" spans="1:11" x14ac:dyDescent="0.25">
      <c r="A53" s="452">
        <v>130</v>
      </c>
      <c r="B53" s="460" t="s">
        <v>2871</v>
      </c>
      <c r="C53" s="461">
        <v>96</v>
      </c>
      <c r="D53" s="460"/>
      <c r="E53" s="462">
        <v>21.25</v>
      </c>
      <c r="F53" s="463">
        <f t="shared" si="4"/>
        <v>0</v>
      </c>
      <c r="G53" s="462">
        <v>23.75</v>
      </c>
      <c r="H53" s="463"/>
      <c r="I53" s="460"/>
      <c r="J53" s="460"/>
      <c r="K53" s="553"/>
    </row>
    <row r="54" spans="1:11" x14ac:dyDescent="0.25">
      <c r="A54" s="452">
        <v>150</v>
      </c>
      <c r="B54" s="460" t="s">
        <v>2872</v>
      </c>
      <c r="C54" s="461"/>
      <c r="D54" s="460">
        <f>189+5</f>
        <v>194</v>
      </c>
      <c r="E54" s="462">
        <v>13</v>
      </c>
      <c r="F54" s="463">
        <f>D54*E54</f>
        <v>2522</v>
      </c>
      <c r="G54" s="462">
        <v>15</v>
      </c>
      <c r="H54" s="463">
        <f>+G54*D54</f>
        <v>2910</v>
      </c>
      <c r="I54" s="460"/>
      <c r="J54" s="460"/>
      <c r="K54" s="553"/>
    </row>
    <row r="55" spans="1:11" x14ac:dyDescent="0.25">
      <c r="A55" s="452">
        <v>150</v>
      </c>
      <c r="B55" s="460" t="s">
        <v>2873</v>
      </c>
      <c r="C55" s="461"/>
      <c r="D55" s="460">
        <f>14+10</f>
        <v>24</v>
      </c>
      <c r="E55" s="462">
        <v>11</v>
      </c>
      <c r="F55" s="463">
        <f t="shared" si="4"/>
        <v>3168</v>
      </c>
      <c r="G55" s="462">
        <v>13</v>
      </c>
      <c r="H55" s="463">
        <f t="shared" ref="H55:H64" si="5">+G55*D55*12</f>
        <v>3744</v>
      </c>
      <c r="I55" s="460"/>
      <c r="J55" s="460"/>
      <c r="K55" s="553"/>
    </row>
    <row r="56" spans="1:11" x14ac:dyDescent="0.25">
      <c r="A56" s="452">
        <v>150</v>
      </c>
      <c r="B56" s="460" t="s">
        <v>2874</v>
      </c>
      <c r="C56" s="461"/>
      <c r="D56" s="460">
        <v>203</v>
      </c>
      <c r="E56" s="462">
        <v>13</v>
      </c>
      <c r="F56" s="463">
        <f>D56*E56</f>
        <v>2639</v>
      </c>
      <c r="G56" s="462">
        <v>14.75</v>
      </c>
      <c r="H56" s="463">
        <f t="shared" si="5"/>
        <v>35931</v>
      </c>
      <c r="I56" s="460"/>
      <c r="J56" s="460"/>
      <c r="K56" s="553"/>
    </row>
    <row r="57" spans="1:11" x14ac:dyDescent="0.25">
      <c r="A57" s="452">
        <v>150</v>
      </c>
      <c r="B57" s="460" t="s">
        <v>2875</v>
      </c>
      <c r="C57" s="461" t="s">
        <v>2876</v>
      </c>
      <c r="D57" s="460"/>
      <c r="E57" s="462">
        <v>5</v>
      </c>
      <c r="F57" s="463">
        <f t="shared" si="4"/>
        <v>0</v>
      </c>
      <c r="G57" s="462">
        <f t="shared" ref="G57:G64" si="6">+E57*$J$5+1</f>
        <v>6.375</v>
      </c>
      <c r="H57" s="463">
        <f t="shared" si="5"/>
        <v>0</v>
      </c>
      <c r="I57" s="460"/>
      <c r="J57" s="460"/>
      <c r="K57" s="553"/>
    </row>
    <row r="58" spans="1:11" x14ac:dyDescent="0.25">
      <c r="A58" s="452">
        <v>160</v>
      </c>
      <c r="B58" s="460" t="s">
        <v>2877</v>
      </c>
      <c r="C58" s="461"/>
      <c r="D58" s="460"/>
      <c r="E58" s="462">
        <v>55</v>
      </c>
      <c r="F58" s="463">
        <f t="shared" si="4"/>
        <v>0</v>
      </c>
      <c r="G58" s="462">
        <f t="shared" si="6"/>
        <v>60.125</v>
      </c>
      <c r="H58" s="463">
        <f t="shared" si="5"/>
        <v>0</v>
      </c>
      <c r="I58" s="460"/>
      <c r="J58" s="460"/>
      <c r="K58" s="553"/>
    </row>
    <row r="59" spans="1:11" x14ac:dyDescent="0.25">
      <c r="A59" s="452">
        <v>160</v>
      </c>
      <c r="B59" s="460" t="s">
        <v>2878</v>
      </c>
      <c r="C59" s="461"/>
      <c r="D59" s="460"/>
      <c r="E59" s="462">
        <v>80</v>
      </c>
      <c r="F59" s="463">
        <f t="shared" si="4"/>
        <v>0</v>
      </c>
      <c r="G59" s="462">
        <f t="shared" si="6"/>
        <v>87</v>
      </c>
      <c r="H59" s="463">
        <f t="shared" si="5"/>
        <v>0</v>
      </c>
      <c r="I59" s="460"/>
      <c r="J59" s="460"/>
      <c r="K59" s="553"/>
    </row>
    <row r="60" spans="1:11" x14ac:dyDescent="0.25">
      <c r="A60" s="452">
        <v>160</v>
      </c>
      <c r="B60" s="460" t="s">
        <v>2879</v>
      </c>
      <c r="C60" s="461"/>
      <c r="D60" s="460"/>
      <c r="E60" s="462">
        <v>80</v>
      </c>
      <c r="F60" s="463">
        <f t="shared" si="4"/>
        <v>0</v>
      </c>
      <c r="G60" s="462">
        <f t="shared" si="6"/>
        <v>87</v>
      </c>
      <c r="H60" s="463">
        <f t="shared" si="5"/>
        <v>0</v>
      </c>
      <c r="I60" s="460"/>
      <c r="J60" s="460"/>
      <c r="K60" s="553"/>
    </row>
    <row r="61" spans="1:11" x14ac:dyDescent="0.25">
      <c r="A61" s="452">
        <v>160</v>
      </c>
      <c r="B61" s="460" t="s">
        <v>2880</v>
      </c>
      <c r="C61" s="461"/>
      <c r="D61" s="460"/>
      <c r="E61" s="462">
        <v>40</v>
      </c>
      <c r="F61" s="463">
        <f t="shared" si="4"/>
        <v>0</v>
      </c>
      <c r="G61" s="462">
        <f t="shared" si="6"/>
        <v>44</v>
      </c>
      <c r="H61" s="463">
        <f t="shared" si="5"/>
        <v>0</v>
      </c>
      <c r="I61" s="460"/>
      <c r="J61" s="460"/>
      <c r="K61" s="553"/>
    </row>
    <row r="62" spans="1:11" x14ac:dyDescent="0.25">
      <c r="A62" s="452">
        <v>160</v>
      </c>
      <c r="B62" s="460" t="s">
        <v>2881</v>
      </c>
      <c r="C62" s="461"/>
      <c r="D62" s="460"/>
      <c r="E62" s="462">
        <v>40</v>
      </c>
      <c r="F62" s="463"/>
      <c r="G62" s="462">
        <f t="shared" si="6"/>
        <v>44</v>
      </c>
      <c r="H62" s="463">
        <f t="shared" si="5"/>
        <v>0</v>
      </c>
      <c r="I62" s="460"/>
      <c r="J62" s="460"/>
      <c r="K62" s="553"/>
    </row>
    <row r="63" spans="1:11" x14ac:dyDescent="0.25">
      <c r="A63" s="452">
        <v>160</v>
      </c>
      <c r="B63" s="460" t="s">
        <v>2882</v>
      </c>
      <c r="C63" s="461"/>
      <c r="D63" s="460"/>
      <c r="E63" s="462">
        <v>95</v>
      </c>
      <c r="F63" s="463"/>
      <c r="G63" s="462">
        <f t="shared" si="6"/>
        <v>103.125</v>
      </c>
      <c r="H63" s="463">
        <f t="shared" si="5"/>
        <v>0</v>
      </c>
      <c r="I63" s="460"/>
      <c r="J63" s="460"/>
      <c r="K63" s="553"/>
    </row>
    <row r="64" spans="1:11" x14ac:dyDescent="0.25">
      <c r="A64" s="452">
        <v>160</v>
      </c>
      <c r="B64" s="460" t="s">
        <v>2883</v>
      </c>
      <c r="C64" s="461"/>
      <c r="D64" s="460"/>
      <c r="E64" s="462">
        <v>95</v>
      </c>
      <c r="F64" s="463"/>
      <c r="G64" s="462">
        <f t="shared" si="6"/>
        <v>103.125</v>
      </c>
      <c r="H64" s="463">
        <f t="shared" si="5"/>
        <v>0</v>
      </c>
      <c r="I64" s="460"/>
      <c r="J64" s="460"/>
      <c r="K64" s="553"/>
    </row>
    <row r="65" spans="1:11" x14ac:dyDescent="0.25">
      <c r="A65" s="452"/>
      <c r="B65" s="466" t="s">
        <v>2884</v>
      </c>
      <c r="C65" s="467"/>
      <c r="D65" s="467"/>
      <c r="E65" s="468"/>
      <c r="F65" s="469">
        <f>SUM(F5:F64)</f>
        <v>1345308.26</v>
      </c>
      <c r="G65" s="470"/>
      <c r="H65" s="471">
        <f>SUM(H9:H64)</f>
        <v>1627089.5160000001</v>
      </c>
      <c r="I65" s="460"/>
      <c r="J65" s="620">
        <f>+H65</f>
        <v>1627089.5160000001</v>
      </c>
      <c r="K65" s="553">
        <f>+H65-F65</f>
        <v>281781.25600000005</v>
      </c>
    </row>
    <row r="66" spans="1:11" x14ac:dyDescent="0.25">
      <c r="A66" s="452"/>
      <c r="B66" s="460"/>
      <c r="C66" s="461"/>
      <c r="D66" s="460"/>
      <c r="E66" s="462"/>
      <c r="F66" s="463"/>
      <c r="G66" s="462"/>
      <c r="H66" s="464"/>
      <c r="I66" s="460"/>
      <c r="J66" s="620"/>
      <c r="K66" s="553"/>
    </row>
    <row r="67" spans="1:11" x14ac:dyDescent="0.25">
      <c r="A67" s="452"/>
      <c r="B67" s="472" t="s">
        <v>2526</v>
      </c>
      <c r="C67" s="461"/>
      <c r="D67" s="460"/>
      <c r="E67" s="462"/>
      <c r="F67" s="463"/>
      <c r="G67" s="462"/>
      <c r="H67" s="464"/>
      <c r="I67" s="460"/>
      <c r="J67" s="620"/>
      <c r="K67" s="553"/>
    </row>
    <row r="68" spans="1:11" x14ac:dyDescent="0.25">
      <c r="A68" s="452">
        <v>80</v>
      </c>
      <c r="B68" s="460" t="s">
        <v>2885</v>
      </c>
      <c r="C68" s="461"/>
      <c r="D68" s="460"/>
      <c r="E68" s="462">
        <v>2</v>
      </c>
      <c r="F68" s="463">
        <f>D68*E68*12*4.33</f>
        <v>0</v>
      </c>
      <c r="G68" s="462">
        <f t="shared" ref="G68:G77" si="7">+E68*$J$5+1</f>
        <v>3.15</v>
      </c>
      <c r="H68" s="463">
        <f>+G68*D68*12</f>
        <v>0</v>
      </c>
      <c r="I68" s="460"/>
      <c r="J68" s="620"/>
      <c r="K68" s="553"/>
    </row>
    <row r="69" spans="1:11" x14ac:dyDescent="0.25">
      <c r="A69" s="452">
        <v>80</v>
      </c>
      <c r="B69" s="460" t="s">
        <v>2886</v>
      </c>
      <c r="C69" s="461"/>
      <c r="D69" s="460"/>
      <c r="E69" s="462">
        <v>2</v>
      </c>
      <c r="F69" s="463"/>
      <c r="G69" s="462">
        <f t="shared" si="7"/>
        <v>3.15</v>
      </c>
      <c r="H69" s="463"/>
      <c r="I69" s="460"/>
      <c r="J69" s="620"/>
      <c r="K69" s="553"/>
    </row>
    <row r="70" spans="1:11" x14ac:dyDescent="0.25">
      <c r="A70" s="452">
        <v>80</v>
      </c>
      <c r="B70" s="460" t="s">
        <v>2887</v>
      </c>
      <c r="C70" s="461"/>
      <c r="D70" s="460"/>
      <c r="E70" s="462">
        <v>2</v>
      </c>
      <c r="F70" s="463"/>
      <c r="G70" s="462">
        <f t="shared" si="7"/>
        <v>3.15</v>
      </c>
      <c r="H70" s="463">
        <f>+G70*D70*12</f>
        <v>0</v>
      </c>
      <c r="I70" s="460"/>
      <c r="J70" s="620"/>
      <c r="K70" s="553"/>
    </row>
    <row r="71" spans="1:11" x14ac:dyDescent="0.25">
      <c r="A71" s="452">
        <v>80</v>
      </c>
      <c r="B71" s="460" t="s">
        <v>2839</v>
      </c>
      <c r="C71" s="461"/>
      <c r="D71" s="460"/>
      <c r="E71" s="462">
        <v>0.5</v>
      </c>
      <c r="F71" s="463"/>
      <c r="G71" s="462">
        <f t="shared" si="7"/>
        <v>1.5375000000000001</v>
      </c>
      <c r="H71" s="463"/>
      <c r="I71" s="460"/>
      <c r="J71" s="620"/>
      <c r="K71" s="553"/>
    </row>
    <row r="72" spans="1:11" x14ac:dyDescent="0.25">
      <c r="A72" s="452">
        <v>90</v>
      </c>
      <c r="B72" s="460" t="s">
        <v>2888</v>
      </c>
      <c r="C72" s="461"/>
      <c r="D72" s="460"/>
      <c r="E72" s="462">
        <v>0.05</v>
      </c>
      <c r="F72" s="463"/>
      <c r="G72" s="462">
        <f t="shared" si="7"/>
        <v>1.05375</v>
      </c>
      <c r="H72" s="463">
        <f t="shared" ref="H72:H83" si="8">+G72*D72*12</f>
        <v>0</v>
      </c>
      <c r="I72" s="460"/>
      <c r="J72" s="620"/>
      <c r="K72" s="553"/>
    </row>
    <row r="73" spans="1:11" x14ac:dyDescent="0.25">
      <c r="A73" s="452">
        <v>90</v>
      </c>
      <c r="B73" s="460" t="s">
        <v>2841</v>
      </c>
      <c r="C73" s="461" t="s">
        <v>2842</v>
      </c>
      <c r="D73" s="460"/>
      <c r="E73" s="462">
        <v>0.4</v>
      </c>
      <c r="F73" s="463"/>
      <c r="G73" s="462">
        <f t="shared" si="7"/>
        <v>1.43</v>
      </c>
      <c r="H73" s="463">
        <f t="shared" si="8"/>
        <v>0</v>
      </c>
      <c r="I73" s="460"/>
      <c r="J73" s="620"/>
      <c r="K73" s="553"/>
    </row>
    <row r="74" spans="1:11" x14ac:dyDescent="0.25">
      <c r="A74" s="452">
        <v>90</v>
      </c>
      <c r="B74" s="460" t="s">
        <v>2843</v>
      </c>
      <c r="C74" s="461" t="s">
        <v>2844</v>
      </c>
      <c r="D74" s="460"/>
      <c r="E74" s="462">
        <v>0.4</v>
      </c>
      <c r="F74" s="463"/>
      <c r="G74" s="462">
        <f t="shared" si="7"/>
        <v>1.43</v>
      </c>
      <c r="H74" s="463">
        <f t="shared" si="8"/>
        <v>0</v>
      </c>
      <c r="I74" s="460"/>
      <c r="J74" s="620"/>
      <c r="K74" s="553"/>
    </row>
    <row r="75" spans="1:11" x14ac:dyDescent="0.25">
      <c r="A75" s="452">
        <v>205</v>
      </c>
      <c r="B75" s="460" t="s">
        <v>2889</v>
      </c>
      <c r="C75" s="461" t="s">
        <v>2890</v>
      </c>
      <c r="D75" s="460"/>
      <c r="E75" s="462">
        <v>2.95</v>
      </c>
      <c r="F75" s="463"/>
      <c r="G75" s="462">
        <f t="shared" si="7"/>
        <v>4.1712500000000006</v>
      </c>
      <c r="H75" s="463">
        <f t="shared" si="8"/>
        <v>0</v>
      </c>
      <c r="I75" s="460"/>
      <c r="J75" s="620"/>
      <c r="K75" s="553"/>
    </row>
    <row r="76" spans="1:11" x14ac:dyDescent="0.25">
      <c r="A76" s="452">
        <v>205</v>
      </c>
      <c r="B76" s="460" t="s">
        <v>2891</v>
      </c>
      <c r="C76" s="461" t="s">
        <v>2890</v>
      </c>
      <c r="D76" s="460"/>
      <c r="E76" s="462">
        <v>2.25</v>
      </c>
      <c r="F76" s="463"/>
      <c r="G76" s="462">
        <f t="shared" si="7"/>
        <v>3.4187499999999997</v>
      </c>
      <c r="H76" s="463">
        <f t="shared" si="8"/>
        <v>0</v>
      </c>
      <c r="I76" s="460"/>
      <c r="J76" s="620"/>
      <c r="K76" s="553"/>
    </row>
    <row r="77" spans="1:11" x14ac:dyDescent="0.25">
      <c r="A77" s="452">
        <v>207</v>
      </c>
      <c r="B77" s="460" t="s">
        <v>2892</v>
      </c>
      <c r="C77" s="461"/>
      <c r="D77" s="460"/>
      <c r="E77" s="462">
        <v>5</v>
      </c>
      <c r="F77" s="463">
        <f>D77*E77</f>
        <v>0</v>
      </c>
      <c r="G77" s="462">
        <f t="shared" si="7"/>
        <v>6.375</v>
      </c>
      <c r="H77" s="463">
        <f t="shared" si="8"/>
        <v>0</v>
      </c>
      <c r="I77" s="460"/>
      <c r="J77" s="620"/>
      <c r="K77" s="553"/>
    </row>
    <row r="78" spans="1:11" x14ac:dyDescent="0.25">
      <c r="A78" s="452">
        <v>207</v>
      </c>
      <c r="B78" s="460" t="s">
        <v>2893</v>
      </c>
      <c r="C78" s="461" t="s">
        <v>2894</v>
      </c>
      <c r="D78" s="460">
        <v>17</v>
      </c>
      <c r="E78" s="462">
        <v>13</v>
      </c>
      <c r="F78" s="463">
        <f>D78*E78</f>
        <v>221</v>
      </c>
      <c r="G78" s="462">
        <v>15</v>
      </c>
      <c r="H78" s="463">
        <f t="shared" si="8"/>
        <v>3060</v>
      </c>
      <c r="I78" s="460"/>
      <c r="J78" s="620"/>
      <c r="K78" s="553"/>
    </row>
    <row r="79" spans="1:11" x14ac:dyDescent="0.25">
      <c r="A79" s="452">
        <v>207</v>
      </c>
      <c r="B79" s="460" t="s">
        <v>2895</v>
      </c>
      <c r="C79" s="461" t="s">
        <v>2894</v>
      </c>
      <c r="D79" s="460"/>
      <c r="E79" s="462">
        <v>13</v>
      </c>
      <c r="F79" s="463">
        <f>D79*E79</f>
        <v>0</v>
      </c>
      <c r="G79" s="462">
        <f t="shared" ref="G79:G82" si="9">+E79*$J$5+1</f>
        <v>14.975</v>
      </c>
      <c r="H79" s="463">
        <f t="shared" si="8"/>
        <v>0</v>
      </c>
      <c r="I79" s="460"/>
      <c r="J79" s="620"/>
      <c r="K79" s="553"/>
    </row>
    <row r="80" spans="1:11" x14ac:dyDescent="0.25">
      <c r="A80" s="452">
        <v>210</v>
      </c>
      <c r="B80" s="460" t="s">
        <v>2896</v>
      </c>
      <c r="C80" s="461"/>
      <c r="D80" s="460"/>
      <c r="E80" s="462">
        <v>20</v>
      </c>
      <c r="F80" s="463"/>
      <c r="G80" s="462">
        <f t="shared" si="9"/>
        <v>22.5</v>
      </c>
      <c r="H80" s="463">
        <f t="shared" si="8"/>
        <v>0</v>
      </c>
      <c r="I80" s="460"/>
      <c r="J80" s="620"/>
      <c r="K80" s="553"/>
    </row>
    <row r="81" spans="1:11" x14ac:dyDescent="0.25">
      <c r="A81" s="452">
        <v>210</v>
      </c>
      <c r="B81" s="460" t="s">
        <v>2897</v>
      </c>
      <c r="C81" s="461"/>
      <c r="D81" s="460"/>
      <c r="E81" s="462">
        <v>20</v>
      </c>
      <c r="F81" s="463"/>
      <c r="G81" s="462">
        <f t="shared" si="9"/>
        <v>22.5</v>
      </c>
      <c r="H81" s="463">
        <f t="shared" si="8"/>
        <v>0</v>
      </c>
      <c r="I81" s="460"/>
      <c r="J81" s="620"/>
      <c r="K81" s="553"/>
    </row>
    <row r="82" spans="1:11" x14ac:dyDescent="0.25">
      <c r="A82" s="452">
        <v>210</v>
      </c>
      <c r="B82" s="460" t="s">
        <v>2898</v>
      </c>
      <c r="C82" s="461"/>
      <c r="D82" s="460"/>
      <c r="E82" s="462">
        <v>50</v>
      </c>
      <c r="F82" s="463"/>
      <c r="G82" s="462">
        <f t="shared" si="9"/>
        <v>54.75</v>
      </c>
      <c r="H82" s="463">
        <f t="shared" si="8"/>
        <v>0</v>
      </c>
      <c r="I82" s="460"/>
      <c r="J82" s="620"/>
      <c r="K82" s="553"/>
    </row>
    <row r="83" spans="1:11" x14ac:dyDescent="0.25">
      <c r="A83" s="487"/>
      <c r="B83" s="488"/>
      <c r="C83" s="489"/>
      <c r="D83" s="488"/>
      <c r="E83" s="490"/>
      <c r="F83" s="491"/>
      <c r="G83" s="490"/>
      <c r="H83" s="463">
        <f t="shared" si="8"/>
        <v>0</v>
      </c>
      <c r="I83" s="460"/>
      <c r="J83" s="620"/>
      <c r="K83" s="553"/>
    </row>
    <row r="84" spans="1:11" x14ac:dyDescent="0.25">
      <c r="A84" s="452">
        <v>230</v>
      </c>
      <c r="B84" s="460" t="s">
        <v>2899</v>
      </c>
      <c r="C84" s="461"/>
      <c r="D84" s="460"/>
      <c r="E84" s="462">
        <v>39.04</v>
      </c>
      <c r="F84" s="463"/>
      <c r="G84" s="462"/>
      <c r="H84" s="464"/>
      <c r="I84" s="460"/>
      <c r="J84" s="620"/>
      <c r="K84" s="553"/>
    </row>
    <row r="85" spans="1:11" x14ac:dyDescent="0.25">
      <c r="A85" s="452">
        <v>230</v>
      </c>
      <c r="B85" s="460" t="s">
        <v>2900</v>
      </c>
      <c r="C85" s="461"/>
      <c r="D85" s="460"/>
      <c r="E85" s="462">
        <v>73</v>
      </c>
      <c r="F85" s="463"/>
      <c r="G85" s="462"/>
      <c r="H85" s="464"/>
      <c r="I85" s="460"/>
      <c r="J85" s="620"/>
      <c r="K85" s="553"/>
    </row>
    <row r="86" spans="1:11" x14ac:dyDescent="0.25">
      <c r="A86" s="460">
        <v>230</v>
      </c>
      <c r="B86" s="460" t="s">
        <v>2901</v>
      </c>
      <c r="C86" s="461"/>
      <c r="D86" s="460"/>
      <c r="E86" s="462">
        <v>39.04</v>
      </c>
      <c r="F86" s="463"/>
      <c r="G86" s="462"/>
      <c r="H86" s="464"/>
      <c r="I86" s="460"/>
      <c r="J86" s="620"/>
      <c r="K86" s="553"/>
    </row>
    <row r="87" spans="1:11" x14ac:dyDescent="0.25">
      <c r="A87" s="452">
        <v>230</v>
      </c>
      <c r="B87" s="460" t="s">
        <v>2902</v>
      </c>
      <c r="C87" s="461"/>
      <c r="D87" s="460"/>
      <c r="E87" s="462">
        <v>64.8</v>
      </c>
      <c r="F87" s="463"/>
      <c r="G87" s="462"/>
      <c r="H87" s="464"/>
      <c r="I87" s="460"/>
      <c r="J87" s="620"/>
      <c r="K87" s="553"/>
    </row>
    <row r="88" spans="1:11" x14ac:dyDescent="0.25">
      <c r="A88" s="452">
        <v>230</v>
      </c>
      <c r="B88" s="460" t="s">
        <v>2903</v>
      </c>
      <c r="C88" s="461"/>
      <c r="D88" s="460"/>
      <c r="E88" s="462">
        <v>23</v>
      </c>
      <c r="F88" s="463"/>
      <c r="G88" s="462"/>
      <c r="H88" s="464"/>
      <c r="I88" s="460"/>
      <c r="J88" s="620"/>
      <c r="K88" s="553"/>
    </row>
    <row r="89" spans="1:11" x14ac:dyDescent="0.25">
      <c r="A89" s="452">
        <v>230</v>
      </c>
      <c r="B89" s="460" t="s">
        <v>2904</v>
      </c>
      <c r="C89" s="461"/>
      <c r="D89" s="460"/>
      <c r="E89" s="462">
        <v>49</v>
      </c>
      <c r="F89" s="463"/>
      <c r="G89" s="462"/>
      <c r="H89" s="464"/>
      <c r="I89" s="460"/>
      <c r="J89" s="620"/>
      <c r="K89" s="553"/>
    </row>
    <row r="90" spans="1:11" x14ac:dyDescent="0.25">
      <c r="A90" s="452">
        <v>230</v>
      </c>
      <c r="B90" s="460" t="s">
        <v>2905</v>
      </c>
      <c r="C90" s="461"/>
      <c r="D90" s="460"/>
      <c r="E90" s="462">
        <v>27.5</v>
      </c>
      <c r="F90" s="463"/>
      <c r="G90" s="462"/>
      <c r="H90" s="464"/>
      <c r="I90" s="460"/>
      <c r="J90" s="620"/>
      <c r="K90" s="553"/>
    </row>
    <row r="91" spans="1:11" x14ac:dyDescent="0.25">
      <c r="A91" s="452">
        <v>230</v>
      </c>
      <c r="B91" s="460" t="s">
        <v>2906</v>
      </c>
      <c r="C91" s="461"/>
      <c r="D91" s="460"/>
      <c r="E91" s="462">
        <v>39.04</v>
      </c>
      <c r="F91" s="463"/>
      <c r="G91" s="462"/>
      <c r="H91" s="464"/>
      <c r="I91" s="460"/>
      <c r="J91" s="620"/>
      <c r="K91" s="553"/>
    </row>
    <row r="92" spans="1:11" x14ac:dyDescent="0.25">
      <c r="A92" s="452">
        <v>230</v>
      </c>
      <c r="B92" s="460" t="s">
        <v>2907</v>
      </c>
      <c r="C92" s="461"/>
      <c r="D92" s="460"/>
      <c r="E92" s="462">
        <v>39.04</v>
      </c>
      <c r="F92" s="463"/>
      <c r="G92" s="462"/>
      <c r="H92" s="464"/>
      <c r="I92" s="460"/>
      <c r="J92" s="620"/>
      <c r="K92" s="553"/>
    </row>
    <row r="93" spans="1:11" x14ac:dyDescent="0.25">
      <c r="A93" s="452">
        <v>230</v>
      </c>
      <c r="B93" s="460" t="s">
        <v>2908</v>
      </c>
      <c r="C93" s="461"/>
      <c r="D93" s="460"/>
      <c r="E93" s="462">
        <v>75</v>
      </c>
      <c r="F93" s="463"/>
      <c r="G93" s="462"/>
      <c r="H93" s="464"/>
      <c r="I93" s="460"/>
      <c r="J93" s="620"/>
      <c r="K93" s="553"/>
    </row>
    <row r="94" spans="1:11" x14ac:dyDescent="0.25">
      <c r="A94" s="452">
        <v>230</v>
      </c>
      <c r="B94" s="460" t="s">
        <v>2909</v>
      </c>
      <c r="C94" s="461"/>
      <c r="D94" s="460"/>
      <c r="E94" s="462">
        <v>276</v>
      </c>
      <c r="F94" s="463"/>
      <c r="G94" s="462"/>
      <c r="H94" s="464"/>
      <c r="I94" s="460"/>
      <c r="J94" s="620"/>
      <c r="K94" s="553"/>
    </row>
    <row r="95" spans="1:11" x14ac:dyDescent="0.25">
      <c r="A95" s="452">
        <v>230</v>
      </c>
      <c r="B95" s="460" t="s">
        <v>2910</v>
      </c>
      <c r="C95" s="461"/>
      <c r="D95" s="460"/>
      <c r="E95" s="462"/>
      <c r="F95" s="463"/>
      <c r="G95" s="462"/>
      <c r="H95" s="464"/>
      <c r="I95" s="460"/>
      <c r="J95" s="620"/>
      <c r="K95" s="553"/>
    </row>
    <row r="96" spans="1:11" x14ac:dyDescent="0.25">
      <c r="A96" s="452"/>
      <c r="B96" s="460"/>
      <c r="C96" s="461"/>
      <c r="D96" s="460"/>
      <c r="E96" s="462"/>
      <c r="F96" s="463"/>
      <c r="G96" s="462"/>
      <c r="H96" s="464"/>
      <c r="I96" s="460"/>
      <c r="J96" s="620"/>
      <c r="K96" s="553"/>
    </row>
    <row r="97" spans="1:11" x14ac:dyDescent="0.25">
      <c r="A97" s="452">
        <v>240</v>
      </c>
      <c r="B97" s="460" t="s">
        <v>2911</v>
      </c>
      <c r="C97" s="461"/>
      <c r="D97" s="460">
        <v>120</v>
      </c>
      <c r="E97" s="462">
        <v>5</v>
      </c>
      <c r="F97" s="463">
        <f t="shared" ref="F97:F99" si="10">D97*E97*12*4.33</f>
        <v>31176</v>
      </c>
      <c r="G97" s="462">
        <v>6.4</v>
      </c>
      <c r="H97" s="463">
        <f t="shared" ref="H97:H100" si="11">D97*G97*12*4.33</f>
        <v>39905.279999999999</v>
      </c>
      <c r="I97" s="460"/>
      <c r="J97" s="620"/>
      <c r="K97" s="553"/>
    </row>
    <row r="98" spans="1:11" x14ac:dyDescent="0.25">
      <c r="A98" s="452">
        <v>240</v>
      </c>
      <c r="B98" s="460" t="s">
        <v>2912</v>
      </c>
      <c r="C98" s="461"/>
      <c r="D98" s="460"/>
      <c r="E98" s="462">
        <v>5</v>
      </c>
      <c r="F98" s="463">
        <f t="shared" si="10"/>
        <v>0</v>
      </c>
      <c r="G98" s="462">
        <v>6.4</v>
      </c>
      <c r="H98" s="463">
        <f t="shared" si="11"/>
        <v>0</v>
      </c>
      <c r="I98" s="460"/>
      <c r="J98" s="620"/>
      <c r="K98" s="553"/>
    </row>
    <row r="99" spans="1:11" x14ac:dyDescent="0.25">
      <c r="A99" s="452">
        <v>240</v>
      </c>
      <c r="B99" s="460" t="s">
        <v>2913</v>
      </c>
      <c r="C99" s="461"/>
      <c r="D99" s="460"/>
      <c r="E99" s="462">
        <v>13.75</v>
      </c>
      <c r="F99" s="463">
        <f t="shared" si="10"/>
        <v>0</v>
      </c>
      <c r="G99" s="462">
        <v>15.75</v>
      </c>
      <c r="H99" s="463">
        <f t="shared" si="11"/>
        <v>0</v>
      </c>
      <c r="I99" s="460"/>
      <c r="J99" s="620"/>
      <c r="K99" s="553"/>
    </row>
    <row r="100" spans="1:11" x14ac:dyDescent="0.25">
      <c r="A100" s="452">
        <v>240</v>
      </c>
      <c r="B100" s="460" t="s">
        <v>2914</v>
      </c>
      <c r="C100" s="461"/>
      <c r="D100" s="460">
        <v>262</v>
      </c>
      <c r="E100" s="462">
        <v>7</v>
      </c>
      <c r="F100" s="463">
        <f>D100*E100*12*4.333</f>
        <v>95360.664000000004</v>
      </c>
      <c r="G100" s="462">
        <v>8.5</v>
      </c>
      <c r="H100" s="463">
        <f t="shared" si="11"/>
        <v>115714.92</v>
      </c>
      <c r="I100" s="460"/>
      <c r="J100" s="620"/>
      <c r="K100" s="553"/>
    </row>
    <row r="101" spans="1:11" x14ac:dyDescent="0.25">
      <c r="A101" s="452">
        <v>240</v>
      </c>
      <c r="B101" s="460" t="s">
        <v>2915</v>
      </c>
      <c r="C101" s="461"/>
      <c r="D101" s="460"/>
      <c r="E101" s="462">
        <v>7</v>
      </c>
      <c r="F101" s="463">
        <f>D101*E101*12*2.17</f>
        <v>0</v>
      </c>
      <c r="G101" s="462">
        <v>8.5</v>
      </c>
      <c r="H101" s="463">
        <f>D101*G101*12*2.17</f>
        <v>0</v>
      </c>
      <c r="I101" s="460"/>
      <c r="J101" s="620"/>
      <c r="K101" s="553"/>
    </row>
    <row r="102" spans="1:11" x14ac:dyDescent="0.25">
      <c r="A102" s="452">
        <v>240</v>
      </c>
      <c r="B102" s="460" t="s">
        <v>2916</v>
      </c>
      <c r="C102" s="461"/>
      <c r="D102" s="460"/>
      <c r="E102" s="462">
        <v>15.75</v>
      </c>
      <c r="F102" s="463"/>
      <c r="G102" s="462">
        <v>18</v>
      </c>
      <c r="H102" s="463">
        <f>+G102*D102*12</f>
        <v>0</v>
      </c>
      <c r="I102" s="460"/>
      <c r="J102" s="620"/>
      <c r="K102" s="553"/>
    </row>
    <row r="103" spans="1:11" x14ac:dyDescent="0.25">
      <c r="A103" s="452">
        <v>240</v>
      </c>
      <c r="B103" s="460" t="s">
        <v>2917</v>
      </c>
      <c r="C103" s="461"/>
      <c r="D103" s="460">
        <v>35</v>
      </c>
      <c r="E103" s="462">
        <v>17</v>
      </c>
      <c r="F103" s="463">
        <f>D103*E103*12*4.33</f>
        <v>30916.2</v>
      </c>
      <c r="G103" s="462">
        <v>19.25</v>
      </c>
      <c r="H103" s="463">
        <f>D103*G103*12*4.33</f>
        <v>35008.050000000003</v>
      </c>
      <c r="I103" s="460"/>
      <c r="J103" s="620"/>
      <c r="K103" s="553"/>
    </row>
    <row r="104" spans="1:11" x14ac:dyDescent="0.25">
      <c r="A104" s="452">
        <v>240</v>
      </c>
      <c r="B104" s="460" t="s">
        <v>2918</v>
      </c>
      <c r="C104" s="461"/>
      <c r="D104" s="460"/>
      <c r="E104" s="462">
        <v>17</v>
      </c>
      <c r="F104" s="463">
        <f>D104*E104*12*4.33</f>
        <v>0</v>
      </c>
      <c r="G104" s="462">
        <v>19.25</v>
      </c>
      <c r="H104" s="463">
        <f>D104*G104*12*4.33</f>
        <v>0</v>
      </c>
      <c r="I104" s="460"/>
      <c r="J104" s="620"/>
      <c r="K104" s="553"/>
    </row>
    <row r="105" spans="1:11" x14ac:dyDescent="0.25">
      <c r="A105" s="452">
        <v>240</v>
      </c>
      <c r="B105" s="460" t="s">
        <v>2918</v>
      </c>
      <c r="C105" s="461" t="s">
        <v>2919</v>
      </c>
      <c r="D105" s="460">
        <v>13</v>
      </c>
      <c r="E105" s="462">
        <v>17</v>
      </c>
      <c r="F105" s="463">
        <f>D105*E105*12*2.17</f>
        <v>5754.84</v>
      </c>
      <c r="G105" s="462">
        <v>19.25</v>
      </c>
      <c r="H105" s="463">
        <f>D105*G105*12*2.17</f>
        <v>6516.51</v>
      </c>
      <c r="I105" s="460"/>
      <c r="J105" s="620"/>
      <c r="K105" s="553"/>
    </row>
    <row r="106" spans="1:11" x14ac:dyDescent="0.25">
      <c r="A106" s="452">
        <v>240</v>
      </c>
      <c r="B106" s="460" t="s">
        <v>2920</v>
      </c>
      <c r="C106" s="461"/>
      <c r="D106" s="460"/>
      <c r="E106" s="462">
        <v>25.75</v>
      </c>
      <c r="F106" s="463"/>
      <c r="G106" s="462">
        <v>25.75</v>
      </c>
      <c r="H106" s="463">
        <f>+G106*D106*12</f>
        <v>0</v>
      </c>
      <c r="I106" s="460"/>
      <c r="J106" s="620"/>
      <c r="K106" s="553"/>
    </row>
    <row r="107" spans="1:11" x14ac:dyDescent="0.25">
      <c r="A107" s="452"/>
      <c r="B107" s="460"/>
      <c r="C107" s="461"/>
      <c r="D107" s="460"/>
      <c r="E107" s="462"/>
      <c r="F107" s="463"/>
      <c r="G107" s="462"/>
      <c r="H107" s="463"/>
      <c r="I107" s="460"/>
      <c r="J107" s="620"/>
      <c r="K107" s="553"/>
    </row>
    <row r="108" spans="1:11" x14ac:dyDescent="0.25">
      <c r="A108" s="452">
        <v>240</v>
      </c>
      <c r="B108" s="460" t="s">
        <v>2921</v>
      </c>
      <c r="C108" s="461" t="s">
        <v>2922</v>
      </c>
      <c r="D108" s="460">
        <v>5</v>
      </c>
      <c r="E108" s="462">
        <v>15</v>
      </c>
      <c r="F108" s="463">
        <f>D108*E108*12*4.33</f>
        <v>3897</v>
      </c>
      <c r="G108" s="462">
        <v>17</v>
      </c>
      <c r="H108" s="463">
        <f>D108*G108*12*4.33</f>
        <v>4416.6000000000004</v>
      </c>
      <c r="I108" s="460"/>
      <c r="J108" s="620"/>
      <c r="K108" s="553"/>
    </row>
    <row r="109" spans="1:11" x14ac:dyDescent="0.25">
      <c r="A109" s="452">
        <v>240</v>
      </c>
      <c r="B109" s="460" t="s">
        <v>2923</v>
      </c>
      <c r="C109" s="461" t="s">
        <v>2924</v>
      </c>
      <c r="D109" s="460"/>
      <c r="E109" s="462">
        <v>25.25</v>
      </c>
      <c r="F109" s="463">
        <f>D109*E109*12*4.33</f>
        <v>0</v>
      </c>
      <c r="G109" s="462">
        <v>28</v>
      </c>
      <c r="H109" s="463">
        <f>D109*G109*12*4.33</f>
        <v>0</v>
      </c>
      <c r="I109" s="460"/>
      <c r="J109" s="620"/>
      <c r="K109" s="553"/>
    </row>
    <row r="110" spans="1:11" x14ac:dyDescent="0.25">
      <c r="A110" s="452">
        <v>240</v>
      </c>
      <c r="B110" s="460" t="s">
        <v>2923</v>
      </c>
      <c r="C110" s="461" t="s">
        <v>2925</v>
      </c>
      <c r="D110" s="460"/>
      <c r="E110" s="462">
        <v>35</v>
      </c>
      <c r="F110" s="463">
        <f>D110*E110*12</f>
        <v>0</v>
      </c>
      <c r="G110" s="462">
        <v>38.75</v>
      </c>
      <c r="H110" s="463">
        <f>D110*G110*12</f>
        <v>0</v>
      </c>
      <c r="I110" s="460"/>
      <c r="J110" s="620"/>
      <c r="K110" s="553"/>
    </row>
    <row r="111" spans="1:11" x14ac:dyDescent="0.25">
      <c r="A111" s="452">
        <v>240</v>
      </c>
      <c r="B111" s="460" t="s">
        <v>2926</v>
      </c>
      <c r="C111" s="461"/>
      <c r="D111" s="460"/>
      <c r="E111" s="462">
        <v>0.85</v>
      </c>
      <c r="F111" s="463"/>
      <c r="G111" s="462">
        <v>1.9</v>
      </c>
      <c r="H111" s="463"/>
      <c r="I111" s="460"/>
      <c r="J111" s="620"/>
      <c r="K111" s="553"/>
    </row>
    <row r="112" spans="1:11" x14ac:dyDescent="0.25">
      <c r="A112" s="452"/>
      <c r="B112" s="460"/>
      <c r="C112" s="461"/>
      <c r="D112" s="460"/>
      <c r="E112" s="462"/>
      <c r="F112" s="463"/>
      <c r="G112" s="462"/>
      <c r="H112" s="463"/>
      <c r="I112" s="460"/>
      <c r="J112" s="620"/>
      <c r="K112" s="553"/>
    </row>
    <row r="113" spans="1:11" x14ac:dyDescent="0.25">
      <c r="A113" s="452">
        <v>240</v>
      </c>
      <c r="B113" s="460" t="s">
        <v>2927</v>
      </c>
      <c r="C113" s="461" t="s">
        <v>2922</v>
      </c>
      <c r="D113" s="460">
        <v>108</v>
      </c>
      <c r="E113" s="462">
        <v>19</v>
      </c>
      <c r="F113" s="463">
        <f>D113*E113*12*4.33</f>
        <v>106621.92</v>
      </c>
      <c r="G113" s="462">
        <v>21.25</v>
      </c>
      <c r="H113" s="463">
        <f>D113*G113*12*4.33</f>
        <v>119248.2</v>
      </c>
      <c r="I113" s="460"/>
      <c r="J113" s="620"/>
      <c r="K113" s="553"/>
    </row>
    <row r="114" spans="1:11" x14ac:dyDescent="0.25">
      <c r="A114" s="452">
        <v>240</v>
      </c>
      <c r="B114" s="460" t="s">
        <v>2927</v>
      </c>
      <c r="C114" s="461" t="s">
        <v>2919</v>
      </c>
      <c r="D114" s="460">
        <v>15</v>
      </c>
      <c r="E114" s="462">
        <v>19</v>
      </c>
      <c r="F114" s="463">
        <f>D114*E114*12*2.17</f>
        <v>7421.4</v>
      </c>
      <c r="G114" s="462">
        <v>21.25</v>
      </c>
      <c r="H114" s="463">
        <f>D114*G114*12*2.17</f>
        <v>8300.25</v>
      </c>
      <c r="I114" s="460"/>
      <c r="J114" s="620"/>
      <c r="K114" s="553"/>
    </row>
    <row r="115" spans="1:11" x14ac:dyDescent="0.25">
      <c r="A115" s="452">
        <v>240</v>
      </c>
      <c r="B115" s="460" t="s">
        <v>2927</v>
      </c>
      <c r="C115" s="461" t="s">
        <v>2924</v>
      </c>
      <c r="D115" s="460"/>
      <c r="E115" s="462">
        <v>29.25</v>
      </c>
      <c r="F115" s="463">
        <f>D115*E115</f>
        <v>0</v>
      </c>
      <c r="G115" s="462">
        <v>32.5</v>
      </c>
      <c r="H115" s="463">
        <f>D115*G115*12*4.33</f>
        <v>0</v>
      </c>
      <c r="I115" s="460"/>
      <c r="J115" s="620"/>
      <c r="K115" s="553"/>
    </row>
    <row r="116" spans="1:11" x14ac:dyDescent="0.25">
      <c r="A116" s="452">
        <v>240</v>
      </c>
      <c r="B116" s="460" t="s">
        <v>2927</v>
      </c>
      <c r="C116" s="461" t="s">
        <v>2925</v>
      </c>
      <c r="D116" s="460">
        <v>7</v>
      </c>
      <c r="E116" s="462">
        <v>39</v>
      </c>
      <c r="F116" s="463">
        <f>D116*E116</f>
        <v>273</v>
      </c>
      <c r="G116" s="462">
        <v>43</v>
      </c>
      <c r="H116" s="463">
        <f>+D116*G116</f>
        <v>301</v>
      </c>
      <c r="I116" s="460"/>
      <c r="J116" s="620"/>
      <c r="K116" s="553"/>
    </row>
    <row r="117" spans="1:11" x14ac:dyDescent="0.25">
      <c r="A117" s="452">
        <v>240</v>
      </c>
      <c r="B117" s="460" t="s">
        <v>2926</v>
      </c>
      <c r="C117" s="461" t="s">
        <v>2928</v>
      </c>
      <c r="D117" s="460">
        <v>282</v>
      </c>
      <c r="E117" s="462">
        <v>1.25</v>
      </c>
      <c r="F117" s="463">
        <f>D117*E117</f>
        <v>352.5</v>
      </c>
      <c r="G117" s="462">
        <v>2.35</v>
      </c>
      <c r="H117" s="463">
        <f>D117*G117*12</f>
        <v>7952.4000000000005</v>
      </c>
      <c r="I117" s="460"/>
      <c r="J117" s="620"/>
      <c r="K117" s="553"/>
    </row>
    <row r="118" spans="1:11" x14ac:dyDescent="0.25">
      <c r="A118" s="452"/>
      <c r="B118" s="460"/>
      <c r="C118" s="461"/>
      <c r="D118" s="460"/>
      <c r="E118" s="462"/>
      <c r="F118" s="463"/>
      <c r="G118" s="462"/>
      <c r="H118" s="463"/>
      <c r="I118" s="460"/>
      <c r="J118" s="620"/>
      <c r="K118" s="553"/>
    </row>
    <row r="119" spans="1:11" x14ac:dyDescent="0.25">
      <c r="A119" s="452">
        <v>240</v>
      </c>
      <c r="B119" s="460" t="s">
        <v>2929</v>
      </c>
      <c r="C119" s="461" t="s">
        <v>2922</v>
      </c>
      <c r="D119" s="460">
        <v>91</v>
      </c>
      <c r="E119" s="462">
        <v>22</v>
      </c>
      <c r="F119" s="463">
        <f>D119*E119*12*4.33</f>
        <v>104023.92</v>
      </c>
      <c r="G119" s="462">
        <v>24</v>
      </c>
      <c r="H119" s="463">
        <f>D119*G119*12*4.33</f>
        <v>113480.64</v>
      </c>
      <c r="I119" s="460"/>
      <c r="J119" s="620"/>
      <c r="K119" s="553"/>
    </row>
    <row r="120" spans="1:11" x14ac:dyDescent="0.25">
      <c r="A120" s="452">
        <v>240</v>
      </c>
      <c r="B120" s="460" t="s">
        <v>2930</v>
      </c>
      <c r="C120" s="461" t="s">
        <v>2931</v>
      </c>
      <c r="D120" s="460"/>
      <c r="E120" s="462">
        <v>22</v>
      </c>
      <c r="F120" s="463">
        <f>D120*E120*12*8.66</f>
        <v>0</v>
      </c>
      <c r="G120" s="462">
        <v>24</v>
      </c>
      <c r="H120" s="463">
        <f>D120*G120*12*8.66</f>
        <v>0</v>
      </c>
      <c r="I120" s="460"/>
      <c r="J120" s="620"/>
      <c r="K120" s="553"/>
    </row>
    <row r="121" spans="1:11" x14ac:dyDescent="0.25">
      <c r="A121" s="452">
        <v>240</v>
      </c>
      <c r="B121" s="460" t="s">
        <v>2929</v>
      </c>
      <c r="C121" s="461" t="s">
        <v>2919</v>
      </c>
      <c r="D121" s="460">
        <v>7</v>
      </c>
      <c r="E121" s="462">
        <v>22</v>
      </c>
      <c r="F121" s="463">
        <f>D121*E121*12*2.17</f>
        <v>4010.16</v>
      </c>
      <c r="G121" s="462">
        <v>24</v>
      </c>
      <c r="H121" s="463">
        <f>D121*G121*12*2.17</f>
        <v>4374.72</v>
      </c>
      <c r="I121" s="460"/>
      <c r="J121" s="620"/>
      <c r="K121" s="553"/>
    </row>
    <row r="122" spans="1:11" x14ac:dyDescent="0.25">
      <c r="A122" s="452">
        <v>240</v>
      </c>
      <c r="B122" s="460" t="s">
        <v>2929</v>
      </c>
      <c r="C122" s="461" t="s">
        <v>2924</v>
      </c>
      <c r="D122" s="460"/>
      <c r="E122" s="462">
        <v>32.25</v>
      </c>
      <c r="F122" s="463">
        <f>D122*E122</f>
        <v>0</v>
      </c>
      <c r="G122" s="462">
        <v>35.700000000000003</v>
      </c>
      <c r="H122" s="463">
        <f>D122*G122*12*4.33</f>
        <v>0</v>
      </c>
      <c r="I122" s="460"/>
      <c r="J122" s="620"/>
      <c r="K122" s="553"/>
    </row>
    <row r="123" spans="1:11" x14ac:dyDescent="0.25">
      <c r="A123" s="452">
        <v>240</v>
      </c>
      <c r="B123" s="460" t="s">
        <v>2929</v>
      </c>
      <c r="C123" s="461" t="s">
        <v>2925</v>
      </c>
      <c r="D123" s="460">
        <v>5</v>
      </c>
      <c r="E123" s="462">
        <v>42</v>
      </c>
      <c r="F123" s="463">
        <f>+D123*E123</f>
        <v>210</v>
      </c>
      <c r="G123" s="462">
        <f t="shared" ref="G123:G124" si="12">+E123*$J$5+1</f>
        <v>46.15</v>
      </c>
      <c r="H123" s="463">
        <f>+D123*G123</f>
        <v>230.75</v>
      </c>
      <c r="I123" s="460"/>
      <c r="J123" s="620"/>
      <c r="K123" s="553"/>
    </row>
    <row r="124" spans="1:11" x14ac:dyDescent="0.25">
      <c r="A124" s="452">
        <v>240</v>
      </c>
      <c r="B124" s="460" t="s">
        <v>2926</v>
      </c>
      <c r="C124" s="461"/>
      <c r="D124" s="460"/>
      <c r="E124" s="462">
        <v>1.5</v>
      </c>
      <c r="F124" s="463">
        <f>D124*E124</f>
        <v>0</v>
      </c>
      <c r="G124" s="462">
        <f t="shared" si="12"/>
        <v>2.6124999999999998</v>
      </c>
      <c r="H124" s="463">
        <f>D124*G124*12</f>
        <v>0</v>
      </c>
      <c r="I124" s="460"/>
      <c r="J124" s="620"/>
      <c r="K124" s="553"/>
    </row>
    <row r="125" spans="1:11" x14ac:dyDescent="0.25">
      <c r="A125" s="452"/>
      <c r="B125" s="460"/>
      <c r="C125" s="461"/>
      <c r="D125" s="460"/>
      <c r="E125" s="462"/>
      <c r="F125" s="463"/>
      <c r="G125" s="462"/>
      <c r="H125" s="463"/>
      <c r="I125" s="460"/>
      <c r="J125" s="620"/>
      <c r="K125" s="553"/>
    </row>
    <row r="126" spans="1:11" x14ac:dyDescent="0.25">
      <c r="A126" s="452">
        <v>240</v>
      </c>
      <c r="B126" s="460" t="s">
        <v>2932</v>
      </c>
      <c r="C126" s="461" t="s">
        <v>2922</v>
      </c>
      <c r="D126" s="460">
        <v>78</v>
      </c>
      <c r="E126" s="462">
        <v>26</v>
      </c>
      <c r="F126" s="463">
        <f>D126*E126*12*4.33</f>
        <v>105374.88</v>
      </c>
      <c r="G126" s="462">
        <v>29</v>
      </c>
      <c r="H126" s="463">
        <f>D126*G126*12*4.33</f>
        <v>117533.52</v>
      </c>
      <c r="I126" s="460"/>
      <c r="J126" s="620"/>
      <c r="K126" s="553"/>
    </row>
    <row r="127" spans="1:11" x14ac:dyDescent="0.25">
      <c r="A127" s="452">
        <v>240</v>
      </c>
      <c r="B127" s="460" t="s">
        <v>2932</v>
      </c>
      <c r="C127" s="461" t="s">
        <v>2919</v>
      </c>
      <c r="D127" s="460">
        <v>9</v>
      </c>
      <c r="E127" s="462">
        <v>26</v>
      </c>
      <c r="F127" s="463">
        <f>D127*E127*12*2.17</f>
        <v>6093.36</v>
      </c>
      <c r="G127" s="462">
        <v>29</v>
      </c>
      <c r="H127" s="463">
        <f>D127*G127*12*2.17</f>
        <v>6796.44</v>
      </c>
      <c r="I127" s="460"/>
      <c r="J127" s="620"/>
      <c r="K127" s="553"/>
    </row>
    <row r="128" spans="1:11" x14ac:dyDescent="0.25">
      <c r="A128" s="452">
        <v>240</v>
      </c>
      <c r="B128" s="460" t="s">
        <v>2933</v>
      </c>
      <c r="C128" s="461" t="s">
        <v>2924</v>
      </c>
      <c r="D128" s="460"/>
      <c r="E128" s="462">
        <v>36.25</v>
      </c>
      <c r="F128" s="463">
        <f>D128*E128</f>
        <v>0</v>
      </c>
      <c r="G128" s="462">
        <v>40</v>
      </c>
      <c r="H128" s="463">
        <f>D128*G128</f>
        <v>0</v>
      </c>
      <c r="I128" s="460"/>
      <c r="J128" s="620"/>
      <c r="K128" s="553"/>
    </row>
    <row r="129" spans="1:11" x14ac:dyDescent="0.25">
      <c r="A129" s="452">
        <v>240</v>
      </c>
      <c r="B129" s="460" t="s">
        <v>2932</v>
      </c>
      <c r="C129" s="461" t="s">
        <v>2925</v>
      </c>
      <c r="D129" s="460">
        <v>5</v>
      </c>
      <c r="E129" s="462">
        <v>46</v>
      </c>
      <c r="F129" s="463">
        <f>+D129*E129</f>
        <v>230</v>
      </c>
      <c r="G129" s="462">
        <v>50.5</v>
      </c>
      <c r="H129" s="463">
        <f>D129*G129</f>
        <v>252.5</v>
      </c>
      <c r="I129" s="460"/>
      <c r="J129" s="620"/>
      <c r="K129" s="553"/>
    </row>
    <row r="130" spans="1:11" x14ac:dyDescent="0.25">
      <c r="A130" s="452">
        <v>240</v>
      </c>
      <c r="B130" s="460" t="s">
        <v>2926</v>
      </c>
      <c r="C130" s="461"/>
      <c r="D130" s="460"/>
      <c r="E130" s="462">
        <v>1.75</v>
      </c>
      <c r="F130" s="463">
        <f>D130*E130</f>
        <v>0</v>
      </c>
      <c r="G130" s="462">
        <v>2.9</v>
      </c>
      <c r="H130" s="463">
        <f>D130*G130*12</f>
        <v>0</v>
      </c>
      <c r="I130" s="460"/>
      <c r="J130" s="620"/>
      <c r="K130" s="553"/>
    </row>
    <row r="131" spans="1:11" x14ac:dyDescent="0.25">
      <c r="A131" s="452"/>
      <c r="B131" s="472"/>
      <c r="C131" s="461"/>
      <c r="D131" s="460"/>
      <c r="E131" s="462"/>
      <c r="F131" s="463"/>
      <c r="G131" s="462"/>
      <c r="H131" s="463"/>
      <c r="I131" s="460"/>
      <c r="J131" s="620"/>
      <c r="K131" s="553"/>
    </row>
    <row r="132" spans="1:11" x14ac:dyDescent="0.25">
      <c r="A132" s="452">
        <v>240</v>
      </c>
      <c r="B132" s="460" t="s">
        <v>2934</v>
      </c>
      <c r="C132" s="461" t="s">
        <v>2922</v>
      </c>
      <c r="D132" s="460">
        <v>98</v>
      </c>
      <c r="E132" s="462">
        <v>30</v>
      </c>
      <c r="F132" s="463">
        <f>D132*E132*12*4.33</f>
        <v>152762.4</v>
      </c>
      <c r="G132" s="462">
        <v>33</v>
      </c>
      <c r="H132" s="463">
        <f>D132*G132*12*4.33</f>
        <v>168038.64</v>
      </c>
      <c r="I132" s="460"/>
      <c r="J132" s="620"/>
      <c r="K132" s="553"/>
    </row>
    <row r="133" spans="1:11" x14ac:dyDescent="0.25">
      <c r="A133" s="452">
        <v>240</v>
      </c>
      <c r="B133" s="460" t="s">
        <v>2934</v>
      </c>
      <c r="C133" s="461" t="s">
        <v>2919</v>
      </c>
      <c r="D133" s="460">
        <v>8</v>
      </c>
      <c r="E133" s="462">
        <v>30</v>
      </c>
      <c r="F133" s="463">
        <f>D133*E133*12*2.17</f>
        <v>6249.5999999999995</v>
      </c>
      <c r="G133" s="462">
        <v>33</v>
      </c>
      <c r="H133" s="463"/>
      <c r="I133" s="460"/>
      <c r="J133" s="620"/>
      <c r="K133" s="553"/>
    </row>
    <row r="134" spans="1:11" x14ac:dyDescent="0.25">
      <c r="A134" s="452">
        <v>240</v>
      </c>
      <c r="B134" s="460" t="s">
        <v>2934</v>
      </c>
      <c r="C134" s="461" t="s">
        <v>2931</v>
      </c>
      <c r="D134" s="460">
        <v>2</v>
      </c>
      <c r="E134" s="462">
        <v>30</v>
      </c>
      <c r="F134" s="463">
        <f>D134*E134*12*8.66</f>
        <v>6235.2</v>
      </c>
      <c r="G134" s="462">
        <v>33</v>
      </c>
      <c r="H134" s="463">
        <f>D134*G134*12*8.66</f>
        <v>6858.72</v>
      </c>
      <c r="I134" s="460"/>
      <c r="J134" s="620"/>
      <c r="K134" s="553"/>
    </row>
    <row r="135" spans="1:11" x14ac:dyDescent="0.25">
      <c r="A135" s="452">
        <v>240</v>
      </c>
      <c r="B135" s="460" t="s">
        <v>2934</v>
      </c>
      <c r="C135" s="461" t="s">
        <v>2935</v>
      </c>
      <c r="D135" s="460"/>
      <c r="E135" s="462">
        <v>30</v>
      </c>
      <c r="F135" s="463">
        <f>D135*E135*12*21.65</f>
        <v>0</v>
      </c>
      <c r="G135" s="462">
        <v>33</v>
      </c>
      <c r="H135" s="463">
        <f>D135*G135*12*21.65</f>
        <v>0</v>
      </c>
      <c r="I135" s="460"/>
      <c r="J135" s="620"/>
      <c r="K135" s="553"/>
    </row>
    <row r="136" spans="1:11" x14ac:dyDescent="0.25">
      <c r="A136" s="452">
        <v>240</v>
      </c>
      <c r="B136" s="460" t="s">
        <v>2934</v>
      </c>
      <c r="C136" s="461" t="s">
        <v>2924</v>
      </c>
      <c r="D136" s="460"/>
      <c r="E136" s="462">
        <v>40.25</v>
      </c>
      <c r="F136" s="463">
        <f>D136*E136</f>
        <v>0</v>
      </c>
      <c r="G136" s="462">
        <v>44.25</v>
      </c>
      <c r="H136" s="463">
        <f>D136*G136*12*4.33</f>
        <v>0</v>
      </c>
      <c r="I136" s="460"/>
      <c r="J136" s="620"/>
      <c r="K136" s="553"/>
    </row>
    <row r="137" spans="1:11" x14ac:dyDescent="0.25">
      <c r="A137" s="452">
        <v>240</v>
      </c>
      <c r="B137" s="460" t="s">
        <v>2934</v>
      </c>
      <c r="C137" s="461" t="s">
        <v>2925</v>
      </c>
      <c r="D137" s="460">
        <v>8</v>
      </c>
      <c r="E137" s="462">
        <v>50</v>
      </c>
      <c r="F137" s="463">
        <f>D137*E137</f>
        <v>400</v>
      </c>
      <c r="G137" s="462">
        <v>54.5</v>
      </c>
      <c r="H137" s="463">
        <f>D137*G137*12</f>
        <v>5232</v>
      </c>
      <c r="I137" s="460"/>
      <c r="J137" s="620"/>
      <c r="K137" s="553"/>
    </row>
    <row r="138" spans="1:11" x14ac:dyDescent="0.25">
      <c r="A138" s="452">
        <v>240</v>
      </c>
      <c r="B138" s="460" t="s">
        <v>2926</v>
      </c>
      <c r="C138" s="461"/>
      <c r="D138" s="460"/>
      <c r="E138" s="462">
        <v>2</v>
      </c>
      <c r="F138" s="463">
        <f>D138*E138</f>
        <v>0</v>
      </c>
      <c r="G138" s="462">
        <f t="shared" ref="G138:G161" si="13">+E138*$J$5+1</f>
        <v>3.15</v>
      </c>
      <c r="H138" s="463">
        <f>D138*G138*12</f>
        <v>0</v>
      </c>
      <c r="I138" s="460"/>
      <c r="J138" s="620"/>
      <c r="K138" s="553"/>
    </row>
    <row r="139" spans="1:11" x14ac:dyDescent="0.25">
      <c r="A139" s="452"/>
      <c r="B139" s="460"/>
      <c r="C139" s="461"/>
      <c r="D139" s="460"/>
      <c r="E139" s="462"/>
      <c r="F139" s="463"/>
      <c r="G139" s="462"/>
      <c r="H139" s="463"/>
      <c r="I139" s="460"/>
      <c r="J139" s="620"/>
      <c r="K139" s="553"/>
    </row>
    <row r="140" spans="1:11" x14ac:dyDescent="0.25">
      <c r="A140" s="452">
        <v>240</v>
      </c>
      <c r="B140" s="460" t="s">
        <v>2936</v>
      </c>
      <c r="C140" s="461" t="s">
        <v>2922</v>
      </c>
      <c r="D140" s="460">
        <v>66</v>
      </c>
      <c r="E140" s="462">
        <v>35</v>
      </c>
      <c r="F140" s="463">
        <f>D140*E140*12*4.33</f>
        <v>120027.6</v>
      </c>
      <c r="G140" s="462">
        <v>38.5</v>
      </c>
      <c r="H140" s="463">
        <f>D140*G140*12*4.33</f>
        <v>132030.36000000002</v>
      </c>
      <c r="I140" s="460"/>
      <c r="J140" s="620"/>
      <c r="K140" s="553"/>
    </row>
    <row r="141" spans="1:11" x14ac:dyDescent="0.25">
      <c r="A141" s="452">
        <v>240</v>
      </c>
      <c r="B141" s="460" t="s">
        <v>2936</v>
      </c>
      <c r="C141" s="461" t="s">
        <v>2919</v>
      </c>
      <c r="D141" s="460">
        <v>4</v>
      </c>
      <c r="E141" s="462">
        <v>35</v>
      </c>
      <c r="F141" s="463">
        <f>D141*E141*12*2.17</f>
        <v>3645.6</v>
      </c>
      <c r="G141" s="462">
        <v>38.5</v>
      </c>
      <c r="H141" s="463">
        <f>D141*G141*12*2.17</f>
        <v>4010.16</v>
      </c>
      <c r="I141" s="460"/>
      <c r="J141" s="620"/>
      <c r="K141" s="553"/>
    </row>
    <row r="142" spans="1:11" x14ac:dyDescent="0.25">
      <c r="A142" s="452">
        <v>240</v>
      </c>
      <c r="B142" s="460" t="s">
        <v>2936</v>
      </c>
      <c r="C142" s="461" t="s">
        <v>2931</v>
      </c>
      <c r="D142" s="460">
        <v>1</v>
      </c>
      <c r="E142" s="462">
        <v>35</v>
      </c>
      <c r="F142" s="463">
        <f>D142*E142*12*8.66</f>
        <v>3637.2000000000003</v>
      </c>
      <c r="G142" s="462">
        <v>38.5</v>
      </c>
      <c r="H142" s="463">
        <f>D142*G142*12*8.66</f>
        <v>4000.92</v>
      </c>
      <c r="I142" s="460"/>
      <c r="J142" s="620"/>
      <c r="K142" s="553"/>
    </row>
    <row r="143" spans="1:11" x14ac:dyDescent="0.25">
      <c r="A143" s="452">
        <v>240</v>
      </c>
      <c r="B143" s="460" t="s">
        <v>2936</v>
      </c>
      <c r="C143" s="461" t="s">
        <v>2937</v>
      </c>
      <c r="D143" s="460"/>
      <c r="E143" s="462">
        <v>35</v>
      </c>
      <c r="F143" s="463">
        <f>D143*E143*12*12.99</f>
        <v>0</v>
      </c>
      <c r="G143" s="462">
        <v>38.75</v>
      </c>
      <c r="H143" s="463">
        <f>D143*G143*12*12.99</f>
        <v>0</v>
      </c>
      <c r="I143" s="460"/>
      <c r="J143" s="620"/>
      <c r="K143" s="553"/>
    </row>
    <row r="144" spans="1:11" x14ac:dyDescent="0.25">
      <c r="A144" s="452">
        <v>240</v>
      </c>
      <c r="B144" s="460" t="s">
        <v>2936</v>
      </c>
      <c r="C144" s="461" t="s">
        <v>2935</v>
      </c>
      <c r="D144" s="460"/>
      <c r="E144" s="462">
        <v>35</v>
      </c>
      <c r="F144" s="463">
        <f>D144*E144*12*21.65</f>
        <v>0</v>
      </c>
      <c r="G144" s="462">
        <v>38.75</v>
      </c>
      <c r="H144" s="463">
        <f>D144*G144*12*21.65</f>
        <v>0</v>
      </c>
      <c r="I144" s="460"/>
      <c r="J144" s="620"/>
      <c r="K144" s="553"/>
    </row>
    <row r="145" spans="1:11" x14ac:dyDescent="0.25">
      <c r="A145" s="452">
        <v>240</v>
      </c>
      <c r="B145" s="460" t="s">
        <v>2938</v>
      </c>
      <c r="C145" s="461" t="s">
        <v>2924</v>
      </c>
      <c r="D145" s="460"/>
      <c r="E145" s="462">
        <v>45.25</v>
      </c>
      <c r="F145" s="463">
        <f>D145*E145</f>
        <v>0</v>
      </c>
      <c r="G145" s="462">
        <v>49.75</v>
      </c>
      <c r="H145" s="463">
        <f>D145*G145*12*4.33</f>
        <v>0</v>
      </c>
      <c r="I145" s="460"/>
      <c r="J145" s="620"/>
      <c r="K145" s="553"/>
    </row>
    <row r="146" spans="1:11" x14ac:dyDescent="0.25">
      <c r="A146" s="452">
        <v>240</v>
      </c>
      <c r="B146" s="460" t="s">
        <v>2936</v>
      </c>
      <c r="C146" s="461" t="s">
        <v>2925</v>
      </c>
      <c r="D146" s="460">
        <v>1</v>
      </c>
      <c r="E146" s="462">
        <v>55</v>
      </c>
      <c r="F146" s="463">
        <f>D146*E146</f>
        <v>55</v>
      </c>
      <c r="G146" s="462">
        <v>60</v>
      </c>
      <c r="H146" s="463">
        <f>D146*G146*12</f>
        <v>720</v>
      </c>
      <c r="I146" s="460"/>
      <c r="J146" s="620"/>
      <c r="K146" s="553"/>
    </row>
    <row r="147" spans="1:11" x14ac:dyDescent="0.25">
      <c r="A147" s="452">
        <v>240</v>
      </c>
      <c r="B147" s="460" t="s">
        <v>2926</v>
      </c>
      <c r="C147" s="461"/>
      <c r="D147" s="460"/>
      <c r="E147" s="462">
        <v>2.25</v>
      </c>
      <c r="F147" s="463">
        <f>D147*E147</f>
        <v>0</v>
      </c>
      <c r="G147" s="462">
        <v>3.4</v>
      </c>
      <c r="H147" s="463">
        <f>D147*G147*12</f>
        <v>0</v>
      </c>
      <c r="I147" s="460"/>
      <c r="J147" s="620"/>
      <c r="K147" s="553"/>
    </row>
    <row r="148" spans="1:11" x14ac:dyDescent="0.25">
      <c r="A148" s="452"/>
      <c r="B148" s="460"/>
      <c r="C148" s="461"/>
      <c r="D148" s="460"/>
      <c r="E148" s="462"/>
      <c r="F148" s="463"/>
      <c r="G148" s="462"/>
      <c r="H148" s="463"/>
      <c r="I148" s="460"/>
      <c r="J148" s="620"/>
      <c r="K148" s="553"/>
    </row>
    <row r="149" spans="1:11" x14ac:dyDescent="0.25">
      <c r="A149" s="452">
        <v>240</v>
      </c>
      <c r="B149" s="460" t="s">
        <v>2939</v>
      </c>
      <c r="C149" s="461" t="s">
        <v>2922</v>
      </c>
      <c r="D149" s="460">
        <v>44</v>
      </c>
      <c r="E149" s="462">
        <v>43</v>
      </c>
      <c r="F149" s="463">
        <f>D149*E149*12*4.33</f>
        <v>98308.32</v>
      </c>
      <c r="G149" s="462">
        <v>47</v>
      </c>
      <c r="H149" s="463">
        <f>D149*G149*12*4.33</f>
        <v>107453.28</v>
      </c>
      <c r="I149" s="460"/>
      <c r="J149" s="620"/>
      <c r="K149" s="553"/>
    </row>
    <row r="150" spans="1:11" x14ac:dyDescent="0.25">
      <c r="A150" s="452">
        <v>240</v>
      </c>
      <c r="B150" s="460" t="s">
        <v>2939</v>
      </c>
      <c r="C150" s="461" t="s">
        <v>2931</v>
      </c>
      <c r="D150" s="460">
        <v>2</v>
      </c>
      <c r="E150" s="462">
        <v>43</v>
      </c>
      <c r="F150" s="463">
        <f>D150*E150*12*8.66</f>
        <v>8937.1200000000008</v>
      </c>
      <c r="G150" s="462">
        <v>47</v>
      </c>
      <c r="H150" s="463">
        <f>D150*G150*12*8.66</f>
        <v>9768.48</v>
      </c>
      <c r="I150" s="460"/>
      <c r="J150" s="620"/>
      <c r="K150" s="553"/>
    </row>
    <row r="151" spans="1:11" x14ac:dyDescent="0.25">
      <c r="A151" s="452">
        <v>240</v>
      </c>
      <c r="B151" s="460" t="s">
        <v>2939</v>
      </c>
      <c r="C151" s="461" t="s">
        <v>2919</v>
      </c>
      <c r="D151" s="460">
        <v>1</v>
      </c>
      <c r="E151" s="462">
        <v>43</v>
      </c>
      <c r="F151" s="463">
        <f>D151*E151*12*2.17</f>
        <v>1119.72</v>
      </c>
      <c r="G151" s="462">
        <v>47</v>
      </c>
      <c r="H151" s="463">
        <f>D151*G151*12*2.17</f>
        <v>1223.8799999999999</v>
      </c>
      <c r="I151" s="460"/>
      <c r="J151" s="620"/>
      <c r="K151" s="553"/>
    </row>
    <row r="152" spans="1:11" x14ac:dyDescent="0.25">
      <c r="A152" s="452">
        <v>240</v>
      </c>
      <c r="B152" s="460" t="s">
        <v>2940</v>
      </c>
      <c r="C152" s="461" t="s">
        <v>2924</v>
      </c>
      <c r="D152" s="460"/>
      <c r="E152" s="462">
        <v>53.25</v>
      </c>
      <c r="F152" s="463">
        <f>D152*E152</f>
        <v>0</v>
      </c>
      <c r="G152" s="462">
        <v>58.25</v>
      </c>
      <c r="H152" s="463">
        <f>D152*G152*12*4.33</f>
        <v>0</v>
      </c>
      <c r="I152" s="460"/>
      <c r="J152" s="620"/>
      <c r="K152" s="553"/>
    </row>
    <row r="153" spans="1:11" x14ac:dyDescent="0.25">
      <c r="A153" s="452">
        <v>240</v>
      </c>
      <c r="B153" s="460" t="s">
        <v>2939</v>
      </c>
      <c r="C153" s="461" t="s">
        <v>2925</v>
      </c>
      <c r="D153" s="460">
        <v>5</v>
      </c>
      <c r="E153" s="462">
        <v>63</v>
      </c>
      <c r="F153" s="463">
        <f>D153*E153</f>
        <v>315</v>
      </c>
      <c r="G153" s="462">
        <v>68.75</v>
      </c>
      <c r="H153" s="463">
        <f>D153*G153*12</f>
        <v>4125</v>
      </c>
      <c r="I153" s="460"/>
      <c r="J153" s="620"/>
      <c r="K153" s="553"/>
    </row>
    <row r="154" spans="1:11" x14ac:dyDescent="0.25">
      <c r="A154" s="452">
        <v>240</v>
      </c>
      <c r="B154" s="460" t="s">
        <v>2926</v>
      </c>
      <c r="C154" s="461"/>
      <c r="D154" s="460"/>
      <c r="E154" s="462">
        <v>2.5</v>
      </c>
      <c r="F154" s="463">
        <f>D154*E154</f>
        <v>0</v>
      </c>
      <c r="G154" s="462">
        <v>3.7</v>
      </c>
      <c r="H154" s="463">
        <f>D154*G154*12</f>
        <v>0</v>
      </c>
      <c r="I154" s="460"/>
      <c r="J154" s="620"/>
      <c r="K154" s="553"/>
    </row>
    <row r="155" spans="1:11" x14ac:dyDescent="0.25">
      <c r="A155" s="452"/>
      <c r="B155" s="460"/>
      <c r="C155" s="461"/>
      <c r="D155" s="460"/>
      <c r="E155" s="462"/>
      <c r="F155" s="463"/>
      <c r="G155" s="462"/>
      <c r="H155" s="463"/>
      <c r="I155" s="460"/>
      <c r="J155" s="620"/>
      <c r="K155" s="553"/>
    </row>
    <row r="156" spans="1:11" x14ac:dyDescent="0.25">
      <c r="A156" s="452">
        <v>240</v>
      </c>
      <c r="B156" s="460" t="s">
        <v>2941</v>
      </c>
      <c r="C156" s="461"/>
      <c r="D156" s="460">
        <f>18+135+112</f>
        <v>265</v>
      </c>
      <c r="E156" s="462">
        <v>20</v>
      </c>
      <c r="F156" s="463">
        <f>D156*E156</f>
        <v>5300</v>
      </c>
      <c r="G156" s="462">
        <f t="shared" si="13"/>
        <v>22.5</v>
      </c>
      <c r="H156" s="463">
        <f>D156*G156*12</f>
        <v>71550</v>
      </c>
      <c r="I156" s="460"/>
      <c r="J156" s="620"/>
      <c r="K156" s="553"/>
    </row>
    <row r="157" spans="1:11" x14ac:dyDescent="0.25">
      <c r="A157" s="452">
        <v>240</v>
      </c>
      <c r="B157" s="460" t="s">
        <v>2942</v>
      </c>
      <c r="C157" s="461"/>
      <c r="D157" s="460">
        <v>8</v>
      </c>
      <c r="E157" s="462">
        <v>20</v>
      </c>
      <c r="F157" s="463">
        <f>D157*E157</f>
        <v>160</v>
      </c>
      <c r="G157" s="462">
        <f t="shared" si="13"/>
        <v>22.5</v>
      </c>
      <c r="H157" s="463">
        <f>D157*G157*12</f>
        <v>2160</v>
      </c>
      <c r="I157" s="460"/>
      <c r="J157" s="620"/>
      <c r="K157" s="553"/>
    </row>
    <row r="158" spans="1:11" x14ac:dyDescent="0.25">
      <c r="A158" s="452">
        <v>240</v>
      </c>
      <c r="B158" s="460" t="s">
        <v>2943</v>
      </c>
      <c r="C158" s="461"/>
      <c r="D158" s="460"/>
      <c r="E158" s="462">
        <v>12.5</v>
      </c>
      <c r="F158" s="463"/>
      <c r="G158" s="462">
        <f t="shared" si="13"/>
        <v>14.4375</v>
      </c>
      <c r="H158" s="463"/>
      <c r="I158" s="460"/>
      <c r="J158" s="620"/>
      <c r="K158" s="553"/>
    </row>
    <row r="159" spans="1:11" x14ac:dyDescent="0.25">
      <c r="A159" s="460">
        <v>245</v>
      </c>
      <c r="B159" s="460" t="s">
        <v>2944</v>
      </c>
      <c r="C159" s="460" t="s">
        <v>2945</v>
      </c>
      <c r="D159" s="460">
        <v>7</v>
      </c>
      <c r="E159" s="462">
        <v>2.6</v>
      </c>
      <c r="F159" s="462">
        <f>(+D159*E159*12)*4.33</f>
        <v>945.67199999999991</v>
      </c>
      <c r="G159" s="462">
        <f t="shared" si="13"/>
        <v>3.7949999999999999</v>
      </c>
      <c r="H159" s="463">
        <f>D159*G159*12</f>
        <v>318.77999999999997</v>
      </c>
      <c r="I159" s="460"/>
      <c r="J159" s="620"/>
      <c r="K159" s="553"/>
    </row>
    <row r="160" spans="1:11" x14ac:dyDescent="0.25">
      <c r="A160" s="460">
        <v>245</v>
      </c>
      <c r="B160" s="460" t="s">
        <v>2946</v>
      </c>
      <c r="C160" s="460" t="s">
        <v>2945</v>
      </c>
      <c r="D160" s="460">
        <f>2+13</f>
        <v>15</v>
      </c>
      <c r="E160" s="462">
        <v>2.6</v>
      </c>
      <c r="F160" s="462">
        <f>+D160*E160</f>
        <v>39</v>
      </c>
      <c r="G160" s="462">
        <f t="shared" si="13"/>
        <v>3.7949999999999999</v>
      </c>
      <c r="H160" s="463">
        <f>D160*G160*12</f>
        <v>683.09999999999991</v>
      </c>
      <c r="I160" s="460"/>
      <c r="J160" s="620"/>
      <c r="K160" s="553"/>
    </row>
    <row r="161" spans="1:11" x14ac:dyDescent="0.25">
      <c r="A161" s="460">
        <v>245</v>
      </c>
      <c r="B161" s="460" t="s">
        <v>2947</v>
      </c>
      <c r="C161" s="460" t="s">
        <v>2945</v>
      </c>
      <c r="D161" s="460">
        <v>3776</v>
      </c>
      <c r="E161" s="462">
        <v>2.6</v>
      </c>
      <c r="F161" s="462">
        <f>+D161*E161</f>
        <v>9817.6</v>
      </c>
      <c r="G161" s="462">
        <f t="shared" si="13"/>
        <v>3.7949999999999999</v>
      </c>
      <c r="H161" s="463">
        <f>+D161*G161</f>
        <v>14329.92</v>
      </c>
      <c r="I161" s="460"/>
      <c r="J161" s="620"/>
      <c r="K161" s="553"/>
    </row>
    <row r="162" spans="1:11" x14ac:dyDescent="0.25">
      <c r="A162" s="460">
        <v>245</v>
      </c>
      <c r="B162" s="460" t="s">
        <v>2948</v>
      </c>
      <c r="C162" s="460" t="s">
        <v>2945</v>
      </c>
      <c r="D162" s="460"/>
      <c r="E162" s="462">
        <v>15.5</v>
      </c>
      <c r="F162" s="462">
        <f>+D162*E162*12</f>
        <v>0</v>
      </c>
      <c r="G162" s="462">
        <v>17.5</v>
      </c>
      <c r="H162" s="463">
        <f>D162*G162*12</f>
        <v>0</v>
      </c>
      <c r="I162" s="460"/>
      <c r="J162" s="620"/>
      <c r="K162" s="553"/>
    </row>
    <row r="163" spans="1:11" x14ac:dyDescent="0.25">
      <c r="A163" s="460">
        <v>245</v>
      </c>
      <c r="B163" s="460" t="s">
        <v>2949</v>
      </c>
      <c r="C163" s="460" t="s">
        <v>2945</v>
      </c>
      <c r="D163" s="460"/>
      <c r="E163" s="462">
        <v>12.5</v>
      </c>
      <c r="F163" s="462"/>
      <c r="G163" s="462"/>
      <c r="H163" s="463"/>
      <c r="I163" s="460"/>
      <c r="J163" s="620"/>
      <c r="K163" s="553"/>
    </row>
    <row r="164" spans="1:11" x14ac:dyDescent="0.25">
      <c r="A164" s="460"/>
      <c r="B164" s="460"/>
      <c r="C164" s="460"/>
      <c r="D164" s="460"/>
      <c r="E164" s="462"/>
      <c r="F164" s="462"/>
      <c r="G164" s="462"/>
      <c r="H164" s="463"/>
      <c r="I164" s="460"/>
      <c r="J164" s="620"/>
      <c r="K164" s="553"/>
    </row>
    <row r="165" spans="1:11" x14ac:dyDescent="0.25">
      <c r="A165" s="452">
        <v>250</v>
      </c>
      <c r="B165" s="460" t="s">
        <v>2950</v>
      </c>
      <c r="C165" s="461"/>
      <c r="D165" s="460"/>
      <c r="E165" s="462">
        <v>25.5</v>
      </c>
      <c r="F165" s="463">
        <v>0</v>
      </c>
      <c r="G165" s="462"/>
      <c r="H165" s="463">
        <v>0</v>
      </c>
      <c r="I165" s="460"/>
      <c r="J165" s="620"/>
      <c r="K165" s="553"/>
    </row>
    <row r="166" spans="1:11" x14ac:dyDescent="0.25">
      <c r="A166" s="452">
        <v>250</v>
      </c>
      <c r="B166" s="460" t="s">
        <v>2951</v>
      </c>
      <c r="C166" s="461"/>
      <c r="D166" s="460"/>
      <c r="E166" s="462">
        <v>25.5</v>
      </c>
      <c r="F166" s="463"/>
      <c r="G166" s="462"/>
      <c r="H166" s="463"/>
      <c r="I166" s="460"/>
      <c r="J166" s="620"/>
      <c r="K166" s="553"/>
    </row>
    <row r="167" spans="1:11" x14ac:dyDescent="0.25">
      <c r="A167" s="452">
        <v>250</v>
      </c>
      <c r="B167" s="460" t="s">
        <v>2952</v>
      </c>
      <c r="C167" s="461"/>
      <c r="D167" s="460"/>
      <c r="E167" s="462">
        <v>45</v>
      </c>
      <c r="F167" s="463"/>
      <c r="G167" s="462"/>
      <c r="H167" s="463"/>
      <c r="I167" s="460"/>
      <c r="J167" s="620"/>
      <c r="K167" s="553"/>
    </row>
    <row r="168" spans="1:11" x14ac:dyDescent="0.25">
      <c r="A168" s="452">
        <v>250</v>
      </c>
      <c r="B168" s="460" t="s">
        <v>2953</v>
      </c>
      <c r="C168" s="461"/>
      <c r="D168" s="460"/>
      <c r="E168" s="462">
        <v>42.5</v>
      </c>
      <c r="F168" s="463">
        <v>0</v>
      </c>
      <c r="G168" s="462"/>
      <c r="H168" s="463">
        <v>0</v>
      </c>
      <c r="I168" s="460"/>
      <c r="J168" s="620"/>
      <c r="K168" s="553"/>
    </row>
    <row r="169" spans="1:11" x14ac:dyDescent="0.25">
      <c r="A169" s="452">
        <v>250</v>
      </c>
      <c r="B169" s="460" t="s">
        <v>2954</v>
      </c>
      <c r="C169" s="461"/>
      <c r="D169" s="460"/>
      <c r="E169" s="462">
        <v>42.5</v>
      </c>
      <c r="F169" s="463"/>
      <c r="G169" s="462"/>
      <c r="H169" s="463"/>
      <c r="I169" s="460"/>
      <c r="J169" s="620"/>
      <c r="K169" s="553"/>
    </row>
    <row r="170" spans="1:11" x14ac:dyDescent="0.25">
      <c r="A170" s="452">
        <v>250</v>
      </c>
      <c r="B170" s="460" t="s">
        <v>2955</v>
      </c>
      <c r="C170" s="461"/>
      <c r="D170" s="460"/>
      <c r="E170" s="462">
        <v>62.5</v>
      </c>
      <c r="F170" s="463"/>
      <c r="G170" s="462"/>
      <c r="H170" s="463"/>
      <c r="I170" s="460"/>
      <c r="J170" s="620"/>
      <c r="K170" s="553"/>
    </row>
    <row r="171" spans="1:11" x14ac:dyDescent="0.25">
      <c r="A171" s="452">
        <v>250</v>
      </c>
      <c r="B171" s="460" t="s">
        <v>2956</v>
      </c>
      <c r="C171" s="461"/>
      <c r="D171" s="460"/>
      <c r="E171" s="462">
        <v>59.5</v>
      </c>
      <c r="F171" s="463">
        <v>0</v>
      </c>
      <c r="G171" s="462"/>
      <c r="H171" s="463">
        <v>0</v>
      </c>
      <c r="I171" s="460"/>
      <c r="J171" s="620"/>
      <c r="K171" s="553"/>
    </row>
    <row r="172" spans="1:11" x14ac:dyDescent="0.25">
      <c r="A172" s="452">
        <v>250</v>
      </c>
      <c r="B172" s="460" t="s">
        <v>2957</v>
      </c>
      <c r="C172" s="461"/>
      <c r="D172" s="460"/>
      <c r="E172" s="462">
        <v>59.5</v>
      </c>
      <c r="F172" s="463"/>
      <c r="G172" s="462"/>
      <c r="H172" s="463"/>
      <c r="I172" s="460"/>
      <c r="J172" s="620"/>
      <c r="K172" s="553"/>
    </row>
    <row r="173" spans="1:11" x14ac:dyDescent="0.25">
      <c r="A173" s="452">
        <v>250</v>
      </c>
      <c r="B173" s="460" t="s">
        <v>2958</v>
      </c>
      <c r="C173" s="461"/>
      <c r="D173" s="460"/>
      <c r="E173" s="462">
        <v>79.5</v>
      </c>
      <c r="F173" s="463"/>
      <c r="G173" s="462"/>
      <c r="H173" s="463"/>
      <c r="I173" s="460"/>
      <c r="J173" s="620"/>
      <c r="K173" s="553"/>
    </row>
    <row r="174" spans="1:11" x14ac:dyDescent="0.25">
      <c r="A174" s="452">
        <v>250</v>
      </c>
      <c r="B174" s="460" t="s">
        <v>2959</v>
      </c>
      <c r="C174" s="461"/>
      <c r="D174" s="460"/>
      <c r="E174" s="462">
        <v>82.5</v>
      </c>
      <c r="F174" s="463">
        <v>0</v>
      </c>
      <c r="G174" s="462"/>
      <c r="H174" s="463">
        <v>0</v>
      </c>
      <c r="I174" s="460"/>
      <c r="J174" s="620"/>
      <c r="K174" s="553"/>
    </row>
    <row r="175" spans="1:11" x14ac:dyDescent="0.25">
      <c r="A175" s="452">
        <v>250</v>
      </c>
      <c r="B175" s="460" t="s">
        <v>2960</v>
      </c>
      <c r="C175" s="461"/>
      <c r="D175" s="460"/>
      <c r="E175" s="462">
        <v>82.5</v>
      </c>
      <c r="F175" s="463"/>
      <c r="G175" s="462"/>
      <c r="H175" s="463"/>
      <c r="I175" s="460"/>
      <c r="J175" s="620"/>
      <c r="K175" s="553"/>
    </row>
    <row r="176" spans="1:11" x14ac:dyDescent="0.25">
      <c r="A176" s="452">
        <v>250</v>
      </c>
      <c r="B176" s="460" t="s">
        <v>2961</v>
      </c>
      <c r="C176" s="461"/>
      <c r="D176" s="460"/>
      <c r="E176" s="462">
        <v>102.5</v>
      </c>
      <c r="F176" s="463"/>
      <c r="G176" s="462"/>
      <c r="H176" s="463"/>
      <c r="I176" s="460"/>
      <c r="J176" s="620"/>
      <c r="K176" s="553"/>
    </row>
    <row r="177" spans="1:11" x14ac:dyDescent="0.25">
      <c r="A177" s="452">
        <v>250</v>
      </c>
      <c r="B177" s="460" t="s">
        <v>2962</v>
      </c>
      <c r="C177" s="461"/>
      <c r="D177" s="460"/>
      <c r="E177" s="462">
        <v>105.5</v>
      </c>
      <c r="F177" s="463">
        <v>0</v>
      </c>
      <c r="G177" s="462"/>
      <c r="H177" s="463">
        <v>0</v>
      </c>
      <c r="I177" s="460"/>
      <c r="J177" s="620"/>
      <c r="K177" s="553"/>
    </row>
    <row r="178" spans="1:11" x14ac:dyDescent="0.25">
      <c r="A178" s="452">
        <v>250</v>
      </c>
      <c r="B178" s="460" t="s">
        <v>2963</v>
      </c>
      <c r="C178" s="461"/>
      <c r="D178" s="460"/>
      <c r="E178" s="462">
        <v>105.5</v>
      </c>
      <c r="F178" s="463"/>
      <c r="G178" s="462"/>
      <c r="H178" s="463"/>
      <c r="I178" s="460"/>
      <c r="J178" s="620"/>
      <c r="K178" s="553"/>
    </row>
    <row r="179" spans="1:11" x14ac:dyDescent="0.25">
      <c r="A179" s="452">
        <v>250</v>
      </c>
      <c r="B179" s="460" t="s">
        <v>2964</v>
      </c>
      <c r="C179" s="461"/>
      <c r="D179" s="460"/>
      <c r="E179" s="462">
        <v>125</v>
      </c>
      <c r="F179" s="463"/>
      <c r="G179" s="462"/>
      <c r="H179" s="463"/>
      <c r="I179" s="460"/>
      <c r="J179" s="620"/>
      <c r="K179" s="553"/>
    </row>
    <row r="180" spans="1:11" x14ac:dyDescent="0.25">
      <c r="A180" s="452">
        <v>250</v>
      </c>
      <c r="B180" s="460" t="s">
        <v>2965</v>
      </c>
      <c r="C180" s="461"/>
      <c r="D180" s="460"/>
      <c r="E180" s="462">
        <v>125.5</v>
      </c>
      <c r="F180" s="463">
        <v>0</v>
      </c>
      <c r="G180" s="462"/>
      <c r="H180" s="463">
        <v>0</v>
      </c>
      <c r="I180" s="460"/>
      <c r="J180" s="620"/>
      <c r="K180" s="553"/>
    </row>
    <row r="181" spans="1:11" x14ac:dyDescent="0.25">
      <c r="A181" s="452">
        <v>250</v>
      </c>
      <c r="B181" s="460" t="s">
        <v>2966</v>
      </c>
      <c r="C181" s="461"/>
      <c r="D181" s="460"/>
      <c r="E181" s="462">
        <v>125.5</v>
      </c>
      <c r="F181" s="463"/>
      <c r="G181" s="462"/>
      <c r="H181" s="463"/>
      <c r="I181" s="460"/>
      <c r="J181" s="620"/>
      <c r="K181" s="553"/>
    </row>
    <row r="182" spans="1:11" x14ac:dyDescent="0.25">
      <c r="A182" s="452">
        <v>250</v>
      </c>
      <c r="B182" s="460" t="s">
        <v>2967</v>
      </c>
      <c r="C182" s="461"/>
      <c r="D182" s="460"/>
      <c r="E182" s="462">
        <v>145.5</v>
      </c>
      <c r="F182" s="463"/>
      <c r="G182" s="462"/>
      <c r="H182" s="463"/>
      <c r="I182" s="460"/>
      <c r="J182" s="620"/>
      <c r="K182" s="553"/>
    </row>
    <row r="183" spans="1:11" x14ac:dyDescent="0.25">
      <c r="A183" s="452">
        <v>250</v>
      </c>
      <c r="B183" s="460" t="s">
        <v>2943</v>
      </c>
      <c r="C183" s="461"/>
      <c r="D183" s="460"/>
      <c r="E183" s="462">
        <v>12.5</v>
      </c>
      <c r="F183" s="463"/>
      <c r="G183" s="462"/>
      <c r="H183" s="463"/>
      <c r="I183" s="460"/>
      <c r="J183" s="620"/>
      <c r="K183" s="553"/>
    </row>
    <row r="184" spans="1:11" x14ac:dyDescent="0.25">
      <c r="A184" s="452">
        <v>250</v>
      </c>
      <c r="B184" s="460" t="s">
        <v>2968</v>
      </c>
      <c r="C184" s="461"/>
      <c r="D184" s="460"/>
      <c r="E184" s="462">
        <v>20</v>
      </c>
      <c r="F184" s="463"/>
      <c r="G184" s="462"/>
      <c r="H184" s="463"/>
      <c r="I184" s="460"/>
      <c r="J184" s="620"/>
      <c r="K184" s="553"/>
    </row>
    <row r="185" spans="1:11" x14ac:dyDescent="0.25">
      <c r="A185" s="452">
        <v>255</v>
      </c>
      <c r="B185" s="460" t="s">
        <v>2969</v>
      </c>
      <c r="C185" s="461"/>
      <c r="D185" s="460"/>
      <c r="E185" s="462">
        <v>42.5</v>
      </c>
      <c r="F185" s="463"/>
      <c r="G185" s="462"/>
      <c r="H185" s="463"/>
      <c r="I185" s="460"/>
      <c r="J185" s="620"/>
      <c r="K185" s="553"/>
    </row>
    <row r="186" spans="1:11" x14ac:dyDescent="0.25">
      <c r="A186" s="452">
        <v>255</v>
      </c>
      <c r="B186" s="460" t="s">
        <v>2970</v>
      </c>
      <c r="C186" s="461"/>
      <c r="D186" s="460"/>
      <c r="E186" s="462">
        <v>62.5</v>
      </c>
      <c r="F186" s="463"/>
      <c r="G186" s="462"/>
      <c r="H186" s="463"/>
      <c r="I186" s="460"/>
      <c r="J186" s="620"/>
      <c r="K186" s="553"/>
    </row>
    <row r="187" spans="1:11" x14ac:dyDescent="0.25">
      <c r="A187" s="452">
        <v>255</v>
      </c>
      <c r="B187" s="460" t="s">
        <v>2971</v>
      </c>
      <c r="C187" s="461"/>
      <c r="D187" s="460"/>
      <c r="E187" s="462">
        <v>59.5</v>
      </c>
      <c r="F187" s="463"/>
      <c r="G187" s="462"/>
      <c r="H187" s="463"/>
      <c r="I187" s="460"/>
      <c r="J187" s="620"/>
      <c r="K187" s="553"/>
    </row>
    <row r="188" spans="1:11" x14ac:dyDescent="0.25">
      <c r="A188" s="452">
        <v>255</v>
      </c>
      <c r="B188" s="460" t="s">
        <v>2972</v>
      </c>
      <c r="C188" s="461"/>
      <c r="D188" s="460"/>
      <c r="E188" s="462">
        <v>79.5</v>
      </c>
      <c r="F188" s="463"/>
      <c r="G188" s="462"/>
      <c r="H188" s="463"/>
      <c r="I188" s="460"/>
      <c r="J188" s="620"/>
      <c r="K188" s="553"/>
    </row>
    <row r="189" spans="1:11" x14ac:dyDescent="0.25">
      <c r="A189" s="452">
        <v>255</v>
      </c>
      <c r="B189" s="460" t="s">
        <v>2973</v>
      </c>
      <c r="C189" s="461"/>
      <c r="D189" s="460"/>
      <c r="E189" s="462">
        <v>82.5</v>
      </c>
      <c r="F189" s="463"/>
      <c r="G189" s="462"/>
      <c r="H189" s="463"/>
      <c r="I189" s="460"/>
      <c r="J189" s="620"/>
      <c r="K189" s="553"/>
    </row>
    <row r="190" spans="1:11" x14ac:dyDescent="0.25">
      <c r="A190" s="452">
        <v>255</v>
      </c>
      <c r="B190" s="460" t="s">
        <v>2974</v>
      </c>
      <c r="C190" s="461"/>
      <c r="D190" s="460"/>
      <c r="E190" s="462">
        <v>102.5</v>
      </c>
      <c r="F190" s="463"/>
      <c r="G190" s="462"/>
      <c r="H190" s="463"/>
      <c r="I190" s="460"/>
      <c r="J190" s="620"/>
      <c r="K190" s="553"/>
    </row>
    <row r="191" spans="1:11" x14ac:dyDescent="0.25">
      <c r="A191" s="452">
        <v>255</v>
      </c>
      <c r="B191" s="460" t="s">
        <v>2975</v>
      </c>
      <c r="C191" s="461"/>
      <c r="D191" s="460"/>
      <c r="E191" s="462">
        <v>105.5</v>
      </c>
      <c r="F191" s="463"/>
      <c r="G191" s="462"/>
      <c r="H191" s="463"/>
      <c r="I191" s="460"/>
      <c r="J191" s="620"/>
      <c r="K191" s="553"/>
    </row>
    <row r="192" spans="1:11" x14ac:dyDescent="0.25">
      <c r="A192" s="452">
        <v>255</v>
      </c>
      <c r="B192" s="460" t="s">
        <v>2976</v>
      </c>
      <c r="C192" s="461"/>
      <c r="D192" s="460"/>
      <c r="E192" s="462">
        <v>125.5</v>
      </c>
      <c r="F192" s="463"/>
      <c r="G192" s="462"/>
      <c r="H192" s="463"/>
      <c r="I192" s="460"/>
      <c r="J192" s="620"/>
      <c r="K192" s="553"/>
    </row>
    <row r="193" spans="1:11" x14ac:dyDescent="0.25">
      <c r="A193" s="452">
        <v>255</v>
      </c>
      <c r="B193" s="460" t="s">
        <v>2977</v>
      </c>
      <c r="C193" s="461"/>
      <c r="D193" s="460"/>
      <c r="E193" s="462">
        <v>12.5</v>
      </c>
      <c r="F193" s="463"/>
      <c r="G193" s="462"/>
      <c r="H193" s="463"/>
      <c r="I193" s="460"/>
      <c r="J193" s="620"/>
      <c r="K193" s="553"/>
    </row>
    <row r="194" spans="1:11" x14ac:dyDescent="0.25">
      <c r="A194" s="452">
        <v>255</v>
      </c>
      <c r="B194" s="460" t="s">
        <v>2978</v>
      </c>
      <c r="C194" s="461"/>
      <c r="D194" s="460"/>
      <c r="E194" s="462">
        <v>20</v>
      </c>
      <c r="F194" s="463"/>
      <c r="G194" s="462"/>
      <c r="H194" s="463"/>
      <c r="I194" s="460"/>
      <c r="J194" s="620"/>
      <c r="K194" s="553"/>
    </row>
    <row r="195" spans="1:11" x14ac:dyDescent="0.25">
      <c r="A195" s="452"/>
      <c r="B195" s="460"/>
      <c r="C195" s="461"/>
      <c r="D195" s="460"/>
      <c r="E195" s="462"/>
      <c r="F195" s="463"/>
      <c r="G195" s="462"/>
      <c r="H195" s="464"/>
      <c r="I195" s="460"/>
      <c r="J195" s="620"/>
      <c r="K195" s="553"/>
    </row>
    <row r="196" spans="1:11" x14ac:dyDescent="0.25">
      <c r="A196" s="452"/>
      <c r="B196" s="460"/>
      <c r="C196" s="473"/>
      <c r="D196" s="460"/>
      <c r="E196" s="462"/>
      <c r="F196" s="463"/>
      <c r="G196" s="462"/>
      <c r="H196" s="464"/>
      <c r="I196" s="460"/>
      <c r="J196" s="620"/>
      <c r="K196" s="553"/>
    </row>
    <row r="197" spans="1:11" x14ac:dyDescent="0.25">
      <c r="A197" s="452"/>
      <c r="B197" s="466" t="s">
        <v>2979</v>
      </c>
      <c r="C197" s="467"/>
      <c r="D197" s="468"/>
      <c r="E197" s="474"/>
      <c r="F197" s="469">
        <f>SUM(F68:F196)</f>
        <v>919891.8759999997</v>
      </c>
      <c r="G197" s="474"/>
      <c r="H197" s="471">
        <f>SUM(H68:H194)</f>
        <v>1115595.02</v>
      </c>
      <c r="I197" s="460"/>
      <c r="J197" s="620">
        <f>+H197</f>
        <v>1115595.02</v>
      </c>
      <c r="K197" s="553">
        <f>+H197-F197</f>
        <v>195703.14400000032</v>
      </c>
    </row>
    <row r="198" spans="1:11" x14ac:dyDescent="0.25">
      <c r="A198" s="452"/>
      <c r="B198" s="477"/>
      <c r="C198" s="478"/>
      <c r="D198" s="483"/>
      <c r="E198" s="479"/>
      <c r="F198" s="480"/>
      <c r="G198" s="479"/>
      <c r="H198" s="481"/>
      <c r="I198" s="460"/>
      <c r="J198" s="620"/>
      <c r="K198" s="553"/>
    </row>
    <row r="199" spans="1:11" x14ac:dyDescent="0.25">
      <c r="A199" s="452"/>
      <c r="B199" s="460"/>
      <c r="C199" s="461"/>
      <c r="D199" s="460"/>
      <c r="E199" s="462"/>
      <c r="F199" s="463"/>
      <c r="G199" s="462"/>
      <c r="H199" s="464"/>
      <c r="I199" s="460"/>
      <c r="J199" s="620"/>
      <c r="K199" s="553"/>
    </row>
    <row r="200" spans="1:11" x14ac:dyDescent="0.25">
      <c r="A200" s="452"/>
      <c r="B200" s="472" t="s">
        <v>2980</v>
      </c>
      <c r="C200" s="461"/>
      <c r="D200" s="460"/>
      <c r="E200" s="462"/>
      <c r="F200" s="463"/>
      <c r="G200" s="462"/>
      <c r="H200" s="464"/>
      <c r="I200" s="460"/>
      <c r="J200" s="620"/>
      <c r="K200" s="553"/>
    </row>
    <row r="201" spans="1:11" x14ac:dyDescent="0.25">
      <c r="A201" s="452"/>
      <c r="B201" s="460"/>
      <c r="C201" s="461"/>
      <c r="D201" s="460"/>
      <c r="E201" s="462"/>
      <c r="F201" s="463"/>
      <c r="G201" s="462"/>
      <c r="H201" s="464"/>
      <c r="I201" s="460"/>
      <c r="J201" s="620"/>
      <c r="K201" s="553"/>
    </row>
    <row r="202" spans="1:11" x14ac:dyDescent="0.25">
      <c r="A202" s="452">
        <v>160</v>
      </c>
      <c r="B202" s="460" t="s">
        <v>2981</v>
      </c>
      <c r="C202" s="461"/>
      <c r="D202" s="465">
        <v>165</v>
      </c>
      <c r="E202" s="462">
        <v>95</v>
      </c>
      <c r="F202" s="463">
        <f>D202*E202</f>
        <v>15675</v>
      </c>
      <c r="G202" s="462">
        <f>+E202</f>
        <v>95</v>
      </c>
      <c r="H202" s="463">
        <f>+D202*G202</f>
        <v>15675</v>
      </c>
      <c r="I202" s="460"/>
      <c r="J202" s="620"/>
      <c r="K202" s="553"/>
    </row>
    <row r="203" spans="1:11" x14ac:dyDescent="0.25">
      <c r="A203" s="452">
        <v>160</v>
      </c>
      <c r="B203" s="460" t="s">
        <v>2982</v>
      </c>
      <c r="C203" s="461"/>
      <c r="D203" s="460"/>
      <c r="E203" s="462">
        <v>47.5</v>
      </c>
      <c r="F203" s="463">
        <v>0</v>
      </c>
      <c r="G203" s="462"/>
      <c r="H203" s="463">
        <f>+G203*D203*12</f>
        <v>0</v>
      </c>
      <c r="I203" s="460"/>
      <c r="J203" s="620"/>
      <c r="K203" s="553"/>
    </row>
    <row r="204" spans="1:11" x14ac:dyDescent="0.25">
      <c r="A204" s="452">
        <v>160</v>
      </c>
      <c r="B204" s="460" t="s">
        <v>2983</v>
      </c>
      <c r="C204" s="461"/>
      <c r="D204" s="460"/>
      <c r="E204" s="462">
        <v>47.5</v>
      </c>
      <c r="F204" s="463"/>
      <c r="G204" s="462"/>
      <c r="H204" s="464"/>
      <c r="I204" s="460"/>
      <c r="J204" s="620"/>
      <c r="K204" s="553"/>
    </row>
    <row r="205" spans="1:11" x14ac:dyDescent="0.25">
      <c r="A205" s="452">
        <v>260</v>
      </c>
      <c r="B205" s="460" t="s">
        <v>2984</v>
      </c>
      <c r="C205" s="461" t="s">
        <v>2922</v>
      </c>
      <c r="D205" s="460">
        <v>81</v>
      </c>
      <c r="E205" s="462">
        <v>50</v>
      </c>
      <c r="F205" s="463">
        <f>+E205*D205</f>
        <v>4050</v>
      </c>
      <c r="G205" s="462">
        <f>+E205</f>
        <v>50</v>
      </c>
      <c r="H205" s="464">
        <f>+G205*D205</f>
        <v>4050</v>
      </c>
      <c r="I205" s="460"/>
      <c r="J205" s="620"/>
      <c r="K205" s="553"/>
    </row>
    <row r="206" spans="1:11" x14ac:dyDescent="0.25">
      <c r="A206" s="452">
        <v>260</v>
      </c>
      <c r="B206" s="460" t="s">
        <v>2985</v>
      </c>
      <c r="C206" s="461" t="s">
        <v>2922</v>
      </c>
      <c r="D206" s="465">
        <v>297</v>
      </c>
      <c r="E206" s="462">
        <v>90</v>
      </c>
      <c r="F206" s="463">
        <f>+D206*E206</f>
        <v>26730</v>
      </c>
      <c r="G206" s="462">
        <v>110</v>
      </c>
      <c r="H206" s="464">
        <f>+G206*D206</f>
        <v>32670</v>
      </c>
      <c r="I206" s="460"/>
      <c r="J206" s="620"/>
      <c r="K206" s="553"/>
    </row>
    <row r="207" spans="1:11" x14ac:dyDescent="0.25">
      <c r="A207" s="452">
        <v>260</v>
      </c>
      <c r="B207" s="460" t="s">
        <v>2986</v>
      </c>
      <c r="C207" s="461" t="s">
        <v>2922</v>
      </c>
      <c r="D207" s="465"/>
      <c r="E207" s="462">
        <v>90</v>
      </c>
      <c r="F207" s="463">
        <f>+D207*E207</f>
        <v>0</v>
      </c>
      <c r="G207" s="462">
        <v>110</v>
      </c>
      <c r="H207" s="464"/>
      <c r="I207" s="460"/>
      <c r="J207" s="620"/>
      <c r="K207" s="553"/>
    </row>
    <row r="208" spans="1:11" x14ac:dyDescent="0.25">
      <c r="A208" s="452">
        <v>260</v>
      </c>
      <c r="B208" s="460" t="s">
        <v>2987</v>
      </c>
      <c r="C208" s="461" t="s">
        <v>2924</v>
      </c>
      <c r="D208" s="465">
        <v>47</v>
      </c>
      <c r="E208" s="462">
        <v>107.25</v>
      </c>
      <c r="F208" s="463">
        <f>+D208*E208</f>
        <v>5040.75</v>
      </c>
      <c r="G208" s="462">
        <v>125</v>
      </c>
      <c r="H208" s="464">
        <f>+G208*D208</f>
        <v>5875</v>
      </c>
      <c r="I208" s="460"/>
      <c r="J208" s="620"/>
      <c r="K208" s="553"/>
    </row>
    <row r="209" spans="1:11" x14ac:dyDescent="0.25">
      <c r="A209" s="452">
        <v>260</v>
      </c>
      <c r="B209" s="460" t="s">
        <v>2988</v>
      </c>
      <c r="C209" s="461" t="s">
        <v>2924</v>
      </c>
      <c r="D209" s="465">
        <v>24</v>
      </c>
      <c r="E209" s="462">
        <v>50</v>
      </c>
      <c r="F209" s="463">
        <f>+D209*E209</f>
        <v>1200</v>
      </c>
      <c r="G209" s="462">
        <v>50</v>
      </c>
      <c r="H209" s="464">
        <f>+G209*D209</f>
        <v>1200</v>
      </c>
      <c r="I209" s="460"/>
      <c r="J209" s="620"/>
      <c r="K209" s="553"/>
    </row>
    <row r="210" spans="1:11" x14ac:dyDescent="0.25">
      <c r="A210" s="452">
        <v>260</v>
      </c>
      <c r="B210" s="460" t="s">
        <v>2989</v>
      </c>
      <c r="C210" s="461" t="s">
        <v>2990</v>
      </c>
      <c r="D210" s="465">
        <f>577+128</f>
        <v>705</v>
      </c>
      <c r="E210" s="462">
        <v>3.75</v>
      </c>
      <c r="F210" s="463">
        <f>+D210*E210</f>
        <v>2643.75</v>
      </c>
      <c r="G210" s="462">
        <v>3.75</v>
      </c>
      <c r="H210" s="464">
        <f>+G210*D210</f>
        <v>2643.75</v>
      </c>
      <c r="I210" s="460"/>
      <c r="J210" s="620"/>
      <c r="K210" s="553"/>
    </row>
    <row r="211" spans="1:11" x14ac:dyDescent="0.25">
      <c r="A211" s="452"/>
      <c r="B211" s="460"/>
      <c r="C211" s="461"/>
      <c r="D211" s="465"/>
      <c r="E211" s="462"/>
      <c r="F211" s="463"/>
      <c r="G211" s="462"/>
      <c r="H211" s="464"/>
      <c r="I211" s="460"/>
      <c r="J211" s="620"/>
      <c r="K211" s="553"/>
    </row>
    <row r="212" spans="1:11" x14ac:dyDescent="0.25">
      <c r="A212" s="452"/>
      <c r="B212" s="460" t="s">
        <v>2991</v>
      </c>
      <c r="C212" s="461" t="s">
        <v>2922</v>
      </c>
      <c r="D212" s="465">
        <v>376</v>
      </c>
      <c r="E212" s="462">
        <v>50</v>
      </c>
      <c r="F212" s="463">
        <f t="shared" ref="F212:F217" si="14">+D212*E212</f>
        <v>18800</v>
      </c>
      <c r="G212" s="462">
        <f>+E212</f>
        <v>50</v>
      </c>
      <c r="H212" s="464">
        <f>+G212*D212</f>
        <v>18800</v>
      </c>
      <c r="I212" s="460"/>
      <c r="J212" s="620"/>
      <c r="K212" s="553"/>
    </row>
    <row r="213" spans="1:11" x14ac:dyDescent="0.25">
      <c r="A213" s="452">
        <v>260</v>
      </c>
      <c r="B213" s="460" t="s">
        <v>2992</v>
      </c>
      <c r="C213" s="461" t="s">
        <v>2922</v>
      </c>
      <c r="D213" s="465">
        <v>1469</v>
      </c>
      <c r="E213" s="462">
        <v>100</v>
      </c>
      <c r="F213" s="463">
        <f t="shared" si="14"/>
        <v>146900</v>
      </c>
      <c r="G213" s="462">
        <v>110</v>
      </c>
      <c r="H213" s="464">
        <f>+G213*D213</f>
        <v>161590</v>
      </c>
      <c r="I213" s="460"/>
      <c r="J213" s="620"/>
      <c r="K213" s="553"/>
    </row>
    <row r="214" spans="1:11" x14ac:dyDescent="0.25">
      <c r="A214" s="452">
        <v>260</v>
      </c>
      <c r="B214" s="460" t="s">
        <v>2993</v>
      </c>
      <c r="C214" s="461" t="s">
        <v>2922</v>
      </c>
      <c r="D214" s="465"/>
      <c r="E214" s="462">
        <v>100</v>
      </c>
      <c r="F214" s="463">
        <f t="shared" si="14"/>
        <v>0</v>
      </c>
      <c r="G214" s="462">
        <v>110</v>
      </c>
      <c r="H214" s="464"/>
      <c r="I214" s="460"/>
      <c r="J214" s="620"/>
      <c r="K214" s="553"/>
    </row>
    <row r="215" spans="1:11" x14ac:dyDescent="0.25">
      <c r="A215" s="452">
        <v>260</v>
      </c>
      <c r="B215" s="460" t="s">
        <v>2994</v>
      </c>
      <c r="C215" s="461" t="s">
        <v>2924</v>
      </c>
      <c r="D215" s="465">
        <v>143</v>
      </c>
      <c r="E215" s="462">
        <v>117.25</v>
      </c>
      <c r="F215" s="463">
        <f t="shared" si="14"/>
        <v>16766.75</v>
      </c>
      <c r="G215" s="462">
        <v>130</v>
      </c>
      <c r="H215" s="464">
        <f t="shared" ref="H215:H221" si="15">+G215*D215</f>
        <v>18590</v>
      </c>
      <c r="I215" s="460"/>
      <c r="J215" s="620"/>
      <c r="K215" s="553"/>
    </row>
    <row r="216" spans="1:11" x14ac:dyDescent="0.25">
      <c r="A216" s="452">
        <v>260</v>
      </c>
      <c r="B216" s="460" t="s">
        <v>2995</v>
      </c>
      <c r="C216" s="461" t="s">
        <v>2924</v>
      </c>
      <c r="D216" s="465">
        <v>99</v>
      </c>
      <c r="E216" s="462">
        <v>50</v>
      </c>
      <c r="F216" s="463">
        <f t="shared" si="14"/>
        <v>4950</v>
      </c>
      <c r="G216" s="462">
        <v>50</v>
      </c>
      <c r="H216" s="464"/>
      <c r="I216" s="460"/>
      <c r="J216" s="620"/>
      <c r="K216" s="553"/>
    </row>
    <row r="217" spans="1:11" x14ac:dyDescent="0.25">
      <c r="A217" s="452">
        <v>260</v>
      </c>
      <c r="B217" s="460" t="s">
        <v>2989</v>
      </c>
      <c r="C217" s="461"/>
      <c r="D217" s="465">
        <v>2086</v>
      </c>
      <c r="E217" s="462">
        <v>4.25</v>
      </c>
      <c r="F217" s="463">
        <f t="shared" si="14"/>
        <v>8865.5</v>
      </c>
      <c r="G217" s="462">
        <v>4.25</v>
      </c>
      <c r="H217" s="464">
        <f t="shared" si="15"/>
        <v>8865.5</v>
      </c>
      <c r="I217" s="460"/>
      <c r="J217" s="620"/>
      <c r="K217" s="553"/>
    </row>
    <row r="218" spans="1:11" x14ac:dyDescent="0.25">
      <c r="A218" s="487"/>
      <c r="B218" s="488"/>
      <c r="C218" s="489"/>
      <c r="D218" s="492"/>
      <c r="E218" s="490"/>
      <c r="F218" s="491"/>
      <c r="G218" s="490"/>
      <c r="H218" s="464">
        <f t="shared" si="15"/>
        <v>0</v>
      </c>
      <c r="I218" s="460"/>
      <c r="J218" s="620"/>
      <c r="K218" s="553"/>
    </row>
    <row r="219" spans="1:11" x14ac:dyDescent="0.25">
      <c r="A219" s="487"/>
      <c r="B219" s="488"/>
      <c r="C219" s="489"/>
      <c r="D219" s="492"/>
      <c r="E219" s="490"/>
      <c r="F219" s="491"/>
      <c r="G219" s="490"/>
      <c r="H219" s="464">
        <f t="shared" si="15"/>
        <v>0</v>
      </c>
      <c r="I219" s="460"/>
      <c r="J219" s="620"/>
      <c r="K219" s="553"/>
    </row>
    <row r="220" spans="1:11" x14ac:dyDescent="0.25">
      <c r="A220" s="452">
        <v>260</v>
      </c>
      <c r="B220" s="460" t="s">
        <v>2996</v>
      </c>
      <c r="C220" s="461" t="s">
        <v>2922</v>
      </c>
      <c r="D220" s="465">
        <v>328</v>
      </c>
      <c r="E220" s="462">
        <v>60</v>
      </c>
      <c r="F220" s="463">
        <f>+E220*D220</f>
        <v>19680</v>
      </c>
      <c r="G220" s="462">
        <f>+E220</f>
        <v>60</v>
      </c>
      <c r="H220" s="464">
        <f t="shared" si="15"/>
        <v>19680</v>
      </c>
      <c r="I220" s="460"/>
      <c r="J220" s="620"/>
      <c r="K220" s="553"/>
    </row>
    <row r="221" spans="1:11" x14ac:dyDescent="0.25">
      <c r="A221" s="452">
        <v>260</v>
      </c>
      <c r="B221" s="460" t="s">
        <v>2997</v>
      </c>
      <c r="C221" s="461" t="s">
        <v>2922</v>
      </c>
      <c r="D221" s="465">
        <v>1259</v>
      </c>
      <c r="E221" s="462">
        <v>110</v>
      </c>
      <c r="F221" s="463">
        <f>+D221*E221</f>
        <v>138490</v>
      </c>
      <c r="G221" s="462">
        <f>+E221</f>
        <v>110</v>
      </c>
      <c r="H221" s="464">
        <f t="shared" si="15"/>
        <v>138490</v>
      </c>
      <c r="I221" s="460"/>
      <c r="J221" s="620"/>
      <c r="K221" s="553"/>
    </row>
    <row r="222" spans="1:11" x14ac:dyDescent="0.25">
      <c r="A222" s="452">
        <v>260</v>
      </c>
      <c r="B222" s="460" t="s">
        <v>2998</v>
      </c>
      <c r="C222" s="461" t="s">
        <v>2922</v>
      </c>
      <c r="D222" s="465"/>
      <c r="E222" s="462">
        <v>110</v>
      </c>
      <c r="F222" s="463">
        <f>+E222*D222</f>
        <v>0</v>
      </c>
      <c r="G222" s="462">
        <f>+E222</f>
        <v>110</v>
      </c>
      <c r="H222" s="464"/>
      <c r="I222" s="460"/>
      <c r="J222" s="620"/>
      <c r="K222" s="553"/>
    </row>
    <row r="223" spans="1:11" x14ac:dyDescent="0.25">
      <c r="A223" s="452">
        <v>260</v>
      </c>
      <c r="B223" s="460" t="s">
        <v>2999</v>
      </c>
      <c r="C223" s="461" t="s">
        <v>2924</v>
      </c>
      <c r="D223" s="465">
        <v>410</v>
      </c>
      <c r="E223" s="462">
        <v>127.25</v>
      </c>
      <c r="F223" s="463">
        <f>+D223*E223</f>
        <v>52172.5</v>
      </c>
      <c r="G223" s="462">
        <v>130</v>
      </c>
      <c r="H223" s="464">
        <f t="shared" ref="H223:H229" si="16">+G223*D223</f>
        <v>53300</v>
      </c>
      <c r="I223" s="460"/>
      <c r="J223" s="620"/>
      <c r="K223" s="553"/>
    </row>
    <row r="224" spans="1:11" x14ac:dyDescent="0.25">
      <c r="A224" s="452">
        <v>260</v>
      </c>
      <c r="B224" s="460" t="s">
        <v>3000</v>
      </c>
      <c r="C224" s="461" t="s">
        <v>2924</v>
      </c>
      <c r="D224" s="465">
        <v>173</v>
      </c>
      <c r="E224" s="462">
        <v>50</v>
      </c>
      <c r="F224" s="463">
        <f>+D224*E224</f>
        <v>8650</v>
      </c>
      <c r="G224" s="462">
        <v>50</v>
      </c>
      <c r="H224" s="464"/>
      <c r="I224" s="460"/>
      <c r="J224" s="620"/>
      <c r="K224" s="553"/>
    </row>
    <row r="225" spans="1:11" x14ac:dyDescent="0.25">
      <c r="A225" s="452">
        <v>260</v>
      </c>
      <c r="B225" s="460" t="s">
        <v>2989</v>
      </c>
      <c r="C225" s="461"/>
      <c r="D225" s="465">
        <v>4532</v>
      </c>
      <c r="E225" s="462">
        <v>5</v>
      </c>
      <c r="F225" s="463">
        <f>+D225*E225</f>
        <v>22660</v>
      </c>
      <c r="G225" s="462">
        <v>5</v>
      </c>
      <c r="H225" s="464">
        <f t="shared" si="16"/>
        <v>22660</v>
      </c>
      <c r="I225" s="460"/>
      <c r="J225" s="620"/>
      <c r="K225" s="553"/>
    </row>
    <row r="226" spans="1:11" x14ac:dyDescent="0.25">
      <c r="A226" s="487"/>
      <c r="B226" s="488"/>
      <c r="C226" s="489"/>
      <c r="D226" s="492"/>
      <c r="E226" s="490"/>
      <c r="F226" s="491"/>
      <c r="G226" s="490"/>
      <c r="H226" s="464">
        <f t="shared" si="16"/>
        <v>0</v>
      </c>
      <c r="I226" s="460"/>
      <c r="J226" s="620"/>
      <c r="K226" s="553"/>
    </row>
    <row r="227" spans="1:11" x14ac:dyDescent="0.25">
      <c r="A227" s="487"/>
      <c r="B227" s="488"/>
      <c r="C227" s="489"/>
      <c r="D227" s="492"/>
      <c r="E227" s="490"/>
      <c r="F227" s="491"/>
      <c r="G227" s="490"/>
      <c r="H227" s="464">
        <f t="shared" si="16"/>
        <v>0</v>
      </c>
      <c r="I227" s="460"/>
      <c r="J227" s="620"/>
      <c r="K227" s="553"/>
    </row>
    <row r="228" spans="1:11" x14ac:dyDescent="0.25">
      <c r="A228" s="452">
        <v>260</v>
      </c>
      <c r="B228" s="460" t="s">
        <v>2996</v>
      </c>
      <c r="C228" s="461" t="s">
        <v>2922</v>
      </c>
      <c r="D228" s="465">
        <v>181</v>
      </c>
      <c r="E228" s="462">
        <v>80</v>
      </c>
      <c r="F228" s="463">
        <f>+D228*E228</f>
        <v>14480</v>
      </c>
      <c r="G228" s="462">
        <f>+E228</f>
        <v>80</v>
      </c>
      <c r="H228" s="464">
        <f t="shared" si="16"/>
        <v>14480</v>
      </c>
      <c r="I228" s="460"/>
      <c r="J228" s="620"/>
      <c r="K228" s="553"/>
    </row>
    <row r="229" spans="1:11" x14ac:dyDescent="0.25">
      <c r="A229" s="452">
        <v>260</v>
      </c>
      <c r="B229" s="460" t="s">
        <v>3001</v>
      </c>
      <c r="C229" s="461" t="s">
        <v>2922</v>
      </c>
      <c r="D229" s="465">
        <v>552</v>
      </c>
      <c r="E229" s="462">
        <v>130</v>
      </c>
      <c r="F229" s="463">
        <f t="shared" ref="F229:F233" si="17">+D229*E229</f>
        <v>71760</v>
      </c>
      <c r="G229" s="462">
        <v>145</v>
      </c>
      <c r="H229" s="464">
        <f t="shared" si="16"/>
        <v>80040</v>
      </c>
      <c r="I229" s="460"/>
      <c r="J229" s="620"/>
      <c r="K229" s="553"/>
    </row>
    <row r="230" spans="1:11" x14ac:dyDescent="0.25">
      <c r="A230" s="452">
        <v>260</v>
      </c>
      <c r="B230" s="460" t="s">
        <v>3002</v>
      </c>
      <c r="C230" s="461" t="s">
        <v>2922</v>
      </c>
      <c r="D230" s="465"/>
      <c r="E230" s="462">
        <v>130</v>
      </c>
      <c r="F230" s="463">
        <f t="shared" si="17"/>
        <v>0</v>
      </c>
      <c r="G230" s="462">
        <v>145</v>
      </c>
      <c r="H230" s="464"/>
      <c r="I230" s="460"/>
      <c r="J230" s="620"/>
      <c r="K230" s="553"/>
    </row>
    <row r="231" spans="1:11" x14ac:dyDescent="0.25">
      <c r="A231" s="452">
        <v>260</v>
      </c>
      <c r="B231" s="460" t="s">
        <v>3003</v>
      </c>
      <c r="C231" s="461" t="s">
        <v>2924</v>
      </c>
      <c r="D231" s="465">
        <f>18+32</f>
        <v>50</v>
      </c>
      <c r="E231" s="462">
        <v>147.25</v>
      </c>
      <c r="F231" s="463">
        <f t="shared" si="17"/>
        <v>7362.5</v>
      </c>
      <c r="G231" s="462">
        <v>155</v>
      </c>
      <c r="H231" s="464">
        <f t="shared" ref="H231:H237" si="18">+G231*D231</f>
        <v>7750</v>
      </c>
      <c r="I231" s="460"/>
      <c r="J231" s="620"/>
      <c r="K231" s="553"/>
    </row>
    <row r="232" spans="1:11" x14ac:dyDescent="0.25">
      <c r="A232" s="452">
        <v>260</v>
      </c>
      <c r="B232" s="460" t="s">
        <v>3004</v>
      </c>
      <c r="C232" s="461"/>
      <c r="D232" s="465">
        <f>1+26</f>
        <v>27</v>
      </c>
      <c r="E232" s="462">
        <v>50</v>
      </c>
      <c r="F232" s="463">
        <f t="shared" si="17"/>
        <v>1350</v>
      </c>
      <c r="G232" s="462">
        <v>50</v>
      </c>
      <c r="H232" s="464">
        <f t="shared" si="18"/>
        <v>1350</v>
      </c>
      <c r="I232" s="460"/>
      <c r="J232" s="620"/>
      <c r="K232" s="553"/>
    </row>
    <row r="233" spans="1:11" x14ac:dyDescent="0.25">
      <c r="A233" s="452">
        <v>260</v>
      </c>
      <c r="B233" s="460" t="s">
        <v>2989</v>
      </c>
      <c r="C233" s="461"/>
      <c r="D233" s="465">
        <v>678</v>
      </c>
      <c r="E233" s="462">
        <v>5.25</v>
      </c>
      <c r="F233" s="463">
        <f t="shared" si="17"/>
        <v>3559.5</v>
      </c>
      <c r="G233" s="462">
        <v>5.25</v>
      </c>
      <c r="H233" s="464">
        <f t="shared" si="18"/>
        <v>3559.5</v>
      </c>
      <c r="I233" s="460"/>
      <c r="J233" s="620"/>
      <c r="K233" s="553"/>
    </row>
    <row r="234" spans="1:11" x14ac:dyDescent="0.25">
      <c r="A234" s="487"/>
      <c r="B234" s="488"/>
      <c r="C234" s="489"/>
      <c r="D234" s="492"/>
      <c r="E234" s="490"/>
      <c r="F234" s="491"/>
      <c r="G234" s="490"/>
      <c r="H234" s="464">
        <f t="shared" si="18"/>
        <v>0</v>
      </c>
      <c r="I234" s="460"/>
      <c r="J234" s="620"/>
      <c r="K234" s="553"/>
    </row>
    <row r="235" spans="1:11" x14ac:dyDescent="0.25">
      <c r="A235" s="487"/>
      <c r="B235" s="488"/>
      <c r="C235" s="489"/>
      <c r="D235" s="492"/>
      <c r="E235" s="490"/>
      <c r="F235" s="491"/>
      <c r="G235" s="490"/>
      <c r="H235" s="464">
        <f t="shared" si="18"/>
        <v>0</v>
      </c>
      <c r="I235" s="460"/>
      <c r="J235" s="620"/>
      <c r="K235" s="553"/>
    </row>
    <row r="236" spans="1:11" x14ac:dyDescent="0.25">
      <c r="A236" s="452">
        <v>260</v>
      </c>
      <c r="B236" s="460" t="s">
        <v>2996</v>
      </c>
      <c r="C236" s="461" t="s">
        <v>2922</v>
      </c>
      <c r="D236" s="465">
        <v>0</v>
      </c>
      <c r="E236" s="462">
        <v>100</v>
      </c>
      <c r="F236" s="463">
        <f>+D236*E236*12</f>
        <v>0</v>
      </c>
      <c r="G236" s="462">
        <v>100</v>
      </c>
      <c r="H236" s="464">
        <f t="shared" si="18"/>
        <v>0</v>
      </c>
      <c r="I236" s="460"/>
      <c r="J236" s="620"/>
      <c r="K236" s="553"/>
    </row>
    <row r="237" spans="1:11" x14ac:dyDescent="0.25">
      <c r="A237" s="452">
        <v>260</v>
      </c>
      <c r="B237" s="460" t="s">
        <v>3005</v>
      </c>
      <c r="C237" s="461" t="s">
        <v>2922</v>
      </c>
      <c r="D237" s="465">
        <v>317</v>
      </c>
      <c r="E237" s="462">
        <v>150</v>
      </c>
      <c r="F237" s="463">
        <f>+D237*E237</f>
        <v>47550</v>
      </c>
      <c r="G237" s="462">
        <v>160</v>
      </c>
      <c r="H237" s="464">
        <f t="shared" si="18"/>
        <v>50720</v>
      </c>
      <c r="I237" s="460"/>
      <c r="J237" s="620"/>
      <c r="K237" s="553"/>
    </row>
    <row r="238" spans="1:11" x14ac:dyDescent="0.25">
      <c r="A238" s="452">
        <v>260</v>
      </c>
      <c r="B238" s="460" t="s">
        <v>3006</v>
      </c>
      <c r="C238" s="461" t="s">
        <v>2922</v>
      </c>
      <c r="D238" s="465"/>
      <c r="E238" s="462">
        <v>150</v>
      </c>
      <c r="F238" s="463"/>
      <c r="G238" s="462">
        <v>160</v>
      </c>
      <c r="H238" s="464"/>
      <c r="I238" s="460"/>
      <c r="J238" s="620"/>
      <c r="K238" s="553"/>
    </row>
    <row r="239" spans="1:11" x14ac:dyDescent="0.25">
      <c r="A239" s="452">
        <v>260</v>
      </c>
      <c r="B239" s="460" t="s">
        <v>3007</v>
      </c>
      <c r="C239" s="461" t="s">
        <v>2924</v>
      </c>
      <c r="D239" s="465">
        <f>2+7</f>
        <v>9</v>
      </c>
      <c r="E239" s="462">
        <v>167.25</v>
      </c>
      <c r="F239" s="463">
        <f>+D239*E239</f>
        <v>1505.25</v>
      </c>
      <c r="G239" s="462">
        <f>+G238+17.25</f>
        <v>177.25</v>
      </c>
      <c r="H239" s="464">
        <f t="shared" ref="H239:H264" si="19">+G239*D239</f>
        <v>1595.25</v>
      </c>
      <c r="I239" s="460"/>
      <c r="J239" s="620"/>
      <c r="K239" s="553"/>
    </row>
    <row r="240" spans="1:11" x14ac:dyDescent="0.25">
      <c r="A240" s="452">
        <v>260</v>
      </c>
      <c r="B240" s="460" t="s">
        <v>3008</v>
      </c>
      <c r="C240" s="461"/>
      <c r="D240" s="465">
        <f>1+2</f>
        <v>3</v>
      </c>
      <c r="E240" s="462">
        <v>50</v>
      </c>
      <c r="F240" s="463">
        <f>+D240*E240</f>
        <v>150</v>
      </c>
      <c r="G240" s="462">
        <v>50</v>
      </c>
      <c r="H240" s="464"/>
      <c r="I240" s="460"/>
      <c r="J240" s="620"/>
      <c r="K240" s="553"/>
    </row>
    <row r="241" spans="1:11" x14ac:dyDescent="0.25">
      <c r="A241" s="452">
        <v>260</v>
      </c>
      <c r="B241" s="460" t="s">
        <v>2989</v>
      </c>
      <c r="C241" s="461"/>
      <c r="D241" s="465">
        <v>36</v>
      </c>
      <c r="E241" s="462">
        <v>5.75</v>
      </c>
      <c r="F241" s="463">
        <f>+D241*E241</f>
        <v>207</v>
      </c>
      <c r="G241" s="462">
        <v>5.75</v>
      </c>
      <c r="H241" s="464">
        <f t="shared" si="19"/>
        <v>207</v>
      </c>
      <c r="I241" s="460"/>
      <c r="J241" s="620"/>
      <c r="K241" s="553"/>
    </row>
    <row r="242" spans="1:11" x14ac:dyDescent="0.25">
      <c r="A242" s="452">
        <v>260</v>
      </c>
      <c r="B242" s="460" t="s">
        <v>3009</v>
      </c>
      <c r="C242" s="461"/>
      <c r="D242" s="465"/>
      <c r="E242" s="462">
        <v>50</v>
      </c>
      <c r="F242" s="463">
        <f>+D242*E242</f>
        <v>0</v>
      </c>
      <c r="G242" s="462">
        <f>G11</f>
        <v>50</v>
      </c>
      <c r="H242" s="464">
        <f t="shared" si="19"/>
        <v>0</v>
      </c>
      <c r="I242" s="460"/>
      <c r="J242" s="620"/>
      <c r="K242" s="553"/>
    </row>
    <row r="243" spans="1:11" x14ac:dyDescent="0.25">
      <c r="A243" s="452">
        <v>260</v>
      </c>
      <c r="B243" s="460" t="s">
        <v>3010</v>
      </c>
      <c r="C243" s="461"/>
      <c r="D243" s="465"/>
      <c r="E243" s="462">
        <v>3</v>
      </c>
      <c r="F243" s="463">
        <f>+D243*E243</f>
        <v>0</v>
      </c>
      <c r="G243" s="462">
        <v>3</v>
      </c>
      <c r="H243" s="464">
        <f t="shared" si="19"/>
        <v>0</v>
      </c>
      <c r="I243" s="460"/>
      <c r="J243" s="620"/>
      <c r="K243" s="553"/>
    </row>
    <row r="244" spans="1:11" x14ac:dyDescent="0.25">
      <c r="A244" s="452">
        <v>260</v>
      </c>
      <c r="B244" s="460" t="s">
        <v>3011</v>
      </c>
      <c r="C244" s="461"/>
      <c r="D244" s="465"/>
      <c r="E244" s="462">
        <v>12.5</v>
      </c>
      <c r="F244" s="463"/>
      <c r="G244" s="462">
        <v>12.5</v>
      </c>
      <c r="H244" s="464">
        <f t="shared" si="19"/>
        <v>0</v>
      </c>
      <c r="I244" s="460"/>
      <c r="J244" s="620"/>
      <c r="K244" s="553"/>
    </row>
    <row r="245" spans="1:11" x14ac:dyDescent="0.25">
      <c r="A245" s="452">
        <v>270</v>
      </c>
      <c r="B245" s="460" t="s">
        <v>3012</v>
      </c>
      <c r="C245" s="461" t="s">
        <v>2922</v>
      </c>
      <c r="D245" s="465">
        <v>27</v>
      </c>
      <c r="E245" s="462">
        <v>130</v>
      </c>
      <c r="F245" s="463">
        <f t="shared" ref="F245:F255" si="20">+D245*E245</f>
        <v>3510</v>
      </c>
      <c r="G245" s="462">
        <v>137</v>
      </c>
      <c r="H245" s="464">
        <f t="shared" si="19"/>
        <v>3699</v>
      </c>
      <c r="I245" s="460"/>
      <c r="J245" s="620"/>
      <c r="K245" s="553"/>
    </row>
    <row r="246" spans="1:11" x14ac:dyDescent="0.25">
      <c r="A246" s="452">
        <v>270</v>
      </c>
      <c r="B246" s="460" t="s">
        <v>3013</v>
      </c>
      <c r="C246" s="461"/>
      <c r="D246" s="465"/>
      <c r="E246" s="462">
        <v>75.5</v>
      </c>
      <c r="F246" s="463">
        <f t="shared" si="20"/>
        <v>0</v>
      </c>
      <c r="G246" s="462">
        <v>75</v>
      </c>
      <c r="H246" s="464">
        <f t="shared" si="19"/>
        <v>0</v>
      </c>
      <c r="I246" s="460"/>
      <c r="J246" s="620"/>
      <c r="K246" s="553"/>
    </row>
    <row r="247" spans="1:11" x14ac:dyDescent="0.25">
      <c r="A247" s="452">
        <v>270</v>
      </c>
      <c r="B247" s="460" t="s">
        <v>3014</v>
      </c>
      <c r="C247" s="461" t="s">
        <v>2922</v>
      </c>
      <c r="D247" s="465">
        <v>436</v>
      </c>
      <c r="E247" s="462">
        <v>130.5</v>
      </c>
      <c r="F247" s="463">
        <f t="shared" si="20"/>
        <v>56898</v>
      </c>
      <c r="G247" s="462">
        <v>137</v>
      </c>
      <c r="H247" s="464">
        <f t="shared" si="19"/>
        <v>59732</v>
      </c>
      <c r="I247" s="460"/>
      <c r="J247" s="620"/>
      <c r="K247" s="553"/>
    </row>
    <row r="248" spans="1:11" x14ac:dyDescent="0.25">
      <c r="A248" s="452">
        <v>270</v>
      </c>
      <c r="B248" s="460" t="s">
        <v>3015</v>
      </c>
      <c r="C248" s="461"/>
      <c r="D248" s="460"/>
      <c r="E248" s="462">
        <v>75.5</v>
      </c>
      <c r="F248" s="463">
        <f t="shared" si="20"/>
        <v>0</v>
      </c>
      <c r="G248" s="462">
        <v>75</v>
      </c>
      <c r="H248" s="464">
        <f t="shared" si="19"/>
        <v>0</v>
      </c>
      <c r="I248" s="460"/>
      <c r="J248" s="620"/>
      <c r="K248" s="553"/>
    </row>
    <row r="249" spans="1:11" x14ac:dyDescent="0.25">
      <c r="A249" s="452">
        <v>270</v>
      </c>
      <c r="B249" s="460" t="s">
        <v>3016</v>
      </c>
      <c r="C249" s="461"/>
      <c r="D249" s="460"/>
      <c r="E249" s="462">
        <v>130.5</v>
      </c>
      <c r="F249" s="463">
        <f t="shared" si="20"/>
        <v>0</v>
      </c>
      <c r="G249" s="462">
        <v>135</v>
      </c>
      <c r="H249" s="464">
        <f t="shared" si="19"/>
        <v>0</v>
      </c>
      <c r="I249" s="460"/>
      <c r="J249" s="620"/>
      <c r="K249" s="553"/>
    </row>
    <row r="250" spans="1:11" x14ac:dyDescent="0.25">
      <c r="A250" s="452">
        <v>270</v>
      </c>
      <c r="B250" s="460" t="s">
        <v>3017</v>
      </c>
      <c r="C250" s="461"/>
      <c r="D250" s="460"/>
      <c r="E250" s="462">
        <v>75.5</v>
      </c>
      <c r="F250" s="463">
        <f t="shared" si="20"/>
        <v>0</v>
      </c>
      <c r="G250" s="462">
        <v>75</v>
      </c>
      <c r="H250" s="464">
        <f t="shared" si="19"/>
        <v>0</v>
      </c>
      <c r="I250" s="460"/>
      <c r="J250" s="620"/>
      <c r="K250" s="553"/>
    </row>
    <row r="251" spans="1:11" x14ac:dyDescent="0.25">
      <c r="A251" s="452">
        <v>270</v>
      </c>
      <c r="B251" s="460" t="s">
        <v>3018</v>
      </c>
      <c r="C251" s="461" t="s">
        <v>2922</v>
      </c>
      <c r="D251" s="460"/>
      <c r="E251" s="462">
        <v>130.5</v>
      </c>
      <c r="F251" s="463">
        <v>0</v>
      </c>
      <c r="G251" s="462">
        <v>135</v>
      </c>
      <c r="H251" s="464">
        <f t="shared" si="19"/>
        <v>0</v>
      </c>
      <c r="I251" s="460"/>
      <c r="J251" s="620"/>
      <c r="K251" s="553"/>
    </row>
    <row r="252" spans="1:11" x14ac:dyDescent="0.25">
      <c r="A252" s="452">
        <v>270</v>
      </c>
      <c r="B252" s="460" t="s">
        <v>3019</v>
      </c>
      <c r="C252" s="461"/>
      <c r="D252" s="460"/>
      <c r="E252" s="462">
        <v>75.5</v>
      </c>
      <c r="F252" s="463">
        <f t="shared" si="20"/>
        <v>0</v>
      </c>
      <c r="G252" s="462">
        <v>75</v>
      </c>
      <c r="H252" s="464">
        <f t="shared" si="19"/>
        <v>0</v>
      </c>
      <c r="I252" s="460"/>
      <c r="J252" s="620"/>
      <c r="K252" s="553"/>
    </row>
    <row r="253" spans="1:11" x14ac:dyDescent="0.25">
      <c r="A253" s="452">
        <v>270</v>
      </c>
      <c r="B253" s="460" t="s">
        <v>3011</v>
      </c>
      <c r="C253" s="461"/>
      <c r="D253" s="460"/>
      <c r="E253" s="462">
        <v>12.5</v>
      </c>
      <c r="F253" s="463">
        <f t="shared" si="20"/>
        <v>0</v>
      </c>
      <c r="G253" s="462">
        <v>12.5</v>
      </c>
      <c r="H253" s="464">
        <f t="shared" si="19"/>
        <v>0</v>
      </c>
      <c r="I253" s="460"/>
      <c r="J253" s="620"/>
      <c r="K253" s="553"/>
    </row>
    <row r="254" spans="1:11" x14ac:dyDescent="0.25">
      <c r="A254" s="452">
        <v>270</v>
      </c>
      <c r="B254" s="460" t="s">
        <v>3020</v>
      </c>
      <c r="C254" s="461"/>
      <c r="D254" s="460"/>
      <c r="E254" s="462">
        <v>20</v>
      </c>
      <c r="F254" s="463">
        <f t="shared" si="20"/>
        <v>0</v>
      </c>
      <c r="G254" s="462">
        <v>20</v>
      </c>
      <c r="H254" s="464">
        <f t="shared" si="19"/>
        <v>0</v>
      </c>
      <c r="I254" s="460"/>
      <c r="J254" s="620"/>
      <c r="K254" s="553"/>
    </row>
    <row r="255" spans="1:11" x14ac:dyDescent="0.25">
      <c r="A255" s="452">
        <v>270</v>
      </c>
      <c r="B255" s="460" t="s">
        <v>3010</v>
      </c>
      <c r="C255" s="461"/>
      <c r="D255" s="460">
        <v>65955</v>
      </c>
      <c r="E255" s="462">
        <v>3</v>
      </c>
      <c r="F255" s="463">
        <f t="shared" si="20"/>
        <v>197865</v>
      </c>
      <c r="G255" s="462">
        <v>3.25</v>
      </c>
      <c r="H255" s="464">
        <f t="shared" si="19"/>
        <v>214353.75</v>
      </c>
      <c r="I255" s="460"/>
      <c r="J255" s="620"/>
      <c r="K255" s="553"/>
    </row>
    <row r="256" spans="1:11" x14ac:dyDescent="0.25">
      <c r="A256" s="452">
        <v>275</v>
      </c>
      <c r="B256" s="460" t="s">
        <v>3021</v>
      </c>
      <c r="C256" s="461" t="s">
        <v>3022</v>
      </c>
      <c r="D256" s="460"/>
      <c r="E256" s="462">
        <v>125.5</v>
      </c>
      <c r="F256" s="463"/>
      <c r="G256" s="462">
        <v>125</v>
      </c>
      <c r="H256" s="464">
        <f t="shared" si="19"/>
        <v>0</v>
      </c>
      <c r="I256" s="460"/>
      <c r="J256" s="620"/>
      <c r="K256" s="553"/>
    </row>
    <row r="257" spans="1:11" x14ac:dyDescent="0.25">
      <c r="A257" s="452">
        <v>275</v>
      </c>
      <c r="B257" s="460" t="s">
        <v>3021</v>
      </c>
      <c r="C257" s="461" t="s">
        <v>3023</v>
      </c>
      <c r="D257" s="460"/>
      <c r="E257" s="462">
        <v>125.5</v>
      </c>
      <c r="F257" s="463"/>
      <c r="G257" s="462">
        <v>125</v>
      </c>
      <c r="H257" s="464">
        <f t="shared" si="19"/>
        <v>0</v>
      </c>
      <c r="I257" s="460"/>
      <c r="J257" s="620"/>
      <c r="K257" s="553"/>
    </row>
    <row r="258" spans="1:11" x14ac:dyDescent="0.25">
      <c r="A258" s="452">
        <v>275</v>
      </c>
      <c r="B258" s="460" t="s">
        <v>3024</v>
      </c>
      <c r="C258" s="461" t="s">
        <v>3025</v>
      </c>
      <c r="D258" s="460"/>
      <c r="E258" s="462">
        <v>125.5</v>
      </c>
      <c r="F258" s="463"/>
      <c r="G258" s="462">
        <v>125</v>
      </c>
      <c r="H258" s="464">
        <f t="shared" si="19"/>
        <v>0</v>
      </c>
      <c r="I258" s="460"/>
      <c r="J258" s="620"/>
      <c r="K258" s="553"/>
    </row>
    <row r="259" spans="1:11" x14ac:dyDescent="0.25">
      <c r="A259" s="452">
        <v>275</v>
      </c>
      <c r="B259" s="460" t="s">
        <v>3021</v>
      </c>
      <c r="C259" s="461" t="s">
        <v>3026</v>
      </c>
      <c r="D259" s="460"/>
      <c r="E259" s="462">
        <v>135.5</v>
      </c>
      <c r="F259" s="463"/>
      <c r="G259" s="462">
        <v>135</v>
      </c>
      <c r="H259" s="464">
        <f t="shared" si="19"/>
        <v>0</v>
      </c>
      <c r="I259" s="460"/>
      <c r="J259" s="620"/>
      <c r="K259" s="553"/>
    </row>
    <row r="260" spans="1:11" x14ac:dyDescent="0.25">
      <c r="A260" s="452">
        <v>275</v>
      </c>
      <c r="B260" s="460" t="s">
        <v>3021</v>
      </c>
      <c r="C260" s="461" t="s">
        <v>3027</v>
      </c>
      <c r="D260" s="460"/>
      <c r="E260" s="462">
        <v>135.5</v>
      </c>
      <c r="F260" s="463"/>
      <c r="G260" s="462">
        <v>135</v>
      </c>
      <c r="H260" s="464">
        <f t="shared" si="19"/>
        <v>0</v>
      </c>
      <c r="I260" s="460"/>
      <c r="J260" s="620"/>
      <c r="K260" s="553"/>
    </row>
    <row r="261" spans="1:11" x14ac:dyDescent="0.25">
      <c r="A261" s="452">
        <v>275</v>
      </c>
      <c r="B261" s="460" t="s">
        <v>3024</v>
      </c>
      <c r="C261" s="461" t="s">
        <v>3028</v>
      </c>
      <c r="D261" s="460"/>
      <c r="E261" s="462">
        <v>135.5</v>
      </c>
      <c r="F261" s="475"/>
      <c r="G261" s="462">
        <v>135</v>
      </c>
      <c r="H261" s="464">
        <f t="shared" si="19"/>
        <v>0</v>
      </c>
      <c r="I261" s="460"/>
      <c r="J261" s="620"/>
      <c r="K261" s="553"/>
    </row>
    <row r="262" spans="1:11" x14ac:dyDescent="0.25">
      <c r="A262" s="452">
        <v>275</v>
      </c>
      <c r="B262" s="460" t="s">
        <v>3010</v>
      </c>
      <c r="C262" s="461"/>
      <c r="D262" s="460"/>
      <c r="E262" s="462">
        <v>3</v>
      </c>
      <c r="F262" s="475"/>
      <c r="G262" s="462">
        <v>3</v>
      </c>
      <c r="H262" s="464">
        <f t="shared" si="19"/>
        <v>0</v>
      </c>
      <c r="I262" s="460"/>
      <c r="J262" s="620"/>
      <c r="K262" s="553"/>
    </row>
    <row r="263" spans="1:11" x14ac:dyDescent="0.25">
      <c r="A263" s="460">
        <v>275</v>
      </c>
      <c r="B263" s="460" t="s">
        <v>3011</v>
      </c>
      <c r="C263" s="460"/>
      <c r="D263" s="460"/>
      <c r="E263" s="476">
        <v>12.5</v>
      </c>
      <c r="F263" s="460"/>
      <c r="G263" s="462">
        <v>12.5</v>
      </c>
      <c r="H263" s="460">
        <f t="shared" si="19"/>
        <v>0</v>
      </c>
      <c r="I263" s="460"/>
      <c r="J263" s="620"/>
      <c r="K263" s="553"/>
    </row>
    <row r="264" spans="1:11" x14ac:dyDescent="0.25">
      <c r="A264" s="460">
        <v>275</v>
      </c>
      <c r="B264" s="460" t="s">
        <v>3020</v>
      </c>
      <c r="C264" s="460"/>
      <c r="D264" s="460"/>
      <c r="E264" s="476">
        <v>20</v>
      </c>
      <c r="F264" s="460"/>
      <c r="G264" s="462">
        <v>20</v>
      </c>
      <c r="H264" s="460">
        <f t="shared" si="19"/>
        <v>0</v>
      </c>
      <c r="I264" s="460"/>
      <c r="J264" s="620"/>
      <c r="K264" s="553"/>
    </row>
    <row r="265" spans="1:11" x14ac:dyDescent="0.25">
      <c r="A265" s="460"/>
      <c r="B265" s="460"/>
      <c r="C265" s="460"/>
      <c r="D265" s="460"/>
      <c r="E265" s="476"/>
      <c r="F265" s="460"/>
      <c r="G265" s="462"/>
      <c r="H265" s="460"/>
      <c r="I265" s="460"/>
      <c r="J265" s="620"/>
      <c r="K265" s="553"/>
    </row>
    <row r="266" spans="1:11" x14ac:dyDescent="0.25">
      <c r="A266" s="460"/>
      <c r="B266" s="460"/>
      <c r="C266" s="460"/>
      <c r="D266" s="460"/>
      <c r="E266" s="476"/>
      <c r="F266" s="460"/>
      <c r="G266" s="462"/>
      <c r="H266" s="460"/>
      <c r="I266" s="460"/>
      <c r="J266" s="620"/>
      <c r="K266" s="553"/>
    </row>
    <row r="267" spans="1:11" x14ac:dyDescent="0.25">
      <c r="A267" s="452"/>
      <c r="B267" s="466" t="s">
        <v>3029</v>
      </c>
      <c r="C267" s="467"/>
      <c r="D267" s="466"/>
      <c r="E267" s="474"/>
      <c r="F267" s="469">
        <f>SUM(F202:F264)</f>
        <v>899471.5</v>
      </c>
      <c r="G267" s="474"/>
      <c r="H267" s="469">
        <f>SUM(H202:H264)</f>
        <v>941575.75</v>
      </c>
      <c r="I267" s="460"/>
      <c r="J267" s="620">
        <f>+H267:H267</f>
        <v>941575.75</v>
      </c>
      <c r="K267" s="553">
        <f>+H267-F267</f>
        <v>42104.25</v>
      </c>
    </row>
    <row r="268" spans="1:11" x14ac:dyDescent="0.25">
      <c r="A268" s="452"/>
      <c r="B268" s="477"/>
      <c r="C268" s="478"/>
      <c r="D268" s="477"/>
      <c r="E268" s="479"/>
      <c r="F268" s="480"/>
      <c r="G268" s="479"/>
      <c r="H268" s="481"/>
      <c r="I268" s="460"/>
      <c r="J268" s="620">
        <f>SUM(J64:J267)</f>
        <v>3684260.2860000003</v>
      </c>
      <c r="K268" s="620">
        <f>SUM(K64:K267)</f>
        <v>519588.65000000037</v>
      </c>
    </row>
    <row r="269" spans="1:11" x14ac:dyDescent="0.25">
      <c r="A269" s="484"/>
      <c r="B269" s="484"/>
      <c r="C269" s="484"/>
      <c r="D269" s="484"/>
      <c r="E269" s="494" t="s">
        <v>3033</v>
      </c>
      <c r="F269" s="495"/>
      <c r="G269" s="496" t="s">
        <v>3035</v>
      </c>
      <c r="H269" s="484"/>
      <c r="I269" s="484"/>
      <c r="J269" s="485">
        <f>+G275</f>
        <v>897583</v>
      </c>
    </row>
    <row r="270" spans="1:11" x14ac:dyDescent="0.25">
      <c r="A270" s="484"/>
      <c r="B270" s="484"/>
      <c r="C270" s="484"/>
      <c r="D270" s="484"/>
      <c r="E270" s="497" t="s">
        <v>3034</v>
      </c>
      <c r="F270" s="498"/>
      <c r="G270" s="499" t="s">
        <v>3036</v>
      </c>
      <c r="H270" s="484"/>
      <c r="I270" s="484"/>
      <c r="J270" s="485">
        <f>+J269+J268</f>
        <v>4581843.2860000003</v>
      </c>
    </row>
    <row r="271" spans="1:11" x14ac:dyDescent="0.25">
      <c r="A271" s="484"/>
      <c r="B271" s="485" t="s">
        <v>3030</v>
      </c>
      <c r="C271" s="485"/>
      <c r="D271" s="485"/>
      <c r="E271" s="485">
        <f>+'Pro Forma'!E6</f>
        <v>1300048.2999999998</v>
      </c>
      <c r="F271" s="485"/>
      <c r="G271" s="485">
        <f>+F65</f>
        <v>1345308.26</v>
      </c>
      <c r="H271" s="484"/>
      <c r="I271" s="484"/>
      <c r="J271" s="485"/>
    </row>
    <row r="272" spans="1:11" x14ac:dyDescent="0.25">
      <c r="A272" s="484"/>
      <c r="B272" s="485" t="s">
        <v>3031</v>
      </c>
      <c r="C272" s="485"/>
      <c r="D272" s="485"/>
      <c r="E272" s="485">
        <f>+'Pro Forma'!E7</f>
        <v>859563.34999999986</v>
      </c>
      <c r="F272" s="485"/>
      <c r="G272" s="485">
        <f>+F197</f>
        <v>919891.8759999997</v>
      </c>
      <c r="H272" s="484"/>
      <c r="I272" s="484"/>
      <c r="J272" s="485"/>
    </row>
    <row r="273" spans="1:10" x14ac:dyDescent="0.25">
      <c r="A273" s="484"/>
      <c r="B273" s="485" t="s">
        <v>3032</v>
      </c>
      <c r="C273" s="485"/>
      <c r="D273" s="485"/>
      <c r="E273" s="493">
        <f>+'Pro Forma'!E8</f>
        <v>943807.81000000017</v>
      </c>
      <c r="F273" s="485"/>
      <c r="G273" s="493">
        <f>+F267</f>
        <v>899471.5</v>
      </c>
      <c r="H273" s="484"/>
      <c r="I273" s="484"/>
      <c r="J273" s="485"/>
    </row>
    <row r="274" spans="1:10" x14ac:dyDescent="0.25">
      <c r="A274" s="484"/>
      <c r="B274" s="485"/>
      <c r="C274" s="485"/>
      <c r="D274" s="485"/>
      <c r="E274" s="485">
        <f>SUM(E271:E273)</f>
        <v>3103419.4599999995</v>
      </c>
      <c r="F274" s="485"/>
      <c r="G274" s="485">
        <f>SUM(G271:G273)</f>
        <v>3164671.6359999999</v>
      </c>
      <c r="H274" s="484"/>
      <c r="I274" s="484"/>
      <c r="J274" s="485"/>
    </row>
    <row r="275" spans="1:10" x14ac:dyDescent="0.25">
      <c r="A275" s="484"/>
      <c r="B275" s="485" t="s">
        <v>3285</v>
      </c>
      <c r="C275" s="485"/>
      <c r="D275" s="485"/>
      <c r="E275" s="485">
        <v>897583</v>
      </c>
      <c r="F275" s="485"/>
      <c r="G275" s="485">
        <v>897583</v>
      </c>
      <c r="H275" s="484"/>
      <c r="I275" s="484"/>
      <c r="J275" s="485"/>
    </row>
    <row r="276" spans="1:10" x14ac:dyDescent="0.25">
      <c r="A276" s="484"/>
      <c r="B276" s="485"/>
      <c r="C276" s="485"/>
      <c r="D276" s="485"/>
      <c r="E276" s="485">
        <f>+E275+E274</f>
        <v>4001002.4599999995</v>
      </c>
      <c r="F276" s="485"/>
      <c r="G276" s="485">
        <f>+G275+G274</f>
        <v>4062254.6359999999</v>
      </c>
      <c r="H276" s="484"/>
      <c r="I276" s="484"/>
      <c r="J276" s="485"/>
    </row>
    <row r="277" spans="1:10" x14ac:dyDescent="0.25">
      <c r="A277" s="484"/>
      <c r="B277" s="485" t="s">
        <v>3037</v>
      </c>
      <c r="C277" s="485"/>
      <c r="D277" s="485"/>
      <c r="E277" s="485"/>
      <c r="F277" s="486">
        <f>+E274/G274-1</f>
        <v>-1.9354986249827899E-2</v>
      </c>
      <c r="G277" s="485"/>
      <c r="H277" s="484"/>
      <c r="I277" s="484"/>
      <c r="J277" s="485"/>
    </row>
    <row r="278" spans="1:10" x14ac:dyDescent="0.25">
      <c r="A278" s="484"/>
      <c r="B278" s="485"/>
      <c r="C278" s="485"/>
      <c r="D278" s="485"/>
      <c r="E278" s="485"/>
      <c r="F278" s="485"/>
      <c r="G278" s="485"/>
      <c r="H278" s="484"/>
      <c r="I278" s="484"/>
      <c r="J278" s="485"/>
    </row>
    <row r="279" spans="1:10" x14ac:dyDescent="0.25">
      <c r="A279" s="484"/>
      <c r="B279" s="485"/>
      <c r="C279" s="485"/>
      <c r="D279" s="485"/>
      <c r="E279" s="485"/>
      <c r="F279" s="485"/>
      <c r="G279" s="485"/>
      <c r="H279" s="484"/>
      <c r="I279" s="484"/>
      <c r="J279" s="485"/>
    </row>
    <row r="280" spans="1:10" x14ac:dyDescent="0.25">
      <c r="A280" s="484"/>
      <c r="B280" s="485"/>
      <c r="C280" s="485"/>
      <c r="D280" s="485"/>
      <c r="E280" s="485"/>
      <c r="F280" s="485"/>
      <c r="G280" s="485"/>
      <c r="H280" s="484"/>
      <c r="I280" s="484"/>
      <c r="J280" s="485"/>
    </row>
    <row r="281" spans="1:10" x14ac:dyDescent="0.25">
      <c r="A281" s="484"/>
      <c r="B281" s="485"/>
      <c r="C281" s="485"/>
      <c r="D281" s="485"/>
      <c r="E281" s="485"/>
      <c r="F281" s="485"/>
      <c r="G281" s="485"/>
      <c r="H281" s="484"/>
      <c r="I281" s="484"/>
      <c r="J281" s="485"/>
    </row>
    <row r="282" spans="1:10" x14ac:dyDescent="0.25">
      <c r="A282" s="484"/>
      <c r="B282" s="485"/>
      <c r="C282" s="485"/>
      <c r="D282" s="485"/>
      <c r="E282" s="485"/>
      <c r="F282" s="485"/>
      <c r="G282" s="485"/>
      <c r="H282" s="484"/>
      <c r="I282" s="484"/>
      <c r="J282" s="485"/>
    </row>
    <row r="283" spans="1:10" x14ac:dyDescent="0.25">
      <c r="A283" s="484"/>
      <c r="B283" s="485"/>
      <c r="C283" s="485"/>
      <c r="D283" s="485"/>
      <c r="E283" s="485"/>
      <c r="F283" s="485"/>
      <c r="G283" s="485"/>
      <c r="H283" s="484"/>
      <c r="I283" s="484"/>
      <c r="J283" s="484"/>
    </row>
    <row r="284" spans="1:10" x14ac:dyDescent="0.25">
      <c r="A284" s="484"/>
      <c r="B284" s="485"/>
      <c r="C284" s="485"/>
      <c r="D284" s="485"/>
      <c r="E284" s="485"/>
      <c r="F284" s="485"/>
      <c r="G284" s="485"/>
      <c r="H284" s="484"/>
      <c r="I284" s="484"/>
      <c r="J284" s="484"/>
    </row>
    <row r="285" spans="1:10" x14ac:dyDescent="0.25">
      <c r="A285" s="484"/>
      <c r="B285" s="485"/>
      <c r="C285" s="485"/>
      <c r="D285" s="485"/>
      <c r="E285" s="485"/>
      <c r="F285" s="485"/>
      <c r="G285" s="485"/>
      <c r="H285" s="484"/>
      <c r="I285" s="484"/>
      <c r="J285" s="484"/>
    </row>
    <row r="286" spans="1:10" x14ac:dyDescent="0.25">
      <c r="A286" s="484"/>
      <c r="B286" s="485"/>
      <c r="C286" s="485"/>
      <c r="D286" s="485"/>
      <c r="E286" s="485"/>
      <c r="F286" s="485"/>
      <c r="G286" s="485"/>
      <c r="H286" s="484"/>
      <c r="I286" s="484"/>
      <c r="J286" s="484"/>
    </row>
    <row r="287" spans="1:10" x14ac:dyDescent="0.25">
      <c r="A287" s="484"/>
      <c r="B287" s="485"/>
      <c r="C287" s="485"/>
      <c r="D287" s="485"/>
      <c r="E287" s="485"/>
      <c r="F287" s="485"/>
      <c r="G287" s="485"/>
      <c r="H287" s="484"/>
      <c r="I287" s="484"/>
      <c r="J287" s="484"/>
    </row>
    <row r="288" spans="1:10" x14ac:dyDescent="0.25">
      <c r="A288" s="484"/>
      <c r="B288" s="485"/>
      <c r="C288" s="485"/>
      <c r="D288" s="485"/>
      <c r="E288" s="485"/>
      <c r="F288" s="485"/>
      <c r="G288" s="485"/>
      <c r="H288" s="484"/>
      <c r="I288" s="484"/>
      <c r="J288" s="484"/>
    </row>
    <row r="289" spans="1:10" x14ac:dyDescent="0.25">
      <c r="A289" s="484"/>
      <c r="B289" s="485"/>
      <c r="C289" s="485"/>
      <c r="D289" s="485"/>
      <c r="E289" s="485"/>
      <c r="F289" s="485"/>
      <c r="G289" s="485"/>
      <c r="H289" s="484"/>
      <c r="I289" s="484"/>
      <c r="J289" s="484"/>
    </row>
    <row r="290" spans="1:10" x14ac:dyDescent="0.25">
      <c r="A290" s="484"/>
      <c r="B290" s="485"/>
      <c r="C290" s="485"/>
      <c r="D290" s="485"/>
      <c r="E290" s="485"/>
      <c r="F290" s="485"/>
      <c r="G290" s="485"/>
      <c r="H290" s="484"/>
      <c r="I290" s="484"/>
      <c r="J290" s="484"/>
    </row>
    <row r="291" spans="1:10" x14ac:dyDescent="0.25">
      <c r="A291" s="484"/>
      <c r="B291" s="485"/>
      <c r="C291" s="485"/>
      <c r="D291" s="485"/>
      <c r="E291" s="485"/>
      <c r="F291" s="485"/>
      <c r="G291" s="485"/>
      <c r="H291" s="484"/>
      <c r="I291" s="484"/>
      <c r="J291" s="484"/>
    </row>
    <row r="292" spans="1:10" x14ac:dyDescent="0.25">
      <c r="A292" s="484"/>
      <c r="B292" s="485"/>
      <c r="C292" s="485"/>
      <c r="D292" s="485"/>
      <c r="E292" s="485"/>
      <c r="F292" s="485"/>
      <c r="G292" s="485"/>
      <c r="H292" s="484"/>
      <c r="I292" s="484"/>
      <c r="J292" s="484"/>
    </row>
    <row r="293" spans="1:10" x14ac:dyDescent="0.25">
      <c r="A293" s="484"/>
      <c r="B293" s="485"/>
      <c r="C293" s="485"/>
      <c r="D293" s="485"/>
      <c r="E293" s="485"/>
      <c r="F293" s="485"/>
      <c r="G293" s="485"/>
      <c r="H293" s="484"/>
      <c r="I293" s="484"/>
      <c r="J293" s="484"/>
    </row>
    <row r="294" spans="1:10" x14ac:dyDescent="0.25">
      <c r="A294" s="484"/>
      <c r="B294" s="485"/>
      <c r="C294" s="485"/>
      <c r="D294" s="485"/>
      <c r="E294" s="485"/>
      <c r="F294" s="485"/>
      <c r="G294" s="485"/>
      <c r="H294" s="484"/>
      <c r="I294" s="484"/>
      <c r="J294" s="484"/>
    </row>
    <row r="295" spans="1:10" x14ac:dyDescent="0.25">
      <c r="A295" s="484"/>
      <c r="B295" s="485"/>
      <c r="C295" s="485"/>
      <c r="D295" s="485"/>
      <c r="E295" s="485"/>
      <c r="F295" s="485"/>
      <c r="G295" s="485"/>
      <c r="H295" s="484"/>
      <c r="I295" s="484"/>
      <c r="J295" s="484"/>
    </row>
    <row r="296" spans="1:10" x14ac:dyDescent="0.25">
      <c r="A296" s="484"/>
      <c r="B296" s="485"/>
      <c r="C296" s="485"/>
      <c r="D296" s="485"/>
      <c r="E296" s="485"/>
      <c r="F296" s="485"/>
      <c r="G296" s="485"/>
      <c r="H296" s="484"/>
      <c r="I296" s="484"/>
      <c r="J296" s="484"/>
    </row>
    <row r="297" spans="1:10" x14ac:dyDescent="0.25">
      <c r="A297" s="484"/>
      <c r="B297" s="485"/>
      <c r="C297" s="485"/>
      <c r="D297" s="485"/>
      <c r="E297" s="485"/>
      <c r="F297" s="485"/>
      <c r="G297" s="485"/>
      <c r="H297" s="484"/>
      <c r="I297" s="484"/>
      <c r="J297" s="484"/>
    </row>
    <row r="298" spans="1:10" x14ac:dyDescent="0.25">
      <c r="A298" s="484"/>
      <c r="B298" s="485"/>
      <c r="C298" s="485"/>
      <c r="D298" s="485"/>
      <c r="E298" s="485"/>
      <c r="F298" s="485"/>
      <c r="G298" s="485"/>
      <c r="H298" s="484"/>
      <c r="I298" s="484"/>
      <c r="J298" s="484"/>
    </row>
    <row r="299" spans="1:10" x14ac:dyDescent="0.25">
      <c r="A299" s="484"/>
      <c r="B299" s="485"/>
      <c r="C299" s="485"/>
      <c r="D299" s="485"/>
      <c r="E299" s="485"/>
      <c r="F299" s="485"/>
      <c r="G299" s="485"/>
      <c r="H299" s="484"/>
      <c r="I299" s="484"/>
      <c r="J299" s="484"/>
    </row>
    <row r="300" spans="1:10" x14ac:dyDescent="0.25">
      <c r="A300" s="484"/>
      <c r="B300" s="485"/>
      <c r="C300" s="485"/>
      <c r="D300" s="485"/>
      <c r="E300" s="485"/>
      <c r="F300" s="485"/>
      <c r="G300" s="485"/>
      <c r="H300" s="484"/>
      <c r="I300" s="484"/>
      <c r="J300" s="484"/>
    </row>
    <row r="301" spans="1:10" x14ac:dyDescent="0.25">
      <c r="B301" s="485"/>
      <c r="C301" s="485"/>
      <c r="D301" s="485"/>
      <c r="E301" s="485"/>
      <c r="F301" s="485"/>
      <c r="G301" s="485"/>
    </row>
    <row r="302" spans="1:10" x14ac:dyDescent="0.25">
      <c r="B302" s="485"/>
      <c r="C302" s="485"/>
      <c r="D302" s="485"/>
      <c r="E302" s="485"/>
      <c r="F302" s="485"/>
      <c r="G302" s="485"/>
    </row>
    <row r="303" spans="1:10" x14ac:dyDescent="0.25">
      <c r="B303" s="485"/>
      <c r="C303" s="485"/>
      <c r="D303" s="485"/>
      <c r="E303" s="485"/>
      <c r="F303" s="485"/>
      <c r="G303" s="485"/>
    </row>
    <row r="304" spans="1:10" x14ac:dyDescent="0.25">
      <c r="B304" s="485"/>
      <c r="C304" s="485"/>
      <c r="D304" s="485"/>
      <c r="E304" s="485"/>
      <c r="F304" s="485"/>
      <c r="G304" s="485"/>
    </row>
    <row r="305" spans="2:7" x14ac:dyDescent="0.25">
      <c r="B305" s="485"/>
      <c r="C305" s="485"/>
      <c r="D305" s="485"/>
      <c r="E305" s="485"/>
      <c r="F305" s="485"/>
      <c r="G305" s="485"/>
    </row>
    <row r="306" spans="2:7" x14ac:dyDescent="0.25">
      <c r="B306" s="485"/>
      <c r="C306" s="485"/>
      <c r="D306" s="485"/>
      <c r="E306" s="485"/>
      <c r="F306" s="485"/>
      <c r="G306" s="485"/>
    </row>
  </sheetData>
  <pageMargins left="0.25" right="0.25" top="0.75" bottom="0.75" header="0.3" footer="0.3"/>
  <pageSetup scale="67" fitToHeight="0" orientation="portrait" r:id="rId1"/>
  <headerFooter>
    <oddFooter>&amp;L&amp;D&amp;C&amp;A&amp;RPage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2017-03-17T07:00:00+00:00</OpenedDate>
    <Date1 xmlns="dc463f71-b30c-4ab2-9473-d307f9d35888">2017-03-20T07:00:00+00:00</Date1>
    <IsDocumentOrder xmlns="dc463f71-b30c-4ab2-9473-d307f9d35888" xsi:nil="true"/>
    <IsHighlyConfidential xmlns="dc463f71-b30c-4ab2-9473-d307f9d35888">false</IsHighlyConfidential>
    <CaseCompanyNames xmlns="dc463f71-b30c-4ab2-9473-d307f9d35888">BASIN DISPOSAL INC</CaseCompanyNames>
    <Nickname xmlns="http://schemas.microsoft.com/sharepoint/v3" xsi:nil="true"/>
    <DocketNumber xmlns="dc463f71-b30c-4ab2-9473-d307f9d35888">170189</DocketNumber>
    <DelegatedOrder xmlns="dc463f71-b30c-4ab2-9473-d307f9d35888">false</DelegatedOrder>
    <SignificantOrder xmlns="dc463f71-b30c-4ab2-9473-d307f9d35888">false</Significant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BD32CD50E6784E9F28FECA17CA5B36" ma:contentTypeVersion="104" ma:contentTypeDescription="" ma:contentTypeScope="" ma:versionID="79b030d68770f42b1996bbc4e589ada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26c2ae407b9b0feeaee7be0625273c8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Props1.xml><?xml version="1.0" encoding="utf-8"?>
<ds:datastoreItem xmlns:ds="http://schemas.openxmlformats.org/officeDocument/2006/customXml" ds:itemID="{4351F051-150F-4A6E-A025-A95E9F6E39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A699F3-91BA-4040-9116-7BE2CCCAE529}">
  <ds:schemaRefs>
    <ds:schemaRef ds:uri="http://purl.org/dc/terms/"/>
    <ds:schemaRef ds:uri="http://schemas.microsoft.com/office/2006/documentManagement/types"/>
    <ds:schemaRef ds:uri="94ccb0f8-418e-41dd-ac47-c8b0a5d07e75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427AD7C-3798-4AA5-8A6B-BD7E80D2AC11}"/>
</file>

<file path=customXml/itemProps4.xml><?xml version="1.0" encoding="utf-8"?>
<ds:datastoreItem xmlns:ds="http://schemas.openxmlformats.org/officeDocument/2006/customXml" ds:itemID="{9EF7E3C3-79D0-465C-A3E2-857BA8F0D3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38</vt:i4>
      </vt:variant>
    </vt:vector>
  </HeadingPairs>
  <TitlesOfParts>
    <vt:vector size="67" baseType="lpstr">
      <vt:lpstr>General Ledger Download</vt:lpstr>
      <vt:lpstr>LURITXPF</vt:lpstr>
      <vt:lpstr>Pro Forma</vt:lpstr>
      <vt:lpstr>Restating Adjustments</vt:lpstr>
      <vt:lpstr>Pro Forma Adjustments</vt:lpstr>
      <vt:lpstr>12 Month Operating Statement</vt:lpstr>
      <vt:lpstr>Balance Sheet</vt:lpstr>
      <vt:lpstr>Allocation Matrix</vt:lpstr>
      <vt:lpstr>Customer Count</vt:lpstr>
      <vt:lpstr>BDI Customers</vt:lpstr>
      <vt:lpstr>Regulatory Depr Sch</vt:lpstr>
      <vt:lpstr>Non-Regulated Entities</vt:lpstr>
      <vt:lpstr>Man Hours</vt:lpstr>
      <vt:lpstr>Can Count</vt:lpstr>
      <vt:lpstr>Legal </vt:lpstr>
      <vt:lpstr>Prior PLP Costs</vt:lpstr>
      <vt:lpstr>Stockholder Insurance</vt:lpstr>
      <vt:lpstr>Tonnage Summary</vt:lpstr>
      <vt:lpstr>Lobby Expense</vt:lpstr>
      <vt:lpstr>L&amp;I Rate Summary</vt:lpstr>
      <vt:lpstr>L&amp;I Cost Increase Calc</vt:lpstr>
      <vt:lpstr>Medical Cost Premium Increase</vt:lpstr>
      <vt:lpstr>Medical Insurance </vt:lpstr>
      <vt:lpstr>New Hire Salary Adjustment</vt:lpstr>
      <vt:lpstr>Labor Pro Forma Adjustment</vt:lpstr>
      <vt:lpstr>Dues &amp; Subs</vt:lpstr>
      <vt:lpstr>Rate Case Expense</vt:lpstr>
      <vt:lpstr>401K Contribution</vt:lpstr>
      <vt:lpstr>General Insurance</vt:lpstr>
      <vt:lpstr>INPUT</vt:lpstr>
      <vt:lpstr>'12 Month Operating Statement'!Print_Area</vt:lpstr>
      <vt:lpstr>'401K Contribution'!Print_Area</vt:lpstr>
      <vt:lpstr>'Allocation Matrix'!Print_Area</vt:lpstr>
      <vt:lpstr>'Balance Sheet'!Print_Area</vt:lpstr>
      <vt:lpstr>'BDI Customers'!Print_Area</vt:lpstr>
      <vt:lpstr>'Can Count'!Print_Area</vt:lpstr>
      <vt:lpstr>'Customer Count'!Print_Area</vt:lpstr>
      <vt:lpstr>'General Insurance'!Print_Area</vt:lpstr>
      <vt:lpstr>'L&amp;I Cost Increase Calc'!Print_Area</vt:lpstr>
      <vt:lpstr>'Labor Pro Forma Adjustment'!Print_Area</vt:lpstr>
      <vt:lpstr>'Legal '!Print_Area</vt:lpstr>
      <vt:lpstr>'Lobby Expense'!Print_Area</vt:lpstr>
      <vt:lpstr>LURITXPF!Print_Area</vt:lpstr>
      <vt:lpstr>'Medical Cost Premium Increase'!Print_Area</vt:lpstr>
      <vt:lpstr>'Medical Insurance '!Print_Area</vt:lpstr>
      <vt:lpstr>'New Hire Salary Adjustment'!Print_Area</vt:lpstr>
      <vt:lpstr>'Prior PLP Costs'!Print_Area</vt:lpstr>
      <vt:lpstr>'Pro Forma'!Print_Area</vt:lpstr>
      <vt:lpstr>'Pro Forma Adjustments'!Print_Area</vt:lpstr>
      <vt:lpstr>'Rate Case Expense'!Print_Area</vt:lpstr>
      <vt:lpstr>'Regulatory Depr Sch'!Print_Area</vt:lpstr>
      <vt:lpstr>'Restating Adjustments'!Print_Area</vt:lpstr>
      <vt:lpstr>'Stockholder Insurance'!Print_Area</vt:lpstr>
      <vt:lpstr>'Tonnage Summary'!Print_Area</vt:lpstr>
      <vt:lpstr>Print_Area_MI</vt:lpstr>
      <vt:lpstr>'12 Month Operating Statement'!Print_Titles</vt:lpstr>
      <vt:lpstr>'Allocation Matrix'!Print_Titles</vt:lpstr>
      <vt:lpstr>'BDI Customers'!Print_Titles</vt:lpstr>
      <vt:lpstr>'Customer Count'!Print_Titles</vt:lpstr>
      <vt:lpstr>'General Ledger Download'!Print_Titles</vt:lpstr>
      <vt:lpstr>'L&amp;I Cost Increase Calc'!Print_Titles</vt:lpstr>
      <vt:lpstr>'Medical Insurance '!Print_Titles</vt:lpstr>
      <vt:lpstr>'Prior PLP Costs'!Print_Titles</vt:lpstr>
      <vt:lpstr>'Pro Forma'!Print_Titles</vt:lpstr>
      <vt:lpstr>'Pro Forma Adjustments'!Print_Titles</vt:lpstr>
      <vt:lpstr>'Regulatory Depr Sch'!Print_Titles</vt:lpstr>
      <vt:lpstr>'Restating Adjustments'!Print_Titles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Lurito Gallagher Methodology - Private Company</dc:title>
  <dc:creator>Weldon</dc:creator>
  <cp:lastModifiedBy>Weldon</cp:lastModifiedBy>
  <cp:lastPrinted>2017-03-18T18:42:32Z</cp:lastPrinted>
  <dcterms:created xsi:type="dcterms:W3CDTF">2002-01-30T19:30:13Z</dcterms:created>
  <dcterms:modified xsi:type="dcterms:W3CDTF">2017-03-18T20:38:31Z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0x0101006E56B4D1795A2E4DB2F0B01679ED314A00A0BD32CD50E6784E9F28FECA17CA5B36</vt:lpwstr>
  </property>
  <property fmtid="{D5CDD505-2E9C-101B-9397-08002B2CF9AE}" pid="3" name="TemplateUrl">
    <vt:lpwstr/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Order">
    <vt:r8>1700</vt:r8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