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8990" yWindow="300" windowWidth="19185" windowHeight="11850"/>
  </bookViews>
  <sheets>
    <sheet name="Pro Forma Adj" sheetId="1" r:id="rId1"/>
    <sheet name="Variables" sheetId="2" r:id="rId2"/>
  </sheets>
  <externalReferences>
    <externalReference r:id="rId3"/>
    <externalReference r:id="rId4"/>
  </externalReferences>
  <definedNames>
    <definedName name="Cost_Debt">Variables!$D$8</definedName>
    <definedName name="Cost_equity">Variables!$D$10</definedName>
    <definedName name="Cost_pref">Variables!$D$9</definedName>
    <definedName name="gross_up_factor">Variables!$D$34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_xlnm.Print_Area" localSheetId="0">'Pro Forma Adj'!$A$7:$H$87</definedName>
    <definedName name="_xlnm.Print_Titles" localSheetId="0">'Pro Forma Adj'!$A:$A</definedName>
    <definedName name="Unadj_Op_Rev">Variables!$E$39</definedName>
    <definedName name="Unadj_Rate_Base">Variables!$E$40</definedName>
    <definedName name="Unadj_ROE">Variables!$E$41</definedName>
    <definedName name="uncollectible_perc">Variables!$D$20</definedName>
    <definedName name="WA_rev_tax_perc">Variables!$D$22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52511"/>
</workbook>
</file>

<file path=xl/calcChain.xml><?xml version="1.0" encoding="utf-8"?>
<calcChain xmlns="http://schemas.openxmlformats.org/spreadsheetml/2006/main">
  <c r="E40" i="2" l="1"/>
  <c r="E41" i="2"/>
  <c r="E39" i="2"/>
  <c r="H79" i="1" l="1"/>
  <c r="H78" i="1"/>
  <c r="H59" i="1"/>
  <c r="H35" i="1"/>
  <c r="G57" i="1"/>
  <c r="G43" i="1"/>
  <c r="G30" i="1"/>
  <c r="F79" i="1"/>
  <c r="F78" i="1"/>
  <c r="F59" i="1"/>
  <c r="F35" i="1"/>
  <c r="E57" i="1"/>
  <c r="E43" i="1"/>
  <c r="E30" i="1"/>
  <c r="D79" i="1"/>
  <c r="D78" i="1"/>
  <c r="D59" i="1"/>
  <c r="D35" i="1"/>
  <c r="C57" i="1"/>
  <c r="C43" i="1"/>
  <c r="C30" i="1"/>
  <c r="D26" i="2" l="1"/>
  <c r="D30" i="2" s="1"/>
  <c r="E10" i="2"/>
  <c r="E9" i="2"/>
  <c r="E8" i="2"/>
  <c r="E11" i="2" s="1"/>
  <c r="B82" i="1"/>
  <c r="B77" i="1"/>
  <c r="B76" i="1"/>
  <c r="B75" i="1"/>
  <c r="B64" i="1"/>
  <c r="B63" i="1"/>
  <c r="B62" i="1"/>
  <c r="B61" i="1"/>
  <c r="B60" i="1"/>
  <c r="H65" i="1"/>
  <c r="F65" i="1"/>
  <c r="D65" i="1"/>
  <c r="B58" i="1"/>
  <c r="G65" i="1"/>
  <c r="E65" i="1"/>
  <c r="C65" i="1"/>
  <c r="H54" i="1"/>
  <c r="F54" i="1"/>
  <c r="D54" i="1"/>
  <c r="B53" i="1"/>
  <c r="B52" i="1"/>
  <c r="B51" i="1"/>
  <c r="B50" i="1"/>
  <c r="B49" i="1"/>
  <c r="B48" i="1"/>
  <c r="B47" i="1"/>
  <c r="B46" i="1"/>
  <c r="B45" i="1"/>
  <c r="B44" i="1"/>
  <c r="G54" i="1"/>
  <c r="E54" i="1"/>
  <c r="C54" i="1"/>
  <c r="B39" i="1"/>
  <c r="B37" i="1"/>
  <c r="B36" i="1"/>
  <c r="B34" i="1"/>
  <c r="B32" i="1"/>
  <c r="B31" i="1"/>
  <c r="H29" i="1"/>
  <c r="G29" i="1"/>
  <c r="F29" i="1"/>
  <c r="E29" i="1"/>
  <c r="D29" i="1"/>
  <c r="C29" i="1"/>
  <c r="B28" i="1"/>
  <c r="B27" i="1"/>
  <c r="B26" i="1"/>
  <c r="B25" i="1"/>
  <c r="B24" i="1"/>
  <c r="B21" i="1"/>
  <c r="B20" i="1"/>
  <c r="H16" i="1"/>
  <c r="G16" i="1"/>
  <c r="F16" i="1"/>
  <c r="F74" i="1" s="1"/>
  <c r="E16" i="1"/>
  <c r="D16" i="1"/>
  <c r="C16" i="1"/>
  <c r="B14" i="1"/>
  <c r="B13" i="1"/>
  <c r="B12" i="1"/>
  <c r="H67" i="1" l="1"/>
  <c r="F80" i="1"/>
  <c r="F83" i="1" s="1"/>
  <c r="F85" i="1" s="1"/>
  <c r="F87" i="1" s="1"/>
  <c r="F33" i="1" s="1"/>
  <c r="F38" i="1" s="1"/>
  <c r="F40" i="1" s="1"/>
  <c r="B59" i="1"/>
  <c r="D67" i="1"/>
  <c r="D32" i="2"/>
  <c r="D34" i="2" s="1"/>
  <c r="B78" i="1"/>
  <c r="B35" i="1"/>
  <c r="C67" i="1"/>
  <c r="B15" i="1"/>
  <c r="F67" i="1"/>
  <c r="B22" i="1"/>
  <c r="B43" i="1"/>
  <c r="E74" i="1"/>
  <c r="E80" i="1" s="1"/>
  <c r="E83" i="1" s="1"/>
  <c r="E85" i="1" s="1"/>
  <c r="E87" i="1" s="1"/>
  <c r="E33" i="1" s="1"/>
  <c r="E38" i="1" s="1"/>
  <c r="E40" i="1" s="1"/>
  <c r="B23" i="1"/>
  <c r="B19" i="1"/>
  <c r="B30" i="1"/>
  <c r="G67" i="1"/>
  <c r="B54" i="1"/>
  <c r="B16" i="1"/>
  <c r="B65" i="1"/>
  <c r="B57" i="1"/>
  <c r="C74" i="1"/>
  <c r="C80" i="1" s="1"/>
  <c r="C83" i="1" s="1"/>
  <c r="C85" i="1" s="1"/>
  <c r="C87" i="1" s="1"/>
  <c r="C33" i="1" s="1"/>
  <c r="C38" i="1" s="1"/>
  <c r="C40" i="1" s="1"/>
  <c r="E67" i="1"/>
  <c r="G74" i="1"/>
  <c r="G80" i="1" s="1"/>
  <c r="G83" i="1" s="1"/>
  <c r="G85" i="1" s="1"/>
  <c r="G87" i="1" s="1"/>
  <c r="G33" i="1" s="1"/>
  <c r="G38" i="1" s="1"/>
  <c r="G40" i="1" s="1"/>
  <c r="B79" i="1"/>
  <c r="D74" i="1"/>
  <c r="D80" i="1" s="1"/>
  <c r="D83" i="1" s="1"/>
  <c r="D85" i="1" s="1"/>
  <c r="D87" i="1" s="1"/>
  <c r="D33" i="1" s="1"/>
  <c r="D38" i="1" s="1"/>
  <c r="D40" i="1" s="1"/>
  <c r="H74" i="1"/>
  <c r="H80" i="1" s="1"/>
  <c r="H83" i="1" s="1"/>
  <c r="H85" i="1" s="1"/>
  <c r="H87" i="1" s="1"/>
  <c r="H33" i="1" s="1"/>
  <c r="H38" i="1" s="1"/>
  <c r="H40" i="1" s="1"/>
  <c r="H70" i="1" s="1"/>
  <c r="B86" i="1"/>
  <c r="G70" i="1" l="1"/>
  <c r="D70" i="1"/>
  <c r="C70" i="1"/>
  <c r="F70" i="1"/>
  <c r="E70" i="1"/>
  <c r="H71" i="1"/>
  <c r="D71" i="1"/>
  <c r="C71" i="1"/>
  <c r="G71" i="1"/>
  <c r="B67" i="1"/>
  <c r="F71" i="1"/>
  <c r="B29" i="1"/>
  <c r="E71" i="1"/>
  <c r="B80" i="1" l="1"/>
  <c r="B74" i="1"/>
  <c r="B83" i="1" l="1"/>
  <c r="B85" i="1" l="1"/>
  <c r="B87" i="1" l="1"/>
  <c r="B33" i="1" l="1"/>
  <c r="B38" i="1" l="1"/>
  <c r="B40" i="1" l="1"/>
  <c r="B70" i="1" s="1"/>
  <c r="B71" i="1"/>
</calcChain>
</file>

<file path=xl/sharedStrings.xml><?xml version="1.0" encoding="utf-8"?>
<sst xmlns="http://schemas.openxmlformats.org/spreadsheetml/2006/main" count="111" uniqueCount="102">
  <si>
    <t>PacifiCorp</t>
  </si>
  <si>
    <t>Washington General Rate Case - December 2013</t>
  </si>
  <si>
    <t>Summary of Pro Forma Adjustments</t>
  </si>
  <si>
    <t>Tab 8 -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</si>
  <si>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</si>
  <si>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</si>
  <si>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</si>
  <si>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</si>
  <si>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</si>
  <si>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</si>
  <si>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</si>
  <si>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</si>
  <si>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</si>
  <si>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</si>
  <si>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</si>
  <si>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</si>
  <si>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</si>
  <si>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</si>
  <si>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</si>
  <si>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</si>
  <si>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</si>
  <si>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</si>
  <si>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</si>
  <si>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</si>
  <si>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</si>
  <si>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</si>
  <si>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</si>
  <si>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</si>
  <si>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</si>
  <si>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</si>
  <si>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</si>
  <si>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</si>
  <si>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</si>
  <si>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</si>
  <si>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</si>
  <si>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</si>
  <si>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</si>
  <si>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</si>
  <si>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</si>
  <si>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</si>
  <si>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</si>
  <si>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</si>
  <si>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</si>
  <si>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</si>
  <si>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</si>
  <si>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</si>
  <si>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</si>
  <si>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</si>
  <si>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</si>
  <si>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</si>
  <si>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</si>
  <si>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</si>
  <si>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</si>
  <si>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</si>
  <si>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</si>
  <si>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Estimated Return on Equity Impact</t>
  </si>
  <si>
    <t>Estimated Price Change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</si>
  <si>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</si>
  <si>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</si>
  <si>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</si>
  <si>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</si>
  <si>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</si>
  <si>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</si>
  <si>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</si>
  <si>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</si>
  <si>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</si>
  <si>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</si>
  <si>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Federal Income Taxes Before Credits</t>
  </si>
  <si>
    <t>Energy Tax Credits</t>
  </si>
  <si>
    <t>Federal Income Taxes</t>
  </si>
  <si>
    <t>8.4</t>
  </si>
  <si>
    <t>8.4.1</t>
  </si>
  <si>
    <t>Major Plant Additions - &lt;$500K</t>
  </si>
  <si>
    <t>(Cont.) Major Plant Additions - &lt;$500K</t>
  </si>
  <si>
    <t>Major Plant Additions - $500K - $1M</t>
  </si>
  <si>
    <t>(Cont.) Major Plant Additions - $500 - $1M</t>
  </si>
  <si>
    <t>Major Plant Additions - &gt;$1M</t>
  </si>
  <si>
    <t>(Cont.) Major Plant Additions - &gt;$1M</t>
  </si>
  <si>
    <t>Bench Request 10</t>
  </si>
  <si>
    <t>Variables</t>
  </si>
  <si>
    <t>Capital Structure and Cost</t>
  </si>
  <si>
    <t xml:space="preserve">Capital Structure </t>
  </si>
  <si>
    <t>Embedded Cost</t>
  </si>
  <si>
    <t>Weighted Cost</t>
  </si>
  <si>
    <t>DEBT%</t>
  </si>
  <si>
    <t>PREFERRED %</t>
  </si>
  <si>
    <t>COMMON %</t>
  </si>
  <si>
    <t>Net to Gross Bump-up Factor</t>
  </si>
  <si>
    <t>Operating Deductions</t>
  </si>
  <si>
    <t>Uncollectable Accounts</t>
  </si>
  <si>
    <t>WUTC Regulatory Fee</t>
  </si>
  <si>
    <t>WUTC Public Utility Tax</t>
  </si>
  <si>
    <t>Taxes Other - Resource Supplier</t>
  </si>
  <si>
    <t>Taxes Other - Gross Receipts</t>
  </si>
  <si>
    <t>Sub-Total</t>
  </si>
  <si>
    <t>State Taxes</t>
  </si>
  <si>
    <t>Federal Income Tax @ 35.00%</t>
  </si>
  <si>
    <t>Net Operating Income</t>
  </si>
  <si>
    <t xml:space="preserve">  Unadjusted Rate Base</t>
  </si>
  <si>
    <t xml:space="preserve">  Unadjusted Operating Rev For Return:</t>
  </si>
  <si>
    <t xml:space="preserve">  Unadjusted ROE</t>
  </si>
  <si>
    <t>Total Pro Forma Major Plant Additions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</si>
</sst>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0000000_);_(* \(#,##0.000000000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109">
    <xf numFmtId="0" fontId="0" fillId="0" borderId="0" xfId="0"/>
    <xf numFmtId="164" fontId="2" fillId="0" borderId="0" xfId="1" applyNumberFormat="1" applyFont="1" applyFill="1" applyBorder="1"/>
    <xf numFmtId="164" fontId="1" fillId="0" borderId="0" xfId="1" applyNumberFormat="1" applyFont="1" applyFill="1"/>
    <xf numFmtId="164" fontId="1" fillId="0" borderId="0" xfId="1" applyNumberFormat="1" applyFont="1" applyFill="1" applyBorder="1"/>
    <xf numFmtId="164" fontId="2" fillId="0" borderId="0" xfId="1" applyNumberFormat="1" applyFont="1" applyFill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2" fillId="0" borderId="1" xfId="1" applyNumberFormat="1" applyFont="1" applyFill="1" applyBorder="1" applyAlignment="1">
      <alignment horizontal="centerContinuous"/>
    </xf>
    <xf numFmtId="164" fontId="2" fillId="0" borderId="0" xfId="1" applyNumberFormat="1" applyFont="1" applyFill="1"/>
    <xf numFmtId="164" fontId="1" fillId="0" borderId="4" xfId="1" quotePrefix="1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Alignment="1">
      <alignment vertical="center"/>
    </xf>
    <xf numFmtId="164" fontId="1" fillId="0" borderId="4" xfId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Protection="1">
      <protection locked="0"/>
    </xf>
    <xf numFmtId="164" fontId="1" fillId="0" borderId="4" xfId="1" applyNumberFormat="1" applyFont="1" applyFill="1" applyBorder="1" applyProtection="1">
      <protection locked="0"/>
    </xf>
    <xf numFmtId="164" fontId="1" fillId="0" borderId="4" xfId="1" quotePrefix="1" applyNumberFormat="1" applyFont="1" applyFill="1" applyBorder="1" applyAlignment="1" applyProtection="1">
      <alignment horizontal="left"/>
      <protection locked="0"/>
    </xf>
    <xf numFmtId="164" fontId="1" fillId="0" borderId="6" xfId="1" applyNumberFormat="1" applyFont="1" applyFill="1" applyBorder="1" applyProtection="1">
      <protection locked="0"/>
    </xf>
    <xf numFmtId="164" fontId="1" fillId="0" borderId="9" xfId="1" applyNumberFormat="1" applyFont="1" applyFill="1" applyBorder="1" applyProtection="1">
      <protection locked="0"/>
    </xf>
    <xf numFmtId="164" fontId="1" fillId="0" borderId="10" xfId="1" applyNumberFormat="1" applyFont="1" applyFill="1" applyBorder="1" applyAlignment="1"/>
    <xf numFmtId="164" fontId="1" fillId="0" borderId="6" xfId="1" quotePrefix="1" applyNumberFormat="1" applyFont="1" applyFill="1" applyBorder="1" applyAlignment="1" applyProtection="1">
      <alignment horizontal="left"/>
      <protection locked="0"/>
    </xf>
    <xf numFmtId="164" fontId="1" fillId="0" borderId="10" xfId="1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1" fillId="0" borderId="4" xfId="2" applyNumberFormat="1" applyFont="1" applyFill="1" applyBorder="1" applyAlignment="1">
      <alignment vertical="center"/>
    </xf>
    <xf numFmtId="165" fontId="1" fillId="0" borderId="0" xfId="2" applyNumberFormat="1" applyFont="1" applyFill="1"/>
    <xf numFmtId="164" fontId="1" fillId="0" borderId="4" xfId="0" applyNumberFormat="1" applyFont="1" applyFill="1" applyBorder="1"/>
    <xf numFmtId="164" fontId="1" fillId="0" borderId="9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4" xfId="1" applyNumberFormat="1" applyFont="1" applyFill="1" applyBorder="1"/>
    <xf numFmtId="164" fontId="1" fillId="0" borderId="12" xfId="1" applyNumberFormat="1" applyFont="1" applyFill="1" applyBorder="1"/>
    <xf numFmtId="0" fontId="1" fillId="0" borderId="0" xfId="0" applyFont="1" applyFill="1" applyBorder="1"/>
    <xf numFmtId="164" fontId="2" fillId="0" borderId="0" xfId="1" quotePrefix="1" applyNumberFormat="1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165" fontId="1" fillId="0" borderId="16" xfId="2" applyNumberFormat="1" applyFont="1" applyFill="1" applyBorder="1"/>
    <xf numFmtId="165" fontId="1" fillId="0" borderId="0" xfId="2" applyNumberFormat="1" applyFont="1" applyFill="1" applyBorder="1"/>
    <xf numFmtId="10" fontId="1" fillId="0" borderId="16" xfId="2" applyNumberFormat="1" applyFont="1" applyBorder="1"/>
    <xf numFmtId="0" fontId="1" fillId="0" borderId="17" xfId="0" applyFont="1" applyBorder="1"/>
    <xf numFmtId="165" fontId="1" fillId="0" borderId="17" xfId="2" applyNumberFormat="1" applyFont="1" applyFill="1" applyBorder="1"/>
    <xf numFmtId="165" fontId="1" fillId="0" borderId="8" xfId="2" applyNumberFormat="1" applyFont="1" applyFill="1" applyBorder="1"/>
    <xf numFmtId="10" fontId="1" fillId="0" borderId="17" xfId="2" applyNumberFormat="1" applyFont="1" applyBorder="1"/>
    <xf numFmtId="10" fontId="1" fillId="0" borderId="14" xfId="0" applyNumberFormat="1" applyFont="1" applyBorder="1"/>
    <xf numFmtId="0" fontId="2" fillId="0" borderId="8" xfId="0" applyFont="1" applyBorder="1"/>
    <xf numFmtId="0" fontId="1" fillId="0" borderId="8" xfId="0" applyFont="1" applyBorder="1"/>
    <xf numFmtId="165" fontId="1" fillId="0" borderId="0" xfId="2" applyNumberFormat="1" applyFont="1"/>
    <xf numFmtId="0" fontId="1" fillId="0" borderId="0" xfId="0" quotePrefix="1" applyFont="1" applyAlignment="1">
      <alignment horizontal="left"/>
    </xf>
    <xf numFmtId="165" fontId="1" fillId="0" borderId="0" xfId="2" quotePrefix="1" applyNumberFormat="1" applyFont="1"/>
    <xf numFmtId="165" fontId="1" fillId="0" borderId="8" xfId="2" applyNumberFormat="1" applyFont="1" applyBorder="1"/>
    <xf numFmtId="10" fontId="1" fillId="0" borderId="0" xfId="2" applyNumberFormat="1" applyFont="1"/>
    <xf numFmtId="165" fontId="1" fillId="0" borderId="11" xfId="2" quotePrefix="1" applyNumberFormat="1" applyFont="1" applyBorder="1"/>
    <xf numFmtId="165" fontId="1" fillId="0" borderId="0" xfId="2" quotePrefix="1" applyNumberFormat="1" applyFont="1" applyBorder="1"/>
    <xf numFmtId="164" fontId="1" fillId="0" borderId="5" xfId="1" quotePrefix="1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Alignment="1" applyProtection="1">
      <alignment horizontal="center" wrapText="1"/>
      <protection locked="0"/>
    </xf>
    <xf numFmtId="164" fontId="1" fillId="0" borderId="0" xfId="1" applyNumberFormat="1" applyFont="1" applyFill="1" applyBorder="1" applyAlignment="1" applyProtection="1">
      <alignment horizontal="center"/>
      <protection locked="0"/>
    </xf>
    <xf numFmtId="164" fontId="1" fillId="0" borderId="0" xfId="1" quotePrefix="1" applyNumberFormat="1" applyFont="1" applyFill="1" applyBorder="1" applyAlignment="1" applyProtection="1">
      <alignment horizontal="left"/>
      <protection locked="0"/>
    </xf>
    <xf numFmtId="164" fontId="1" fillId="0" borderId="7" xfId="1" applyNumberFormat="1" applyFont="1" applyFill="1" applyBorder="1" applyProtection="1">
      <protection locked="0"/>
    </xf>
    <xf numFmtId="164" fontId="1" fillId="0" borderId="8" xfId="1" applyNumberFormat="1" applyFont="1" applyFill="1" applyBorder="1" applyAlignment="1" applyProtection="1">
      <alignment horizontal="left"/>
      <protection locked="0"/>
    </xf>
    <xf numFmtId="164" fontId="1" fillId="0" borderId="11" xfId="1" applyNumberFormat="1" applyFont="1" applyFill="1" applyBorder="1" applyAlignment="1"/>
    <xf numFmtId="164" fontId="1" fillId="0" borderId="7" xfId="1" quotePrefix="1" applyNumberFormat="1" applyFont="1" applyFill="1" applyBorder="1" applyAlignment="1" applyProtection="1">
      <alignment horizontal="left"/>
      <protection locked="0"/>
    </xf>
    <xf numFmtId="164" fontId="1" fillId="0" borderId="11" xfId="1" applyNumberFormat="1" applyFont="1" applyFill="1" applyBorder="1" applyAlignment="1">
      <alignment vertical="center"/>
    </xf>
    <xf numFmtId="165" fontId="1" fillId="0" borderId="0" xfId="2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4" fontId="1" fillId="0" borderId="8" xfId="1" applyNumberFormat="1" applyFont="1" applyFill="1" applyBorder="1" applyProtection="1">
      <protection locked="0"/>
    </xf>
    <xf numFmtId="164" fontId="1" fillId="0" borderId="13" xfId="1" applyNumberFormat="1" applyFont="1" applyFill="1" applyBorder="1"/>
    <xf numFmtId="164" fontId="0" fillId="0" borderId="0" xfId="1" applyNumberFormat="1" applyFont="1" applyFill="1"/>
    <xf numFmtId="166" fontId="1" fillId="0" borderId="0" xfId="1" applyNumberFormat="1" applyFont="1" applyFill="1"/>
    <xf numFmtId="164" fontId="2" fillId="0" borderId="0" xfId="1" applyNumberFormat="1" applyFont="1" applyBorder="1" applyAlignment="1">
      <alignment vertical="center"/>
    </xf>
    <xf numFmtId="164" fontId="1" fillId="0" borderId="0" xfId="1" applyNumberFormat="1" applyFont="1"/>
    <xf numFmtId="164" fontId="1" fillId="0" borderId="18" xfId="1" quotePrefix="1" applyNumberFormat="1" applyFont="1" applyFill="1" applyBorder="1" applyAlignment="1" applyProtection="1">
      <alignment horizontal="center"/>
      <protection locked="0"/>
    </xf>
    <xf numFmtId="164" fontId="1" fillId="0" borderId="19" xfId="1" quotePrefix="1" applyNumberFormat="1" applyFont="1" applyFill="1" applyBorder="1" applyAlignment="1" applyProtection="1">
      <alignment horizontal="center"/>
      <protection locked="0"/>
    </xf>
    <xf numFmtId="164" fontId="2" fillId="0" borderId="20" xfId="1" applyNumberFormat="1" applyFont="1" applyFill="1" applyBorder="1" applyAlignment="1" applyProtection="1">
      <alignment horizontal="center" wrapText="1"/>
      <protection locked="0"/>
    </xf>
    <xf numFmtId="164" fontId="2" fillId="0" borderId="21" xfId="1" applyNumberFormat="1" applyFont="1" applyFill="1" applyBorder="1" applyAlignment="1" applyProtection="1">
      <alignment horizontal="center" wrapText="1"/>
      <protection locked="0"/>
    </xf>
    <xf numFmtId="164" fontId="1" fillId="0" borderId="20" xfId="1" applyNumberFormat="1" applyFont="1" applyFill="1" applyBorder="1" applyAlignment="1" applyProtection="1">
      <alignment horizontal="center"/>
      <protection locked="0"/>
    </xf>
    <xf numFmtId="164" fontId="1" fillId="0" borderId="21" xfId="1" applyNumberFormat="1" applyFont="1" applyFill="1" applyBorder="1" applyAlignment="1" applyProtection="1">
      <alignment horizontal="center"/>
      <protection locked="0"/>
    </xf>
    <xf numFmtId="164" fontId="1" fillId="0" borderId="20" xfId="1" applyNumberFormat="1" applyFont="1" applyFill="1" applyBorder="1" applyProtection="1">
      <protection locked="0"/>
    </xf>
    <xf numFmtId="164" fontId="1" fillId="0" borderId="21" xfId="1" applyNumberFormat="1" applyFont="1" applyFill="1" applyBorder="1" applyProtection="1">
      <protection locked="0"/>
    </xf>
    <xf numFmtId="164" fontId="1" fillId="0" borderId="20" xfId="1" quotePrefix="1" applyNumberFormat="1" applyFont="1" applyFill="1" applyBorder="1" applyAlignment="1" applyProtection="1">
      <alignment horizontal="left"/>
      <protection locked="0"/>
    </xf>
    <xf numFmtId="164" fontId="1" fillId="0" borderId="21" xfId="1" quotePrefix="1" applyNumberFormat="1" applyFont="1" applyFill="1" applyBorder="1" applyAlignment="1" applyProtection="1">
      <alignment horizontal="left"/>
      <protection locked="0"/>
    </xf>
    <xf numFmtId="164" fontId="1" fillId="0" borderId="22" xfId="1" applyNumberFormat="1" applyFont="1" applyFill="1" applyBorder="1" applyProtection="1">
      <protection locked="0"/>
    </xf>
    <xf numFmtId="164" fontId="1" fillId="0" borderId="23" xfId="1" applyNumberFormat="1" applyFont="1" applyFill="1" applyBorder="1" applyProtection="1">
      <protection locked="0"/>
    </xf>
    <xf numFmtId="164" fontId="1" fillId="0" borderId="24" xfId="1" applyNumberFormat="1" applyFont="1" applyFill="1" applyBorder="1" applyAlignment="1" applyProtection="1">
      <alignment horizontal="left"/>
      <protection locked="0"/>
    </xf>
    <xf numFmtId="164" fontId="1" fillId="0" borderId="25" xfId="1" applyNumberFormat="1" applyFont="1" applyFill="1" applyBorder="1" applyAlignment="1" applyProtection="1">
      <alignment horizontal="left"/>
      <protection locked="0"/>
    </xf>
    <xf numFmtId="164" fontId="1" fillId="0" borderId="26" xfId="1" applyNumberFormat="1" applyFont="1" applyFill="1" applyBorder="1" applyAlignment="1"/>
    <xf numFmtId="164" fontId="1" fillId="0" borderId="27" xfId="1" applyNumberFormat="1" applyFont="1" applyFill="1" applyBorder="1" applyAlignment="1"/>
    <xf numFmtId="164" fontId="1" fillId="0" borderId="22" xfId="1" quotePrefix="1" applyNumberFormat="1" applyFont="1" applyFill="1" applyBorder="1" applyAlignment="1" applyProtection="1">
      <alignment horizontal="left"/>
      <protection locked="0"/>
    </xf>
    <xf numFmtId="164" fontId="1" fillId="0" borderId="23" xfId="1" quotePrefix="1" applyNumberFormat="1" applyFont="1" applyFill="1" applyBorder="1" applyAlignment="1" applyProtection="1">
      <alignment horizontal="left"/>
      <protection locked="0"/>
    </xf>
    <xf numFmtId="164" fontId="1" fillId="0" borderId="26" xfId="1" applyNumberFormat="1" applyFont="1" applyFill="1" applyBorder="1" applyAlignment="1">
      <alignment vertical="center"/>
    </xf>
    <xf numFmtId="164" fontId="1" fillId="0" borderId="27" xfId="1" applyNumberFormat="1" applyFont="1" applyFill="1" applyBorder="1" applyAlignment="1">
      <alignment vertical="center"/>
    </xf>
    <xf numFmtId="165" fontId="1" fillId="0" borderId="20" xfId="2" applyNumberFormat="1" applyFont="1" applyFill="1" applyBorder="1" applyAlignment="1">
      <alignment vertical="center"/>
    </xf>
    <xf numFmtId="165" fontId="1" fillId="0" borderId="21" xfId="2" applyNumberFormat="1" applyFont="1" applyFill="1" applyBorder="1" applyAlignment="1">
      <alignment vertical="center"/>
    </xf>
    <xf numFmtId="164" fontId="1" fillId="0" borderId="20" xfId="0" applyNumberFormat="1" applyFont="1" applyFill="1" applyBorder="1"/>
    <xf numFmtId="164" fontId="1" fillId="0" borderId="21" xfId="0" applyNumberFormat="1" applyFont="1" applyFill="1" applyBorder="1"/>
    <xf numFmtId="164" fontId="1" fillId="0" borderId="24" xfId="1" applyNumberFormat="1" applyFont="1" applyFill="1" applyBorder="1" applyProtection="1">
      <protection locked="0"/>
    </xf>
    <xf numFmtId="164" fontId="1" fillId="0" borderId="25" xfId="1" applyNumberFormat="1" applyFont="1" applyFill="1" applyBorder="1" applyProtection="1">
      <protection locked="0"/>
    </xf>
    <xf numFmtId="164" fontId="1" fillId="0" borderId="20" xfId="1" applyNumberFormat="1" applyFont="1" applyFill="1" applyBorder="1" applyAlignment="1">
      <alignment vertical="center"/>
    </xf>
    <xf numFmtId="164" fontId="1" fillId="0" borderId="21" xfId="1" applyNumberFormat="1" applyFont="1" applyFill="1" applyBorder="1" applyAlignment="1">
      <alignment vertical="center"/>
    </xf>
    <xf numFmtId="164" fontId="1" fillId="0" borderId="20" xfId="1" applyNumberFormat="1" applyFont="1" applyFill="1" applyBorder="1"/>
    <xf numFmtId="164" fontId="1" fillId="0" borderId="21" xfId="1" applyNumberFormat="1" applyFont="1" applyFill="1" applyBorder="1"/>
    <xf numFmtId="164" fontId="1" fillId="0" borderId="28" xfId="1" applyNumberFormat="1" applyFont="1" applyFill="1" applyBorder="1"/>
    <xf numFmtId="164" fontId="1" fillId="0" borderId="29" xfId="1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30" xfId="1" applyNumberFormat="1" applyFont="1" applyFill="1" applyBorder="1" applyAlignment="1">
      <alignment horizontal="center"/>
    </xf>
  </cellXfs>
  <cellStyles count="7">
    <cellStyle name="Comma" xfId="1" builtinId="3"/>
    <cellStyle name="Comma 2" xfId="3"/>
    <cellStyle name="Normal" xfId="0" builtinId="0"/>
    <cellStyle name="Normal 2" xfId="4"/>
    <cellStyle name="Normal 3" xfId="5"/>
    <cellStyle name="Percent" xfId="2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targus\Documents\Attach%20Bench%20Request%2010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\WA%20GRC%20Dec%202013%20Base\Bench%20Requests\Revenue%20Requirement%20Summary%20Model%20-%20BR10%20-%20TC%20Check%20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ge 8.4 - &lt;$500k"/>
      <sheetName val="Page 8.4.1 &lt;$500k"/>
      <sheetName val="Page 8.4.4 &lt;$500k"/>
      <sheetName val="Page 8.4 $500k - $1M"/>
      <sheetName val="Page 8.4.1 $500k - $1M"/>
      <sheetName val="Page 8.4.4 $500k - $1M"/>
      <sheetName val="Page 8.4 - &gt;$1M"/>
      <sheetName val="Page 8.4.1 &gt;$1M"/>
      <sheetName val="Page 8.4.4 &gt;$1M"/>
      <sheetName val="Page 8.4.2"/>
      <sheetName val="Page 8.4.3"/>
      <sheetName val="Page 8.4.4 - ALL "/>
    </sheetNames>
    <sheetDataSet>
      <sheetData sheetId="0"/>
      <sheetData sheetId="1">
        <row r="20">
          <cell r="I20">
            <v>2678575.8474884303</v>
          </cell>
        </row>
        <row r="31">
          <cell r="I31">
            <v>-66113.844655739726</v>
          </cell>
        </row>
        <row r="42">
          <cell r="I42">
            <v>64581.560736968073</v>
          </cell>
        </row>
      </sheetData>
      <sheetData sheetId="2">
        <row r="11">
          <cell r="I11">
            <v>13359.407464762315</v>
          </cell>
        </row>
        <row r="12">
          <cell r="I12">
            <v>28229.609075209344</v>
          </cell>
        </row>
        <row r="13">
          <cell r="I13">
            <v>5643.4427951855278</v>
          </cell>
        </row>
        <row r="14">
          <cell r="I14">
            <v>-7819.0122580004809</v>
          </cell>
        </row>
        <row r="16">
          <cell r="I16">
            <v>37863.341537620749</v>
          </cell>
        </row>
        <row r="17">
          <cell r="I17">
            <v>118912.32360680486</v>
          </cell>
        </row>
        <row r="18">
          <cell r="I18">
            <v>30758.763333620442</v>
          </cell>
        </row>
        <row r="19">
          <cell r="I19">
            <v>-39513.013668631582</v>
          </cell>
        </row>
        <row r="21">
          <cell r="I21">
            <v>13358.81173458499</v>
          </cell>
        </row>
        <row r="22">
          <cell r="I22">
            <v>53020.60591056876</v>
          </cell>
        </row>
        <row r="23">
          <cell r="I23">
            <v>15052.064889599933</v>
          </cell>
        </row>
        <row r="24">
          <cell r="I24">
            <v>-19320.627396472937</v>
          </cell>
        </row>
      </sheetData>
      <sheetData sheetId="3"/>
      <sheetData sheetId="4">
        <row r="20">
          <cell r="I20">
            <v>3343029.4490023851</v>
          </cell>
        </row>
        <row r="31">
          <cell r="I31">
            <v>-62823.076458733347</v>
          </cell>
        </row>
        <row r="42">
          <cell r="I42">
            <v>57697.482119890716</v>
          </cell>
        </row>
      </sheetData>
      <sheetData sheetId="5">
        <row r="11">
          <cell r="I11">
            <v>20190.2269292903</v>
          </cell>
        </row>
        <row r="12">
          <cell r="I12">
            <v>72368.557617363651</v>
          </cell>
        </row>
        <row r="13">
          <cell r="I13">
            <v>19802.089258027347</v>
          </cell>
        </row>
        <row r="14">
          <cell r="I14">
            <v>-25397.328889339573</v>
          </cell>
        </row>
        <row r="16">
          <cell r="I16">
            <v>37507.255190600408</v>
          </cell>
        </row>
        <row r="17">
          <cell r="I17">
            <v>102199.32809617417</v>
          </cell>
        </row>
        <row r="18">
          <cell r="I18">
            <v>24551.468432029953</v>
          </cell>
        </row>
        <row r="19">
          <cell r="I19">
            <v>-30495.364788389503</v>
          </cell>
        </row>
      </sheetData>
      <sheetData sheetId="6"/>
      <sheetData sheetId="7">
        <row r="20">
          <cell r="I20">
            <v>21097162.679424621</v>
          </cell>
        </row>
        <row r="31">
          <cell r="I31">
            <v>-478387.71218067798</v>
          </cell>
        </row>
        <row r="42">
          <cell r="I42">
            <v>466361.64486894885</v>
          </cell>
        </row>
      </sheetData>
      <sheetData sheetId="8">
        <row r="11">
          <cell r="I11">
            <v>30505.59674909465</v>
          </cell>
        </row>
        <row r="12">
          <cell r="I12">
            <v>57863.307452385256</v>
          </cell>
        </row>
        <row r="13">
          <cell r="I13">
            <v>10382.502420557708</v>
          </cell>
        </row>
        <row r="14">
          <cell r="I14">
            <v>-14841.754156589159</v>
          </cell>
        </row>
        <row r="16">
          <cell r="I16">
            <v>291140.9440811305</v>
          </cell>
        </row>
        <row r="17">
          <cell r="I17">
            <v>4304528.5116698202</v>
          </cell>
        </row>
        <row r="18">
          <cell r="I18">
            <v>1523120.671130857</v>
          </cell>
        </row>
        <row r="19">
          <cell r="I19">
            <v>-2049541.0162589801</v>
          </cell>
        </row>
        <row r="21">
          <cell r="I21">
            <v>144715.10403872374</v>
          </cell>
        </row>
        <row r="22">
          <cell r="I22">
            <v>394027</v>
          </cell>
        </row>
        <row r="23">
          <cell r="I23">
            <v>94616</v>
          </cell>
        </row>
        <row r="24">
          <cell r="I24">
            <v>-124979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Adj"/>
      <sheetName val="Restating Adj"/>
      <sheetName val="Pro Forma Adj"/>
      <sheetName val="Interest Calc"/>
      <sheetName val="Variables"/>
      <sheetName val="Check Sheet"/>
      <sheetName val="Rev Req Adj Summary"/>
      <sheetName val="Summarized Adjustments"/>
      <sheetName val="Page 1.4"/>
      <sheetName val="Page 1.5"/>
      <sheetName val="Page 1.6"/>
      <sheetName val="Revenue Requirement Summary Mod"/>
    </sheetNames>
    <definedNames>
      <definedName name="Unadj_Op_revenue" refersTo="='Summary'!$B$37"/>
      <definedName name="Unadj_rate_base" refersTo="='Summary'!$B$64"/>
      <definedName name="Unadj_ROE" refersTo="='Summary'!$B$67"/>
    </definedNames>
    <sheetDataSet>
      <sheetData sheetId="0">
        <row r="37">
          <cell r="B37">
            <v>40389777.94615829</v>
          </cell>
        </row>
        <row r="64">
          <cell r="B64">
            <v>788256371.82205129</v>
          </cell>
        </row>
        <row r="67">
          <cell r="B67">
            <v>5.0710212460143671E-2</v>
          </cell>
        </row>
      </sheetData>
      <sheetData sheetId="1" refreshError="1"/>
      <sheetData sheetId="2" refreshError="1"/>
      <sheetData sheetId="3">
        <row r="12">
          <cell r="B12">
            <v>0</v>
          </cell>
        </row>
        <row r="37">
          <cell r="B37">
            <v>0</v>
          </cell>
        </row>
        <row r="64">
          <cell r="B64">
            <v>0</v>
          </cell>
        </row>
        <row r="67">
          <cell r="B67">
            <v>24199536.225203883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tabSelected="1" view="pageBreakPreview" topLeftCell="A25" zoomScale="70" zoomScaleNormal="70" zoomScaleSheetLayoutView="70" workbookViewId="0">
      <selection activeCell="K34" sqref="K34"/>
    </sheetView>
  </sheetViews>
  <sheetFormatPr defaultRowHeight="12.75" x14ac:dyDescent="0.2"/>
  <cols>
    <col min="1" max="1" width="36.85546875" style="3" customWidth="1"/>
    <col min="2" max="2" width="12.85546875" style="2" customWidth="1"/>
    <col min="3" max="8" width="14.85546875" style="2" customWidth="1"/>
    <col min="9" max="9" width="12.28515625" style="2" bestFit="1" customWidth="1"/>
    <col min="10" max="10" width="9.140625" style="2"/>
    <col min="11" max="11" width="13.85546875" style="2" bestFit="1" customWidth="1"/>
    <col min="12" max="16384" width="9.140625" style="2"/>
  </cols>
  <sheetData>
    <row r="1" spans="1:8" x14ac:dyDescent="0.2">
      <c r="A1" s="1" t="s">
        <v>0</v>
      </c>
    </row>
    <row r="2" spans="1:8" s="3" customFormat="1" x14ac:dyDescent="0.2">
      <c r="A2" s="4" t="s">
        <v>1</v>
      </c>
    </row>
    <row r="3" spans="1:8" s="3" customFormat="1" x14ac:dyDescent="0.2">
      <c r="A3" s="5" t="s">
        <v>2</v>
      </c>
    </row>
    <row r="4" spans="1:8" s="3" customFormat="1" x14ac:dyDescent="0.2">
      <c r="A4" s="5" t="s">
        <v>78</v>
      </c>
    </row>
    <row r="5" spans="1:8" s="3" customFormat="1" x14ac:dyDescent="0.2">
      <c r="A5" s="4"/>
    </row>
    <row r="6" spans="1:8" s="1" customFormat="1" ht="13.5" thickBot="1" x14ac:dyDescent="0.25">
      <c r="A6" s="6"/>
    </row>
    <row r="7" spans="1:8" s="8" customFormat="1" ht="13.5" thickBot="1" x14ac:dyDescent="0.25">
      <c r="A7" s="1"/>
      <c r="B7" s="7"/>
      <c r="C7" s="106" t="s">
        <v>3</v>
      </c>
      <c r="D7" s="107"/>
      <c r="E7" s="107"/>
      <c r="F7" s="107"/>
      <c r="G7" s="107"/>
      <c r="H7" s="108"/>
    </row>
    <row r="8" spans="1:8" x14ac:dyDescent="0.2">
      <c r="B8" s="9"/>
      <c r="C8" s="74" t="s">
        <v>70</v>
      </c>
      <c r="D8" s="57" t="s">
        <v>71</v>
      </c>
      <c r="E8" s="57" t="s">
        <v>70</v>
      </c>
      <c r="F8" s="57" t="s">
        <v>71</v>
      </c>
      <c r="G8" s="57" t="s">
        <v>70</v>
      </c>
      <c r="H8" s="75" t="s">
        <v>71</v>
      </c>
    </row>
    <row r="9" spans="1:8" s="12" customFormat="1" ht="104.25" customHeight="1" x14ac:dyDescent="0.2">
      <c r="A9" s="10"/>
      <c r="B9" s="11" t="s">
        <v>101</v>
      </c>
      <c r="C9" s="76" t="s">
        <v>72</v>
      </c>
      <c r="D9" s="58" t="s">
        <v>73</v>
      </c>
      <c r="E9" s="58" t="s">
        <v>74</v>
      </c>
      <c r="F9" s="58" t="s">
        <v>75</v>
      </c>
      <c r="G9" s="58" t="s">
        <v>76</v>
      </c>
      <c r="H9" s="77" t="s">
        <v>77</v>
      </c>
    </row>
    <row r="10" spans="1:8" x14ac:dyDescent="0.2">
      <c r="B10" s="13"/>
      <c r="C10" s="78"/>
      <c r="D10" s="59"/>
      <c r="E10" s="59"/>
      <c r="F10" s="59"/>
      <c r="G10" s="59"/>
      <c r="H10" s="79"/>
    </row>
    <row r="11" spans="1:8" x14ac:dyDescent="0.2">
      <c r="A11" s="10" t="s">
        <v>4</v>
      </c>
      <c r="B11" s="15"/>
      <c r="C11" s="80"/>
      <c r="D11" s="14"/>
      <c r="E11" s="14"/>
      <c r="F11" s="14"/>
      <c r="G11" s="14"/>
      <c r="H11" s="81"/>
    </row>
    <row r="12" spans="1:8" x14ac:dyDescent="0.2">
      <c r="A12" s="10" t="s">
        <v>5</v>
      </c>
      <c r="B12" s="16">
        <f>SUM(C12:H12)</f>
        <v>0</v>
      </c>
      <c r="C12" s="82"/>
      <c r="D12" s="60"/>
      <c r="E12" s="60"/>
      <c r="F12" s="60"/>
      <c r="G12" s="60"/>
      <c r="H12" s="83"/>
    </row>
    <row r="13" spans="1:8" x14ac:dyDescent="0.2">
      <c r="A13" s="10" t="s">
        <v>6</v>
      </c>
      <c r="B13" s="16">
        <f>SUM(C13:H13)</f>
        <v>0</v>
      </c>
      <c r="C13" s="82"/>
      <c r="D13" s="60"/>
      <c r="E13" s="60"/>
      <c r="F13" s="60"/>
      <c r="G13" s="60"/>
      <c r="H13" s="83"/>
    </row>
    <row r="14" spans="1:8" x14ac:dyDescent="0.2">
      <c r="A14" s="10" t="s">
        <v>7</v>
      </c>
      <c r="B14" s="16">
        <f>SUM(C14:H14)</f>
        <v>0</v>
      </c>
      <c r="C14" s="82"/>
      <c r="D14" s="60"/>
      <c r="E14" s="60"/>
      <c r="F14" s="60"/>
      <c r="G14" s="60"/>
      <c r="H14" s="83"/>
    </row>
    <row r="15" spans="1:8" x14ac:dyDescent="0.2">
      <c r="A15" s="10" t="s">
        <v>8</v>
      </c>
      <c r="B15" s="16">
        <f>SUM(C15:H15)</f>
        <v>0</v>
      </c>
      <c r="C15" s="82"/>
      <c r="D15" s="60"/>
      <c r="E15" s="60"/>
      <c r="F15" s="60"/>
      <c r="G15" s="60"/>
      <c r="H15" s="83"/>
    </row>
    <row r="16" spans="1:8" x14ac:dyDescent="0.2">
      <c r="A16" s="10" t="s">
        <v>9</v>
      </c>
      <c r="B16" s="17">
        <f>SUM(C16:H16)</f>
        <v>0</v>
      </c>
      <c r="C16" s="84">
        <f t="shared" ref="C16:H16" si="0">SUM(C12:C15)</f>
        <v>0</v>
      </c>
      <c r="D16" s="61">
        <f t="shared" si="0"/>
        <v>0</v>
      </c>
      <c r="E16" s="61">
        <f t="shared" si="0"/>
        <v>0</v>
      </c>
      <c r="F16" s="61">
        <f t="shared" si="0"/>
        <v>0</v>
      </c>
      <c r="G16" s="61">
        <f t="shared" si="0"/>
        <v>0</v>
      </c>
      <c r="H16" s="85">
        <f t="shared" si="0"/>
        <v>0</v>
      </c>
    </row>
    <row r="17" spans="1:9" x14ac:dyDescent="0.2">
      <c r="A17" s="10"/>
      <c r="B17" s="15"/>
      <c r="C17" s="80"/>
      <c r="D17" s="14"/>
      <c r="E17" s="14"/>
      <c r="F17" s="14"/>
      <c r="G17" s="14"/>
      <c r="H17" s="81"/>
    </row>
    <row r="18" spans="1:9" x14ac:dyDescent="0.2">
      <c r="A18" s="10" t="s">
        <v>10</v>
      </c>
      <c r="B18" s="15"/>
      <c r="C18" s="80"/>
      <c r="D18" s="14"/>
      <c r="E18" s="14"/>
      <c r="F18" s="14"/>
      <c r="G18" s="14"/>
      <c r="H18" s="81"/>
    </row>
    <row r="19" spans="1:9" x14ac:dyDescent="0.2">
      <c r="A19" s="10" t="s">
        <v>11</v>
      </c>
      <c r="B19" s="16">
        <f t="shared" ref="B19:B40" si="1">SUM(C19:H19)</f>
        <v>0</v>
      </c>
      <c r="C19" s="82"/>
      <c r="D19" s="60"/>
      <c r="E19" s="60"/>
      <c r="F19" s="60"/>
      <c r="G19" s="60"/>
      <c r="H19" s="83"/>
    </row>
    <row r="20" spans="1:9" x14ac:dyDescent="0.2">
      <c r="A20" s="10" t="s">
        <v>12</v>
      </c>
      <c r="B20" s="16">
        <f t="shared" si="1"/>
        <v>0</v>
      </c>
      <c r="C20" s="82"/>
      <c r="D20" s="60"/>
      <c r="E20" s="60"/>
      <c r="F20" s="60"/>
      <c r="G20" s="60"/>
      <c r="H20" s="83"/>
    </row>
    <row r="21" spans="1:9" x14ac:dyDescent="0.2">
      <c r="A21" s="10" t="s">
        <v>13</v>
      </c>
      <c r="B21" s="16">
        <f t="shared" si="1"/>
        <v>0</v>
      </c>
      <c r="C21" s="82"/>
      <c r="D21" s="60"/>
      <c r="E21" s="60"/>
      <c r="F21" s="60"/>
      <c r="G21" s="60"/>
      <c r="H21" s="83"/>
    </row>
    <row r="22" spans="1:9" x14ac:dyDescent="0.2">
      <c r="A22" s="10" t="s">
        <v>14</v>
      </c>
      <c r="B22" s="16">
        <f t="shared" si="1"/>
        <v>0</v>
      </c>
      <c r="C22" s="82"/>
      <c r="D22" s="60"/>
      <c r="E22" s="60"/>
      <c r="F22" s="60"/>
      <c r="G22" s="60"/>
      <c r="H22" s="83"/>
    </row>
    <row r="23" spans="1:9" x14ac:dyDescent="0.2">
      <c r="A23" s="10" t="s">
        <v>15</v>
      </c>
      <c r="B23" s="16">
        <f t="shared" si="1"/>
        <v>0</v>
      </c>
      <c r="C23" s="82"/>
      <c r="D23" s="60"/>
      <c r="E23" s="60"/>
      <c r="F23" s="60"/>
      <c r="G23" s="60"/>
      <c r="H23" s="83"/>
    </row>
    <row r="24" spans="1:9" x14ac:dyDescent="0.2">
      <c r="A24" s="10" t="s">
        <v>16</v>
      </c>
      <c r="B24" s="16">
        <f t="shared" si="1"/>
        <v>0</v>
      </c>
      <c r="C24" s="82"/>
      <c r="D24" s="60"/>
      <c r="E24" s="60"/>
      <c r="F24" s="60"/>
      <c r="G24" s="60"/>
      <c r="H24" s="83"/>
    </row>
    <row r="25" spans="1:9" x14ac:dyDescent="0.2">
      <c r="A25" s="10" t="s">
        <v>17</v>
      </c>
      <c r="B25" s="16">
        <f t="shared" si="1"/>
        <v>0</v>
      </c>
      <c r="C25" s="82"/>
      <c r="D25" s="60"/>
      <c r="E25" s="60"/>
      <c r="F25" s="60"/>
      <c r="G25" s="60"/>
      <c r="H25" s="83"/>
    </row>
    <row r="26" spans="1:9" x14ac:dyDescent="0.2">
      <c r="A26" s="10" t="s">
        <v>18</v>
      </c>
      <c r="B26" s="16">
        <f t="shared" si="1"/>
        <v>0</v>
      </c>
      <c r="C26" s="82"/>
      <c r="D26" s="60"/>
      <c r="E26" s="60"/>
      <c r="F26" s="60"/>
      <c r="G26" s="60"/>
      <c r="H26" s="83"/>
    </row>
    <row r="27" spans="1:9" x14ac:dyDescent="0.2">
      <c r="A27" s="10" t="s">
        <v>19</v>
      </c>
      <c r="B27" s="16">
        <f t="shared" si="1"/>
        <v>0</v>
      </c>
      <c r="C27" s="82"/>
      <c r="D27" s="60"/>
      <c r="E27" s="60"/>
      <c r="F27" s="60"/>
      <c r="G27" s="60"/>
      <c r="H27" s="83"/>
    </row>
    <row r="28" spans="1:9" x14ac:dyDescent="0.2">
      <c r="A28" s="10" t="s">
        <v>20</v>
      </c>
      <c r="B28" s="16">
        <f t="shared" si="1"/>
        <v>0</v>
      </c>
      <c r="C28" s="86"/>
      <c r="D28" s="62"/>
      <c r="E28" s="62"/>
      <c r="F28" s="62"/>
      <c r="G28" s="62"/>
      <c r="H28" s="87"/>
    </row>
    <row r="29" spans="1:9" x14ac:dyDescent="0.2">
      <c r="A29" s="10" t="s">
        <v>21</v>
      </c>
      <c r="B29" s="18">
        <f t="shared" si="1"/>
        <v>0</v>
      </c>
      <c r="C29" s="80">
        <f t="shared" ref="C29:H29" si="2">SUM(C19:C28)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  <c r="H29" s="81">
        <f t="shared" si="2"/>
        <v>0</v>
      </c>
    </row>
    <row r="30" spans="1:9" x14ac:dyDescent="0.2">
      <c r="A30" s="10" t="s">
        <v>22</v>
      </c>
      <c r="B30" s="16">
        <f t="shared" si="1"/>
        <v>588640.68772580766</v>
      </c>
      <c r="C30" s="82">
        <f>'[1]Page 8.4 - &lt;$500k'!$I$42</f>
        <v>64581.560736968073</v>
      </c>
      <c r="D30" s="60"/>
      <c r="E30" s="60">
        <f>'[1]Page 8.4 $500k - $1M'!$I$42</f>
        <v>57697.482119890716</v>
      </c>
      <c r="F30" s="60"/>
      <c r="G30" s="60">
        <f>'[1]Page 8.4 - &gt;$1M'!$I$42</f>
        <v>466361.64486894885</v>
      </c>
      <c r="H30" s="83"/>
    </row>
    <row r="31" spans="1:9" x14ac:dyDescent="0.2">
      <c r="A31" s="10" t="s">
        <v>23</v>
      </c>
      <c r="B31" s="16">
        <f t="shared" si="1"/>
        <v>0</v>
      </c>
      <c r="C31" s="82"/>
      <c r="D31" s="60"/>
      <c r="E31" s="60"/>
      <c r="F31" s="60"/>
      <c r="G31" s="60"/>
      <c r="H31" s="83"/>
    </row>
    <row r="32" spans="1:9" x14ac:dyDescent="0.2">
      <c r="A32" s="10" t="s">
        <v>24</v>
      </c>
      <c r="B32" s="16">
        <f t="shared" si="1"/>
        <v>0</v>
      </c>
      <c r="C32" s="82"/>
      <c r="D32" s="60"/>
      <c r="E32" s="60"/>
      <c r="F32" s="60"/>
      <c r="G32" s="60"/>
      <c r="H32" s="83"/>
      <c r="I32" s="3"/>
    </row>
    <row r="33" spans="1:8" x14ac:dyDescent="0.2">
      <c r="A33" s="10" t="s">
        <v>25</v>
      </c>
      <c r="B33" s="16">
        <f t="shared" si="1"/>
        <v>-1795902.2351999143</v>
      </c>
      <c r="C33" s="82">
        <f t="shared" ref="C33:H33" si="3">C87</f>
        <v>-22603.546257938826</v>
      </c>
      <c r="D33" s="60">
        <f t="shared" si="3"/>
        <v>-47453.342249465219</v>
      </c>
      <c r="E33" s="60">
        <f t="shared" si="3"/>
        <v>-20194.118741961749</v>
      </c>
      <c r="F33" s="60">
        <f t="shared" si="3"/>
        <v>-40904.641257776479</v>
      </c>
      <c r="G33" s="60">
        <f t="shared" si="3"/>
        <v>-163226.57570413209</v>
      </c>
      <c r="H33" s="83">
        <f t="shared" si="3"/>
        <v>-1501520.0109886399</v>
      </c>
    </row>
    <row r="34" spans="1:8" x14ac:dyDescent="0.2">
      <c r="A34" s="10" t="s">
        <v>26</v>
      </c>
      <c r="B34" s="16">
        <f t="shared" si="1"/>
        <v>0</v>
      </c>
      <c r="C34" s="82">
        <v>0</v>
      </c>
      <c r="D34" s="60">
        <v>0</v>
      </c>
      <c r="E34" s="60">
        <v>0</v>
      </c>
      <c r="F34" s="60">
        <v>0</v>
      </c>
      <c r="G34" s="60">
        <v>0</v>
      </c>
      <c r="H34" s="83">
        <v>0</v>
      </c>
    </row>
    <row r="35" spans="1:8" x14ac:dyDescent="0.2">
      <c r="A35" s="10" t="s">
        <v>27</v>
      </c>
      <c r="B35" s="16">
        <f t="shared" si="1"/>
        <v>1723927.0022598777</v>
      </c>
      <c r="C35" s="82"/>
      <c r="D35" s="60">
        <f>'[1]Page 8.4.1 &lt;$500k'!$I$13+'[1]Page 8.4.1 &lt;$500k'!$I$18+'[1]Page 8.4.1 &lt;$500k'!$I$23</f>
        <v>51454.271018405903</v>
      </c>
      <c r="E35" s="60"/>
      <c r="F35" s="60">
        <f>'[1]Page 8.4.1 $500k - $1M'!$I$13+'[1]Page 8.4.1 $500k - $1M'!$I$18</f>
        <v>44353.5576900573</v>
      </c>
      <c r="G35" s="60"/>
      <c r="H35" s="83">
        <f>'[1]Page 8.4.1 &gt;$1M'!$I$13+'[1]Page 8.4.1 &gt;$1M'!$I$18+'[1]Page 8.4.1 &gt;$1M'!$I$23</f>
        <v>1628119.1735514146</v>
      </c>
    </row>
    <row r="36" spans="1:8" x14ac:dyDescent="0.2">
      <c r="A36" s="10" t="s">
        <v>28</v>
      </c>
      <c r="B36" s="16">
        <f t="shared" si="1"/>
        <v>0</v>
      </c>
      <c r="C36" s="82"/>
      <c r="D36" s="60"/>
      <c r="E36" s="60"/>
      <c r="F36" s="60"/>
      <c r="G36" s="60"/>
      <c r="H36" s="83"/>
    </row>
    <row r="37" spans="1:8" x14ac:dyDescent="0.2">
      <c r="A37" s="10" t="s">
        <v>29</v>
      </c>
      <c r="B37" s="16">
        <f t="shared" si="1"/>
        <v>0</v>
      </c>
      <c r="C37" s="82"/>
      <c r="D37" s="60"/>
      <c r="E37" s="60"/>
      <c r="F37" s="60"/>
      <c r="G37" s="60"/>
      <c r="H37" s="83"/>
    </row>
    <row r="38" spans="1:8" x14ac:dyDescent="0.2">
      <c r="A38" s="10" t="s">
        <v>30</v>
      </c>
      <c r="B38" s="17">
        <f t="shared" si="1"/>
        <v>516665.4547857712</v>
      </c>
      <c r="C38" s="84">
        <f t="shared" ref="C38" si="4">SUM(C29:C37)</f>
        <v>41978.014479029247</v>
      </c>
      <c r="D38" s="61">
        <f t="shared" ref="D38:H38" si="5">SUM(D29:D37)</f>
        <v>4000.9287689406847</v>
      </c>
      <c r="E38" s="61">
        <f t="shared" ref="E38" si="6">SUM(E29:E37)</f>
        <v>37503.363377928967</v>
      </c>
      <c r="F38" s="61">
        <f t="shared" si="5"/>
        <v>3448.916432280821</v>
      </c>
      <c r="G38" s="61">
        <f t="shared" ref="G38" si="7">SUM(G29:G37)</f>
        <v>303135.06916481676</v>
      </c>
      <c r="H38" s="85">
        <f t="shared" si="5"/>
        <v>126599.16256277473</v>
      </c>
    </row>
    <row r="39" spans="1:8" x14ac:dyDescent="0.2">
      <c r="A39" s="10"/>
      <c r="B39" s="15">
        <f t="shared" si="1"/>
        <v>0</v>
      </c>
      <c r="C39" s="80"/>
      <c r="D39" s="14"/>
      <c r="E39" s="14"/>
      <c r="F39" s="14"/>
      <c r="G39" s="14"/>
      <c r="H39" s="81"/>
    </row>
    <row r="40" spans="1:8" ht="13.5" thickBot="1" x14ac:dyDescent="0.25">
      <c r="A40" s="10" t="s">
        <v>31</v>
      </c>
      <c r="B40" s="19">
        <f t="shared" si="1"/>
        <v>-516665.4547857712</v>
      </c>
      <c r="C40" s="88">
        <f t="shared" ref="C40:H40" si="8">C16-C38</f>
        <v>-41978.014479029247</v>
      </c>
      <c r="D40" s="63">
        <f t="shared" si="8"/>
        <v>-4000.9287689406847</v>
      </c>
      <c r="E40" s="63">
        <f t="shared" si="8"/>
        <v>-37503.363377928967</v>
      </c>
      <c r="F40" s="63">
        <f t="shared" si="8"/>
        <v>-3448.916432280821</v>
      </c>
      <c r="G40" s="63">
        <f t="shared" si="8"/>
        <v>-303135.06916481676</v>
      </c>
      <c r="H40" s="89">
        <f t="shared" si="8"/>
        <v>-126599.16256277473</v>
      </c>
    </row>
    <row r="41" spans="1:8" ht="13.5" thickTop="1" x14ac:dyDescent="0.2">
      <c r="A41" s="10"/>
      <c r="B41" s="15"/>
      <c r="C41" s="80"/>
      <c r="D41" s="14"/>
      <c r="E41" s="14"/>
      <c r="F41" s="14"/>
      <c r="G41" s="14"/>
      <c r="H41" s="81"/>
    </row>
    <row r="42" spans="1:8" x14ac:dyDescent="0.2">
      <c r="A42" s="10" t="s">
        <v>32</v>
      </c>
      <c r="B42" s="15"/>
      <c r="C42" s="80"/>
      <c r="D42" s="14"/>
      <c r="E42" s="14"/>
      <c r="F42" s="14"/>
      <c r="G42" s="14"/>
      <c r="H42" s="81"/>
    </row>
    <row r="43" spans="1:8" x14ac:dyDescent="0.2">
      <c r="A43" s="10" t="s">
        <v>33</v>
      </c>
      <c r="B43" s="16">
        <f t="shared" ref="B43:B54" si="9">SUM(C43:H43)</f>
        <v>27118767.975915436</v>
      </c>
      <c r="C43" s="82">
        <f>'[1]Page 8.4 - &lt;$500k'!$I$20</f>
        <v>2678575.8474884303</v>
      </c>
      <c r="D43" s="60"/>
      <c r="E43" s="60">
        <f>'[1]Page 8.4 $500k - $1M'!$I$20</f>
        <v>3343029.4490023851</v>
      </c>
      <c r="F43" s="60"/>
      <c r="G43" s="60">
        <f>'[1]Page 8.4 - &gt;$1M'!$I$20</f>
        <v>21097162.679424621</v>
      </c>
      <c r="H43" s="83"/>
    </row>
    <row r="44" spans="1:8" x14ac:dyDescent="0.2">
      <c r="A44" s="10" t="s">
        <v>34</v>
      </c>
      <c r="B44" s="16">
        <f t="shared" si="9"/>
        <v>0</v>
      </c>
      <c r="C44" s="82"/>
      <c r="D44" s="60"/>
      <c r="E44" s="60"/>
      <c r="F44" s="60"/>
      <c r="G44" s="60"/>
      <c r="H44" s="83"/>
    </row>
    <row r="45" spans="1:8" x14ac:dyDescent="0.2">
      <c r="A45" s="10" t="s">
        <v>35</v>
      </c>
      <c r="B45" s="16">
        <f t="shared" si="9"/>
        <v>0</v>
      </c>
      <c r="C45" s="82"/>
      <c r="D45" s="60"/>
      <c r="E45" s="60"/>
      <c r="F45" s="60"/>
      <c r="G45" s="60"/>
      <c r="H45" s="83"/>
    </row>
    <row r="46" spans="1:8" x14ac:dyDescent="0.2">
      <c r="A46" s="10" t="s">
        <v>36</v>
      </c>
      <c r="B46" s="16">
        <f t="shared" si="9"/>
        <v>0</v>
      </c>
      <c r="C46" s="82"/>
      <c r="D46" s="60"/>
      <c r="E46" s="60"/>
      <c r="F46" s="60"/>
      <c r="G46" s="60"/>
      <c r="H46" s="83"/>
    </row>
    <row r="47" spans="1:8" x14ac:dyDescent="0.2">
      <c r="A47" s="10" t="s">
        <v>37</v>
      </c>
      <c r="B47" s="16">
        <f t="shared" si="9"/>
        <v>0</v>
      </c>
      <c r="C47" s="82"/>
      <c r="D47" s="60"/>
      <c r="E47" s="60"/>
      <c r="F47" s="60"/>
      <c r="G47" s="60"/>
      <c r="H47" s="83"/>
    </row>
    <row r="48" spans="1:8" x14ac:dyDescent="0.2">
      <c r="A48" s="10" t="s">
        <v>38</v>
      </c>
      <c r="B48" s="16">
        <f t="shared" si="9"/>
        <v>0</v>
      </c>
      <c r="C48" s="82"/>
      <c r="D48" s="60"/>
      <c r="E48" s="60"/>
      <c r="F48" s="60"/>
      <c r="G48" s="60"/>
      <c r="H48" s="83"/>
    </row>
    <row r="49" spans="1:12" x14ac:dyDescent="0.2">
      <c r="A49" s="10" t="s">
        <v>39</v>
      </c>
      <c r="B49" s="16">
        <f t="shared" si="9"/>
        <v>0</v>
      </c>
      <c r="C49" s="82"/>
      <c r="D49" s="60"/>
      <c r="E49" s="60"/>
      <c r="F49" s="60"/>
      <c r="G49" s="60"/>
      <c r="H49" s="83"/>
    </row>
    <row r="50" spans="1:12" x14ac:dyDescent="0.2">
      <c r="A50" s="10" t="s">
        <v>40</v>
      </c>
      <c r="B50" s="16">
        <f t="shared" si="9"/>
        <v>0</v>
      </c>
      <c r="C50" s="82"/>
      <c r="D50" s="60"/>
      <c r="E50" s="60"/>
      <c r="F50" s="60"/>
      <c r="G50" s="60"/>
      <c r="H50" s="83"/>
    </row>
    <row r="51" spans="1:12" x14ac:dyDescent="0.2">
      <c r="A51" s="10" t="s">
        <v>41</v>
      </c>
      <c r="B51" s="16">
        <f t="shared" si="9"/>
        <v>0</v>
      </c>
      <c r="C51" s="82"/>
      <c r="D51" s="60"/>
      <c r="E51" s="60"/>
      <c r="F51" s="60"/>
      <c r="G51" s="60"/>
      <c r="H51" s="83"/>
    </row>
    <row r="52" spans="1:12" x14ac:dyDescent="0.2">
      <c r="A52" s="10" t="s">
        <v>42</v>
      </c>
      <c r="B52" s="16">
        <f t="shared" si="9"/>
        <v>0</v>
      </c>
      <c r="C52" s="82"/>
      <c r="D52" s="60"/>
      <c r="E52" s="60"/>
      <c r="F52" s="60"/>
      <c r="G52" s="60"/>
      <c r="H52" s="83"/>
    </row>
    <row r="53" spans="1:12" x14ac:dyDescent="0.2">
      <c r="A53" s="10" t="s">
        <v>43</v>
      </c>
      <c r="B53" s="16">
        <f t="shared" si="9"/>
        <v>0</v>
      </c>
      <c r="C53" s="82"/>
      <c r="D53" s="60"/>
      <c r="E53" s="60"/>
      <c r="F53" s="60"/>
      <c r="G53" s="60"/>
      <c r="H53" s="83"/>
    </row>
    <row r="54" spans="1:12" x14ac:dyDescent="0.2">
      <c r="A54" s="10" t="s">
        <v>44</v>
      </c>
      <c r="B54" s="20">
        <f t="shared" si="9"/>
        <v>27118767.975915436</v>
      </c>
      <c r="C54" s="90">
        <f t="shared" ref="C54:H54" si="10">SUM(C43:C53)</f>
        <v>2678575.8474884303</v>
      </c>
      <c r="D54" s="64">
        <f t="shared" si="10"/>
        <v>0</v>
      </c>
      <c r="E54" s="64">
        <f t="shared" si="10"/>
        <v>3343029.4490023851</v>
      </c>
      <c r="F54" s="64">
        <f t="shared" si="10"/>
        <v>0</v>
      </c>
      <c r="G54" s="64">
        <f t="shared" si="10"/>
        <v>21097162.679424621</v>
      </c>
      <c r="H54" s="91">
        <f t="shared" si="10"/>
        <v>0</v>
      </c>
    </row>
    <row r="55" spans="1:12" x14ac:dyDescent="0.2">
      <c r="A55" s="10"/>
      <c r="B55" s="15"/>
      <c r="C55" s="80"/>
      <c r="D55" s="14"/>
      <c r="E55" s="14"/>
      <c r="F55" s="14"/>
      <c r="G55" s="14"/>
      <c r="H55" s="81"/>
    </row>
    <row r="56" spans="1:12" x14ac:dyDescent="0.2">
      <c r="A56" s="10" t="s">
        <v>45</v>
      </c>
      <c r="B56" s="15"/>
      <c r="C56" s="80"/>
      <c r="D56" s="14"/>
      <c r="E56" s="14"/>
      <c r="F56" s="14"/>
      <c r="G56" s="14"/>
      <c r="H56" s="81"/>
    </row>
    <row r="57" spans="1:12" x14ac:dyDescent="0.2">
      <c r="A57" s="10" t="s">
        <v>46</v>
      </c>
      <c r="B57" s="16">
        <f t="shared" ref="B57:B65" si="11">SUM(C57:H57)</f>
        <v>-607324.63329515106</v>
      </c>
      <c r="C57" s="82">
        <f>'[1]Page 8.4 - &lt;$500k'!$I$31</f>
        <v>-66113.844655739726</v>
      </c>
      <c r="D57" s="60"/>
      <c r="E57" s="60">
        <f>'[1]Page 8.4 $500k - $1M'!$I$31</f>
        <v>-62823.076458733347</v>
      </c>
      <c r="F57" s="60"/>
      <c r="G57" s="60">
        <f>'[1]Page 8.4 - &gt;$1M'!$I$31</f>
        <v>-478387.71218067798</v>
      </c>
      <c r="H57" s="83"/>
      <c r="L57" s="70"/>
    </row>
    <row r="58" spans="1:12" x14ac:dyDescent="0.2">
      <c r="A58" s="10" t="s">
        <v>47</v>
      </c>
      <c r="B58" s="16">
        <f t="shared" si="11"/>
        <v>0</v>
      </c>
      <c r="C58" s="82"/>
      <c r="D58" s="60"/>
      <c r="E58" s="60"/>
      <c r="F58" s="60"/>
      <c r="G58" s="60"/>
      <c r="H58" s="83"/>
      <c r="L58" s="70"/>
    </row>
    <row r="59" spans="1:12" x14ac:dyDescent="0.2">
      <c r="A59" s="10" t="s">
        <v>48</v>
      </c>
      <c r="B59" s="16">
        <f t="shared" si="11"/>
        <v>-2311907.1174164033</v>
      </c>
      <c r="C59" s="82"/>
      <c r="D59" s="60">
        <f>'[1]Page 8.4.1 &lt;$500k'!$I$14+'[1]Page 8.4.1 &lt;$500k'!$I$19+'[1]Page 8.4.1 &lt;$500k'!$I$24</f>
        <v>-66652.653323104998</v>
      </c>
      <c r="E59" s="60"/>
      <c r="F59" s="60">
        <f>'[1]Page 8.4.1 $500k - $1M'!$I$14+'[1]Page 8.4.1 $500k - $1M'!$I$19</f>
        <v>-55892.693677729076</v>
      </c>
      <c r="G59" s="60"/>
      <c r="H59" s="83">
        <f>'[1]Page 8.4.1 &gt;$1M'!$I$14+'[1]Page 8.4.1 &gt;$1M'!$I$19+'[1]Page 8.4.1 &gt;$1M'!$I$24</f>
        <v>-2189361.7704155692</v>
      </c>
      <c r="K59" s="71"/>
      <c r="L59" s="70"/>
    </row>
    <row r="60" spans="1:12" x14ac:dyDescent="0.2">
      <c r="A60" s="10" t="s">
        <v>49</v>
      </c>
      <c r="B60" s="16">
        <f t="shared" si="11"/>
        <v>0</v>
      </c>
      <c r="C60" s="82"/>
      <c r="D60" s="60"/>
      <c r="E60" s="60"/>
      <c r="F60" s="60"/>
      <c r="G60" s="60"/>
      <c r="H60" s="83"/>
    </row>
    <row r="61" spans="1:12" x14ac:dyDescent="0.2">
      <c r="A61" s="10" t="s">
        <v>50</v>
      </c>
      <c r="B61" s="16">
        <f t="shared" si="11"/>
        <v>0</v>
      </c>
      <c r="C61" s="82"/>
      <c r="D61" s="60"/>
      <c r="E61" s="60"/>
      <c r="F61" s="60"/>
      <c r="G61" s="60"/>
      <c r="H61" s="83"/>
    </row>
    <row r="62" spans="1:12" x14ac:dyDescent="0.2">
      <c r="A62" s="10" t="s">
        <v>51</v>
      </c>
      <c r="B62" s="16">
        <f t="shared" si="11"/>
        <v>0</v>
      </c>
      <c r="C62" s="82"/>
      <c r="D62" s="60"/>
      <c r="E62" s="60"/>
      <c r="F62" s="60"/>
      <c r="G62" s="60"/>
      <c r="H62" s="83"/>
    </row>
    <row r="63" spans="1:12" x14ac:dyDescent="0.2">
      <c r="A63" s="10" t="s">
        <v>52</v>
      </c>
      <c r="B63" s="16">
        <f t="shared" si="11"/>
        <v>0</v>
      </c>
      <c r="C63" s="82"/>
      <c r="D63" s="60"/>
      <c r="E63" s="60"/>
      <c r="F63" s="60"/>
      <c r="G63" s="60"/>
      <c r="H63" s="83"/>
    </row>
    <row r="64" spans="1:12" x14ac:dyDescent="0.2">
      <c r="A64" s="10"/>
      <c r="B64" s="15">
        <f t="shared" si="11"/>
        <v>0</v>
      </c>
      <c r="C64" s="80"/>
      <c r="D64" s="14"/>
      <c r="E64" s="14"/>
      <c r="F64" s="14"/>
      <c r="G64" s="14"/>
      <c r="H64" s="81"/>
    </row>
    <row r="65" spans="1:8" x14ac:dyDescent="0.2">
      <c r="A65" s="10" t="s">
        <v>53</v>
      </c>
      <c r="B65" s="17">
        <f t="shared" si="11"/>
        <v>-2919231.7507115542</v>
      </c>
      <c r="C65" s="84">
        <f t="shared" ref="C65" si="12">SUM(C57:C64)</f>
        <v>-66113.844655739726</v>
      </c>
      <c r="D65" s="61">
        <f t="shared" ref="D65:H65" si="13">SUM(D57:D64)</f>
        <v>-66652.653323104998</v>
      </c>
      <c r="E65" s="61">
        <f t="shared" ref="E65" si="14">SUM(E57:E64)</f>
        <v>-62823.076458733347</v>
      </c>
      <c r="F65" s="61">
        <f t="shared" si="13"/>
        <v>-55892.693677729076</v>
      </c>
      <c r="G65" s="61">
        <f t="shared" ref="G65" si="15">SUM(G57:G64)</f>
        <v>-478387.71218067798</v>
      </c>
      <c r="H65" s="85">
        <f t="shared" si="13"/>
        <v>-2189361.7704155692</v>
      </c>
    </row>
    <row r="66" spans="1:8" x14ac:dyDescent="0.2">
      <c r="A66" s="10"/>
      <c r="B66" s="15"/>
      <c r="C66" s="80"/>
      <c r="D66" s="14"/>
      <c r="E66" s="14"/>
      <c r="F66" s="14"/>
      <c r="G66" s="14"/>
      <c r="H66" s="81"/>
    </row>
    <row r="67" spans="1:8" ht="13.5" thickBot="1" x14ac:dyDescent="0.25">
      <c r="A67" s="10" t="s">
        <v>54</v>
      </c>
      <c r="B67" s="21">
        <f>SUM(C67:H67)</f>
        <v>24199536.225203883</v>
      </c>
      <c r="C67" s="92">
        <f t="shared" ref="C67:H67" si="16">C54+C65</f>
        <v>2612462.0028326907</v>
      </c>
      <c r="D67" s="65">
        <f t="shared" si="16"/>
        <v>-66652.653323104998</v>
      </c>
      <c r="E67" s="65">
        <f t="shared" si="16"/>
        <v>3280206.3725436516</v>
      </c>
      <c r="F67" s="65">
        <f t="shared" si="16"/>
        <v>-55892.693677729076</v>
      </c>
      <c r="G67" s="65">
        <f t="shared" si="16"/>
        <v>20618774.967243943</v>
      </c>
      <c r="H67" s="93">
        <f t="shared" si="16"/>
        <v>-2189361.7704155692</v>
      </c>
    </row>
    <row r="68" spans="1:8" ht="13.5" thickTop="1" x14ac:dyDescent="0.2">
      <c r="A68" s="10"/>
      <c r="B68" s="15"/>
      <c r="C68" s="80"/>
      <c r="D68" s="14"/>
      <c r="E68" s="14"/>
      <c r="F68" s="14"/>
      <c r="G68" s="14"/>
      <c r="H68" s="81"/>
    </row>
    <row r="69" spans="1:8" x14ac:dyDescent="0.2">
      <c r="A69" s="10"/>
      <c r="B69" s="15"/>
      <c r="C69" s="80"/>
      <c r="D69" s="14"/>
      <c r="E69" s="14"/>
      <c r="F69" s="14"/>
      <c r="G69" s="14"/>
      <c r="H69" s="81"/>
    </row>
    <row r="70" spans="1:8" s="24" customFormat="1" x14ac:dyDescent="0.2">
      <c r="A70" s="22" t="s">
        <v>55</v>
      </c>
      <c r="B70" s="23">
        <f t="shared" ref="B70:H70" si="17">(((B40+Unadj_Op_Rev)/(B67+Unadj_Rate_Base))-Weighted_cost_debt-Weighted_cost_pref)/Percent_common-Unadj_ROE</f>
        <v>-4.1796436100604364E-3</v>
      </c>
      <c r="C70" s="94">
        <f t="shared" si="17"/>
        <v>-4.298017898463416E-4</v>
      </c>
      <c r="D70" s="66">
        <f t="shared" si="17"/>
        <v>-1.4364567212307722E-6</v>
      </c>
      <c r="E70" s="66">
        <f t="shared" si="17"/>
        <v>-5.0207152514173542E-4</v>
      </c>
      <c r="F70" s="66">
        <f t="shared" si="17"/>
        <v>-1.4347729551111854E-6</v>
      </c>
      <c r="G70" s="66">
        <f t="shared" si="17"/>
        <v>-3.2493486676591701E-3</v>
      </c>
      <c r="H70" s="95">
        <f t="shared" si="17"/>
        <v>-3.5456083470143673E-5</v>
      </c>
    </row>
    <row r="71" spans="1:8" x14ac:dyDescent="0.2">
      <c r="A71" s="10" t="s">
        <v>56</v>
      </c>
      <c r="B71" s="25">
        <f>SUM(C71:H71)</f>
        <v>3830755.3814318846</v>
      </c>
      <c r="C71" s="96">
        <f t="shared" ref="C71" si="18">-(C40-(C67*Overall_ROR))/gross_up_factor</f>
        <v>391271.95688778925</v>
      </c>
      <c r="D71" s="67">
        <f t="shared" ref="D71:E71" si="19">-(D40-(D67*Overall_ROR))/gross_up_factor</f>
        <v>-1794.2036502122523</v>
      </c>
      <c r="E71" s="67">
        <f t="shared" si="19"/>
        <v>466734.24629000173</v>
      </c>
      <c r="F71" s="67">
        <f t="shared" ref="F71:H71" si="20">-(F40-(F67*Overall_ROR))/gross_up_factor</f>
        <v>-1353.0080284162079</v>
      </c>
      <c r="G71" s="67">
        <f t="shared" si="20"/>
        <v>3042613.9960484784</v>
      </c>
      <c r="H71" s="97">
        <f t="shared" si="20"/>
        <v>-66717.606115756294</v>
      </c>
    </row>
    <row r="72" spans="1:8" x14ac:dyDescent="0.2">
      <c r="A72" s="10"/>
      <c r="B72" s="23"/>
      <c r="C72" s="94"/>
      <c r="D72" s="66"/>
      <c r="E72" s="66"/>
      <c r="F72" s="66"/>
      <c r="G72" s="66"/>
      <c r="H72" s="95"/>
    </row>
    <row r="73" spans="1:8" x14ac:dyDescent="0.2">
      <c r="A73" s="10" t="s">
        <v>57</v>
      </c>
      <c r="B73" s="15"/>
      <c r="C73" s="80"/>
      <c r="D73" s="14"/>
      <c r="E73" s="14"/>
      <c r="F73" s="14"/>
      <c r="G73" s="14"/>
      <c r="H73" s="81"/>
    </row>
    <row r="74" spans="1:8" x14ac:dyDescent="0.2">
      <c r="A74" s="10" t="s">
        <v>58</v>
      </c>
      <c r="B74" s="25">
        <f t="shared" ref="B74:B80" si="21">SUM(C74:H74)</f>
        <v>-588640.68772580766</v>
      </c>
      <c r="C74" s="96">
        <f t="shared" ref="C74:H74" si="22">C16-C29-C30-C31-C32-C37</f>
        <v>-64581.560736968073</v>
      </c>
      <c r="D74" s="67">
        <f t="shared" si="22"/>
        <v>0</v>
      </c>
      <c r="E74" s="67">
        <f t="shared" si="22"/>
        <v>-57697.482119890716</v>
      </c>
      <c r="F74" s="67">
        <f t="shared" si="22"/>
        <v>0</v>
      </c>
      <c r="G74" s="67">
        <f t="shared" si="22"/>
        <v>-466361.64486894885</v>
      </c>
      <c r="H74" s="97">
        <f t="shared" si="22"/>
        <v>0</v>
      </c>
    </row>
    <row r="75" spans="1:8" x14ac:dyDescent="0.2">
      <c r="A75" s="10" t="s">
        <v>59</v>
      </c>
      <c r="B75" s="25">
        <f t="shared" si="21"/>
        <v>0</v>
      </c>
      <c r="C75" s="80"/>
      <c r="D75" s="14"/>
      <c r="E75" s="14"/>
      <c r="F75" s="14"/>
      <c r="G75" s="14"/>
      <c r="H75" s="81"/>
    </row>
    <row r="76" spans="1:8" x14ac:dyDescent="0.2">
      <c r="A76" s="10" t="s">
        <v>60</v>
      </c>
      <c r="B76" s="25">
        <f t="shared" si="21"/>
        <v>0</v>
      </c>
      <c r="C76" s="82"/>
      <c r="D76" s="60"/>
      <c r="E76" s="60"/>
      <c r="F76" s="60"/>
      <c r="G76" s="60"/>
      <c r="H76" s="83"/>
    </row>
    <row r="77" spans="1:8" x14ac:dyDescent="0.2">
      <c r="A77" s="10" t="s">
        <v>61</v>
      </c>
      <c r="B77" s="25">
        <f t="shared" si="21"/>
        <v>0</v>
      </c>
      <c r="C77" s="82"/>
      <c r="D77" s="60"/>
      <c r="E77" s="60"/>
      <c r="F77" s="60"/>
      <c r="G77" s="60"/>
      <c r="H77" s="83"/>
    </row>
    <row r="78" spans="1:8" x14ac:dyDescent="0.2">
      <c r="A78" s="10" t="s">
        <v>62</v>
      </c>
      <c r="B78" s="25">
        <f t="shared" si="21"/>
        <v>588640.68772580766</v>
      </c>
      <c r="C78" s="82"/>
      <c r="D78" s="60">
        <f>'[1]Page 8.4.1 &lt;$500k'!$I$11+'[1]Page 8.4.1 &lt;$500k'!$I$16+'[1]Page 8.4.1 &lt;$500k'!$I$21</f>
        <v>64581.560736968051</v>
      </c>
      <c r="E78" s="60"/>
      <c r="F78" s="60">
        <f>'[1]Page 8.4.1 $500k - $1M'!$I$11+'[1]Page 8.4.1 $500k - $1M'!$I$16</f>
        <v>57697.482119890708</v>
      </c>
      <c r="G78" s="60"/>
      <c r="H78" s="83">
        <f>'[1]Page 8.4.1 &gt;$1M'!$I$11+'[1]Page 8.4.1 &gt;$1M'!$I$16+'[1]Page 8.4.1 &gt;$1M'!$I$21</f>
        <v>466361.6448689489</v>
      </c>
    </row>
    <row r="79" spans="1:8" x14ac:dyDescent="0.2">
      <c r="A79" s="10" t="s">
        <v>63</v>
      </c>
      <c r="B79" s="25">
        <f t="shared" si="21"/>
        <v>5131149.2434283262</v>
      </c>
      <c r="C79" s="98"/>
      <c r="D79" s="68">
        <f>'[1]Page 8.4.1 &lt;$500k'!$I$12+'[1]Page 8.4.1 &lt;$500k'!$I$17+'[1]Page 8.4.1 &lt;$500k'!$I$22</f>
        <v>200162.53859258295</v>
      </c>
      <c r="E79" s="68"/>
      <c r="F79" s="68">
        <f>'[1]Page 8.4.1 $500k - $1M'!$I$12+'[1]Page 8.4.1 $500k - $1M'!$I$17</f>
        <v>174567.88571353781</v>
      </c>
      <c r="G79" s="68"/>
      <c r="H79" s="99">
        <f>'[1]Page 8.4.1 &gt;$1M'!$I$12+'[1]Page 8.4.1 &gt;$1M'!$I$17+'[1]Page 8.4.1 &gt;$1M'!$I$22</f>
        <v>4756418.8191222055</v>
      </c>
    </row>
    <row r="80" spans="1:8" x14ac:dyDescent="0.2">
      <c r="A80" s="10" t="s">
        <v>64</v>
      </c>
      <c r="B80" s="26">
        <f t="shared" si="21"/>
        <v>-5131149.2434283271</v>
      </c>
      <c r="C80" s="100">
        <f t="shared" ref="C80:H80" si="23">C74-C76-C77+C78-C79</f>
        <v>-64581.560736968073</v>
      </c>
      <c r="D80" s="27">
        <f t="shared" si="23"/>
        <v>-135580.97785561491</v>
      </c>
      <c r="E80" s="27">
        <f t="shared" si="23"/>
        <v>-57697.482119890716</v>
      </c>
      <c r="F80" s="27">
        <f t="shared" si="23"/>
        <v>-116870.40359364709</v>
      </c>
      <c r="G80" s="27">
        <f t="shared" si="23"/>
        <v>-466361.64486894885</v>
      </c>
      <c r="H80" s="101">
        <f t="shared" si="23"/>
        <v>-4290057.174253257</v>
      </c>
    </row>
    <row r="81" spans="1:9" x14ac:dyDescent="0.2">
      <c r="A81" s="10"/>
      <c r="B81" s="15"/>
      <c r="C81" s="80"/>
      <c r="D81" s="14"/>
      <c r="E81" s="14"/>
      <c r="F81" s="14"/>
      <c r="G81" s="14"/>
      <c r="H81" s="81"/>
    </row>
    <row r="82" spans="1:9" x14ac:dyDescent="0.2">
      <c r="A82" s="10" t="s">
        <v>65</v>
      </c>
      <c r="B82" s="28">
        <f>SUM(C82:H82)</f>
        <v>0</v>
      </c>
      <c r="C82" s="102">
        <v>0</v>
      </c>
      <c r="D82" s="3">
        <v>0</v>
      </c>
      <c r="E82" s="3">
        <v>0</v>
      </c>
      <c r="F82" s="3">
        <v>0</v>
      </c>
      <c r="G82" s="3">
        <v>0</v>
      </c>
      <c r="H82" s="103">
        <v>0</v>
      </c>
    </row>
    <row r="83" spans="1:9" x14ac:dyDescent="0.2">
      <c r="A83" s="10" t="s">
        <v>66</v>
      </c>
      <c r="B83" s="28">
        <f>SUM(C83:H83)</f>
        <v>-5131149.2434283271</v>
      </c>
      <c r="C83" s="102">
        <f t="shared" ref="C83:H83" si="24">C80-C82</f>
        <v>-64581.560736968073</v>
      </c>
      <c r="D83" s="3">
        <f t="shared" si="24"/>
        <v>-135580.97785561491</v>
      </c>
      <c r="E83" s="3">
        <f t="shared" si="24"/>
        <v>-57697.482119890716</v>
      </c>
      <c r="F83" s="3">
        <f t="shared" si="24"/>
        <v>-116870.40359364709</v>
      </c>
      <c r="G83" s="3">
        <f t="shared" si="24"/>
        <v>-466361.64486894885</v>
      </c>
      <c r="H83" s="103">
        <f t="shared" si="24"/>
        <v>-4290057.174253257</v>
      </c>
    </row>
    <row r="84" spans="1:9" x14ac:dyDescent="0.2">
      <c r="A84" s="10"/>
      <c r="B84" s="28"/>
      <c r="C84" s="102"/>
      <c r="D84" s="3"/>
      <c r="E84" s="3"/>
      <c r="F84" s="3"/>
      <c r="G84" s="3"/>
      <c r="H84" s="103"/>
    </row>
    <row r="85" spans="1:9" x14ac:dyDescent="0.2">
      <c r="A85" s="10" t="s">
        <v>67</v>
      </c>
      <c r="B85" s="28">
        <f>SUM(C85:H85)</f>
        <v>-1795902.2351999143</v>
      </c>
      <c r="C85" s="102">
        <f t="shared" ref="C85:H85" si="25">C83*0.35</f>
        <v>-22603.546257938826</v>
      </c>
      <c r="D85" s="3">
        <f t="shared" si="25"/>
        <v>-47453.342249465219</v>
      </c>
      <c r="E85" s="3">
        <f t="shared" si="25"/>
        <v>-20194.118741961749</v>
      </c>
      <c r="F85" s="3">
        <f t="shared" si="25"/>
        <v>-40904.641257776479</v>
      </c>
      <c r="G85" s="3">
        <f t="shared" si="25"/>
        <v>-163226.57570413209</v>
      </c>
      <c r="H85" s="103">
        <f t="shared" si="25"/>
        <v>-1501520.0109886399</v>
      </c>
    </row>
    <row r="86" spans="1:9" x14ac:dyDescent="0.2">
      <c r="A86" s="10" t="s">
        <v>68</v>
      </c>
      <c r="B86" s="28">
        <f>SUM(C86:H86)</f>
        <v>0</v>
      </c>
      <c r="C86" s="102"/>
      <c r="D86" s="3"/>
      <c r="E86" s="3"/>
      <c r="F86" s="3"/>
      <c r="G86" s="3"/>
      <c r="H86" s="103"/>
    </row>
    <row r="87" spans="1:9" s="3" customFormat="1" ht="13.5" thickBot="1" x14ac:dyDescent="0.25">
      <c r="A87" s="10" t="s">
        <v>69</v>
      </c>
      <c r="B87" s="29">
        <f>SUM(C87:H87)</f>
        <v>-1795902.2351999143</v>
      </c>
      <c r="C87" s="104">
        <f t="shared" ref="C87:H87" si="26">C85+C86</f>
        <v>-22603.546257938826</v>
      </c>
      <c r="D87" s="69">
        <f t="shared" si="26"/>
        <v>-47453.342249465219</v>
      </c>
      <c r="E87" s="69">
        <f t="shared" si="26"/>
        <v>-20194.118741961749</v>
      </c>
      <c r="F87" s="69">
        <f t="shared" si="26"/>
        <v>-40904.641257776479</v>
      </c>
      <c r="G87" s="69">
        <f t="shared" si="26"/>
        <v>-163226.57570413209</v>
      </c>
      <c r="H87" s="105">
        <f t="shared" si="26"/>
        <v>-1501520.0109886399</v>
      </c>
      <c r="I87" s="2"/>
    </row>
    <row r="88" spans="1:9" s="3" customFormat="1" x14ac:dyDescent="0.2">
      <c r="A88" s="10"/>
      <c r="B88" s="27"/>
      <c r="C88" s="27"/>
      <c r="D88" s="27"/>
      <c r="E88" s="27"/>
      <c r="F88" s="27"/>
      <c r="G88" s="27"/>
      <c r="H88" s="27"/>
    </row>
    <row r="89" spans="1:9" s="3" customFormat="1" x14ac:dyDescent="0.2">
      <c r="A89" s="10"/>
      <c r="B89" s="10"/>
      <c r="C89" s="10"/>
      <c r="D89" s="10"/>
      <c r="E89" s="10"/>
      <c r="F89" s="10"/>
      <c r="G89" s="10"/>
      <c r="H89" s="10"/>
    </row>
    <row r="90" spans="1:9" s="3" customFormat="1" x14ac:dyDescent="0.2">
      <c r="A90" s="30"/>
      <c r="B90" s="14"/>
      <c r="C90" s="14"/>
      <c r="D90" s="14"/>
      <c r="E90" s="14"/>
      <c r="F90" s="14"/>
      <c r="G90" s="14"/>
      <c r="H90" s="14"/>
    </row>
    <row r="91" spans="1:9" s="3" customFormat="1" x14ac:dyDescent="0.2">
      <c r="A91" s="10"/>
      <c r="B91" s="14"/>
      <c r="C91" s="14"/>
      <c r="D91" s="14"/>
      <c r="E91" s="14"/>
      <c r="F91" s="14"/>
      <c r="G91" s="14"/>
      <c r="H91" s="14"/>
    </row>
    <row r="92" spans="1:9" s="3" customFormat="1" x14ac:dyDescent="0.2">
      <c r="A92" s="10"/>
    </row>
    <row r="93" spans="1:9" s="3" customFormat="1" x14ac:dyDescent="0.2">
      <c r="A93" s="31"/>
    </row>
  </sheetData>
  <mergeCells count="1">
    <mergeCell ref="C7:H7"/>
  </mergeCells>
  <pageMargins left="1" right="0.5" top="0.75" bottom="0.5" header="0.4" footer="0.5"/>
  <pageSetup scale="63" firstPageNumber="29" fitToWidth="0" orientation="portrait" useFirstPageNumber="1" r:id="rId1"/>
  <headerFooter alignWithMargins="0">
    <oddHeader xml:space="preserve">&amp;L&amp;12PacifiCorp
Washington General Rate Case - December 2013
WA UE-140762
Bench Request 10&amp;CSummary of Pro Forma Adjustments
Bench Request 10&amp;RAttachment Bench Request 10-2
</oddHeader>
    <oddFooter>&amp;L&amp;F&amp;CPage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1"/>
  <sheetViews>
    <sheetView view="pageBreakPreview" zoomScale="90" zoomScaleNormal="100" zoomScaleSheetLayoutView="90" workbookViewId="0">
      <selection activeCell="H35" sqref="H35"/>
    </sheetView>
  </sheetViews>
  <sheetFormatPr defaultRowHeight="12.75" x14ac:dyDescent="0.2"/>
  <cols>
    <col min="1" max="1" width="3.85546875" style="33" customWidth="1"/>
    <col min="2" max="4" width="15.7109375" style="33" customWidth="1"/>
    <col min="5" max="5" width="14.28515625" style="33" bestFit="1" customWidth="1"/>
    <col min="6" max="16384" width="9.140625" style="33"/>
  </cols>
  <sheetData>
    <row r="1" spans="2:5" x14ac:dyDescent="0.2">
      <c r="B1" s="32" t="s">
        <v>0</v>
      </c>
    </row>
    <row r="2" spans="2:5" x14ac:dyDescent="0.2">
      <c r="B2" s="32" t="s">
        <v>1</v>
      </c>
    </row>
    <row r="3" spans="2:5" x14ac:dyDescent="0.2">
      <c r="B3" s="32" t="s">
        <v>79</v>
      </c>
    </row>
    <row r="4" spans="2:5" x14ac:dyDescent="0.2">
      <c r="B4" s="32" t="s">
        <v>78</v>
      </c>
    </row>
    <row r="6" spans="2:5" x14ac:dyDescent="0.2">
      <c r="B6" s="34" t="s">
        <v>80</v>
      </c>
      <c r="C6" s="35"/>
      <c r="D6" s="35"/>
      <c r="E6" s="35"/>
    </row>
    <row r="7" spans="2:5" s="38" customFormat="1" x14ac:dyDescent="0.2">
      <c r="B7" s="36"/>
      <c r="C7" s="36" t="s">
        <v>81</v>
      </c>
      <c r="D7" s="37" t="s">
        <v>82</v>
      </c>
      <c r="E7" s="36" t="s">
        <v>83</v>
      </c>
    </row>
    <row r="8" spans="2:5" x14ac:dyDescent="0.2">
      <c r="B8" s="39" t="s">
        <v>84</v>
      </c>
      <c r="C8" s="40">
        <v>0.48250000000000004</v>
      </c>
      <c r="D8" s="41">
        <v>5.1799999999999999E-2</v>
      </c>
      <c r="E8" s="42">
        <f>C8*D8</f>
        <v>2.4993500000000002E-2</v>
      </c>
    </row>
    <row r="9" spans="2:5" x14ac:dyDescent="0.2">
      <c r="B9" s="39" t="s">
        <v>85</v>
      </c>
      <c r="C9" s="40">
        <v>2.0000000000000001E-4</v>
      </c>
      <c r="D9" s="41">
        <v>6.7500000000000004E-2</v>
      </c>
      <c r="E9" s="42">
        <f>C9*D9</f>
        <v>1.3500000000000001E-5</v>
      </c>
    </row>
    <row r="10" spans="2:5" x14ac:dyDescent="0.2">
      <c r="B10" s="43" t="s">
        <v>86</v>
      </c>
      <c r="C10" s="44">
        <v>0.51729999999999998</v>
      </c>
      <c r="D10" s="45">
        <v>0.1</v>
      </c>
      <c r="E10" s="46">
        <f>C10*D10</f>
        <v>5.1729999999999998E-2</v>
      </c>
    </row>
    <row r="11" spans="2:5" x14ac:dyDescent="0.2">
      <c r="E11" s="47">
        <f>ROUND(SUM(E8:E10),4)</f>
        <v>7.6700000000000004E-2</v>
      </c>
    </row>
    <row r="16" spans="2:5" x14ac:dyDescent="0.2">
      <c r="B16" s="48" t="s">
        <v>87</v>
      </c>
      <c r="C16" s="49"/>
    </row>
    <row r="17" spans="2:6" x14ac:dyDescent="0.2">
      <c r="B17" s="33" t="s">
        <v>58</v>
      </c>
      <c r="D17" s="50">
        <v>1</v>
      </c>
    </row>
    <row r="18" spans="2:6" x14ac:dyDescent="0.2">
      <c r="D18" s="50"/>
    </row>
    <row r="19" spans="2:6" x14ac:dyDescent="0.2">
      <c r="B19" s="33" t="s">
        <v>88</v>
      </c>
      <c r="D19" s="50"/>
    </row>
    <row r="20" spans="2:6" x14ac:dyDescent="0.2">
      <c r="B20" s="33" t="s">
        <v>89</v>
      </c>
      <c r="D20" s="24">
        <v>6.3400000000000001E-3</v>
      </c>
      <c r="F20" s="51"/>
    </row>
    <row r="21" spans="2:6" x14ac:dyDescent="0.2">
      <c r="B21" s="33" t="s">
        <v>90</v>
      </c>
      <c r="D21" s="24">
        <v>2E-3</v>
      </c>
    </row>
    <row r="22" spans="2:6" x14ac:dyDescent="0.2">
      <c r="B22" s="33" t="s">
        <v>91</v>
      </c>
      <c r="D22" s="24">
        <v>3.8730000000000001E-2</v>
      </c>
    </row>
    <row r="23" spans="2:6" x14ac:dyDescent="0.2">
      <c r="B23" s="33" t="s">
        <v>92</v>
      </c>
      <c r="D23" s="24">
        <v>0</v>
      </c>
    </row>
    <row r="24" spans="2:6" x14ac:dyDescent="0.2">
      <c r="B24" s="33" t="s">
        <v>93</v>
      </c>
      <c r="D24" s="45">
        <v>0</v>
      </c>
    </row>
    <row r="25" spans="2:6" x14ac:dyDescent="0.2">
      <c r="D25" s="50"/>
    </row>
    <row r="26" spans="2:6" x14ac:dyDescent="0.2">
      <c r="B26" s="33" t="s">
        <v>94</v>
      </c>
      <c r="D26" s="52">
        <f>D17-SUM(D19:D24)</f>
        <v>0.95293000000000005</v>
      </c>
    </row>
    <row r="27" spans="2:6" x14ac:dyDescent="0.2">
      <c r="D27" s="50"/>
    </row>
    <row r="28" spans="2:6" x14ac:dyDescent="0.2">
      <c r="B28" s="33" t="s">
        <v>95</v>
      </c>
      <c r="D28" s="53">
        <v>0</v>
      </c>
    </row>
    <row r="29" spans="2:6" x14ac:dyDescent="0.2">
      <c r="D29" s="50"/>
    </row>
    <row r="30" spans="2:6" x14ac:dyDescent="0.2">
      <c r="B30" s="33" t="s">
        <v>94</v>
      </c>
      <c r="D30" s="52">
        <f>D26-D28</f>
        <v>0.95293000000000005</v>
      </c>
    </row>
    <row r="31" spans="2:6" x14ac:dyDescent="0.2">
      <c r="D31" s="50"/>
    </row>
    <row r="32" spans="2:6" x14ac:dyDescent="0.2">
      <c r="B32" s="33" t="s">
        <v>96</v>
      </c>
      <c r="D32" s="53">
        <f>D30*0.35</f>
        <v>0.33352549999999997</v>
      </c>
    </row>
    <row r="33" spans="2:5" x14ac:dyDescent="0.2">
      <c r="D33" s="54"/>
    </row>
    <row r="34" spans="2:5" ht="13.5" thickBot="1" x14ac:dyDescent="0.25">
      <c r="B34" s="33" t="s">
        <v>97</v>
      </c>
      <c r="D34" s="55">
        <f>ROUND(D30-D32,5)</f>
        <v>0.61939999999999995</v>
      </c>
    </row>
    <row r="35" spans="2:5" ht="13.5" thickTop="1" x14ac:dyDescent="0.2">
      <c r="D35" s="56"/>
    </row>
    <row r="39" spans="2:5" x14ac:dyDescent="0.2">
      <c r="B39" s="72" t="s">
        <v>99</v>
      </c>
      <c r="E39" s="73">
        <f>[2]!Unadj_Op_revenue</f>
        <v>40389777.94615829</v>
      </c>
    </row>
    <row r="40" spans="2:5" x14ac:dyDescent="0.2">
      <c r="B40" s="72" t="s">
        <v>98</v>
      </c>
      <c r="E40" s="73">
        <f>[2]!Unadj_rate_base</f>
        <v>788256371.82205129</v>
      </c>
    </row>
    <row r="41" spans="2:5" x14ac:dyDescent="0.2">
      <c r="B41" s="72" t="s">
        <v>100</v>
      </c>
      <c r="E41" s="54">
        <f>[2]!Unadj_ROE</f>
        <v>5.0710212460143671E-2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2015-02-18T08:00:00+00:00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F1A0EC1-2642-42FB-8743-56F31CA9B975}"/>
</file>

<file path=customXml/itemProps2.xml><?xml version="1.0" encoding="utf-8"?>
<ds:datastoreItem xmlns:ds="http://schemas.openxmlformats.org/officeDocument/2006/customXml" ds:itemID="{0A964C0F-F625-46CA-A36F-E92B9E5A74D6}"/>
</file>

<file path=customXml/itemProps3.xml><?xml version="1.0" encoding="utf-8"?>
<ds:datastoreItem xmlns:ds="http://schemas.openxmlformats.org/officeDocument/2006/customXml" ds:itemID="{C7F91FFD-FAE3-483E-B101-A15590A30553}"/>
</file>

<file path=customXml/itemProps4.xml><?xml version="1.0" encoding="utf-8"?>
<ds:datastoreItem xmlns:ds="http://schemas.openxmlformats.org/officeDocument/2006/customXml" ds:itemID="{A49C4815-E7B6-4E29-B46B-BDB7F257B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Pro Forma Adj</vt:lpstr>
      <vt:lpstr>Variables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'Pro Forma Adj'!Print_Area</vt:lpstr>
      <vt:lpstr>'Pro Forma Adj'!Print_Titles</vt:lpstr>
      <vt:lpstr>Unadj_Op_Rev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2015-02-17T18:25:55Z</dcterms:created>
  <dcterms:modified xsi:type="dcterms:W3CDTF">2015-02-19T00:56:07Z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