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Deferrals\Deferrals 2021\11-2021\WA\"/>
    </mc:Choice>
  </mc:AlternateContent>
  <xr:revisionPtr revIDLastSave="0" documentId="13_ncr:1_{A2D3DD0A-4869-4131-BD3E-388445C81D30}" xr6:coauthVersionLast="46" xr6:coauthVersionMax="46" xr10:uidLastSave="{00000000-0000-0000-0000-000000000000}"/>
  <bookViews>
    <workbookView xWindow="28680" yWindow="-30" windowWidth="29040" windowHeight="15840" activeTab="1" xr2:uid="{153A69D3-6E3F-42DB-8B8B-AB9303E40716}"/>
  </bookViews>
  <sheets>
    <sheet name="WA Rates - OLD" sheetId="4" r:id="rId1"/>
    <sheet name="WA Rates-NEW" sheetId="10" r:id="rId2"/>
    <sheet name="Core Cost Incurred" sheetId="8" r:id="rId3"/>
    <sheet name="DEFERRALS" sheetId="9" r:id="rId4"/>
  </sheets>
  <externalReferences>
    <externalReference r:id="rId5"/>
    <externalReference r:id="rId6"/>
    <externalReference r:id="rId7"/>
    <externalReference r:id="rId8"/>
  </externalReferences>
  <definedNames>
    <definedName name="FERCINT13">'[1]FERC Interest Rates'!$A$10:$C$21</definedName>
    <definedName name="FERCINT14">'[1]FERC Interest Rates'!$A$22:$C$33</definedName>
    <definedName name="FERCINT15">'[1]FERC Interest Rates'!$A$34:$C$45</definedName>
    <definedName name="FERCINT16">'[1]FERC Interest Rates'!$A$46:$C$57</definedName>
    <definedName name="FERCINT17">'[1]FERC Interest Rates'!$A$58:$C$69</definedName>
    <definedName name="FERCINT18">'[1]FERC Interest Rates'!$A$70:$C$81</definedName>
    <definedName name="FERCINT19">'[1]FERC Interest Rates'!$A$82:$C$93</definedName>
    <definedName name="FERCINT20">'[1]FERC Interest Rates'!$A$94:$C$105</definedName>
    <definedName name="FERCINT21">'[1]FERC Interest Rates'!$A$106:$C$117</definedName>
    <definedName name="FERCINT22">'[1]FERC Interest Rates'!$A$118:$C$129</definedName>
    <definedName name="_xlnm.Print_Area" localSheetId="2">'Core Cost Incurred'!$A$1:$Z$52</definedName>
    <definedName name="_xlnm.Print_Area" localSheetId="3">DEFERRALS!$B$1:$H$22</definedName>
    <definedName name="_xlnm.Print_Area" localSheetId="0">'WA Rates - OLD'!$B$1:$N$46</definedName>
    <definedName name="_xlnm.Print_Area" localSheetId="1">'WA Rates-NEW'!$B$1:$N$45</definedName>
    <definedName name="_xlnm.Print_Titles" localSheetId="2">'Core Cost Incurred'!$B:$F</definedName>
    <definedName name="_xlnm.Print_Titles" localSheetId="0">'WA Rates - OLD'!$1:$8</definedName>
    <definedName name="_xlnm.Print_Titles" localSheetId="1">'WA Rates-NEW'!$1:$8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0" l="1"/>
  <c r="F3" i="10"/>
  <c r="R7" i="10"/>
  <c r="I8" i="10"/>
  <c r="J8" i="10" s="1"/>
  <c r="K9" i="10"/>
  <c r="N9" i="10" s="1"/>
  <c r="L9" i="10"/>
  <c r="M9" i="10"/>
  <c r="Q9" i="10"/>
  <c r="R9" i="10"/>
  <c r="T9" i="10"/>
  <c r="U9" i="10"/>
  <c r="G10" i="10"/>
  <c r="M10" i="10" s="1"/>
  <c r="J10" i="10"/>
  <c r="J12" i="10" s="1"/>
  <c r="L10" i="10"/>
  <c r="H11" i="10"/>
  <c r="I11" i="10"/>
  <c r="J11" i="10"/>
  <c r="K11" i="10"/>
  <c r="L11" i="10"/>
  <c r="N11" i="10"/>
  <c r="G12" i="10"/>
  <c r="L12" i="10" s="1"/>
  <c r="H12" i="10"/>
  <c r="K12" i="10" s="1"/>
  <c r="N12" i="10" s="1"/>
  <c r="I12" i="10"/>
  <c r="G14" i="10"/>
  <c r="L14" i="10" s="1"/>
  <c r="H14" i="10"/>
  <c r="K14" i="10" s="1"/>
  <c r="J14" i="10"/>
  <c r="H15" i="10"/>
  <c r="I15" i="10"/>
  <c r="J15" i="10"/>
  <c r="K15" i="10"/>
  <c r="N15" i="10" s="1"/>
  <c r="L15" i="10"/>
  <c r="R15" i="10"/>
  <c r="U15" i="10"/>
  <c r="G16" i="10"/>
  <c r="L16" i="10" s="1"/>
  <c r="H16" i="10"/>
  <c r="I16" i="10"/>
  <c r="J16" i="10"/>
  <c r="K16" i="10"/>
  <c r="G18" i="10"/>
  <c r="H18" i="10"/>
  <c r="J18" i="10"/>
  <c r="K18" i="10"/>
  <c r="N18" i="10" s="1"/>
  <c r="L18" i="10"/>
  <c r="M18" i="10"/>
  <c r="G19" i="10"/>
  <c r="H19" i="10"/>
  <c r="I19" i="10"/>
  <c r="J19" i="10"/>
  <c r="K19" i="10"/>
  <c r="N19" i="10" s="1"/>
  <c r="L19" i="10"/>
  <c r="M19" i="10"/>
  <c r="G20" i="10"/>
  <c r="H20" i="10"/>
  <c r="I20" i="10"/>
  <c r="I35" i="10" s="1"/>
  <c r="L35" i="10" s="1"/>
  <c r="J20" i="10"/>
  <c r="K20" i="10"/>
  <c r="N20" i="10" s="1"/>
  <c r="L20" i="10"/>
  <c r="M20" i="10"/>
  <c r="G22" i="10"/>
  <c r="H22" i="10"/>
  <c r="I22" i="10"/>
  <c r="J22" i="10"/>
  <c r="K22" i="10"/>
  <c r="N22" i="10" s="1"/>
  <c r="L22" i="10"/>
  <c r="M22" i="10"/>
  <c r="H23" i="10"/>
  <c r="I23" i="10"/>
  <c r="J23" i="10"/>
  <c r="K23" i="10"/>
  <c r="L23" i="10"/>
  <c r="M23" i="10"/>
  <c r="N23" i="10"/>
  <c r="U23" i="10"/>
  <c r="G24" i="10"/>
  <c r="H24" i="10"/>
  <c r="I24" i="10"/>
  <c r="J24" i="10"/>
  <c r="K24" i="10"/>
  <c r="N24" i="10" s="1"/>
  <c r="L24" i="10"/>
  <c r="M24" i="10"/>
  <c r="G26" i="10"/>
  <c r="H26" i="10"/>
  <c r="I26" i="10"/>
  <c r="J26" i="10"/>
  <c r="K26" i="10"/>
  <c r="N26" i="10" s="1"/>
  <c r="L26" i="10"/>
  <c r="M26" i="10"/>
  <c r="Z26" i="10"/>
  <c r="H27" i="10"/>
  <c r="I27" i="10"/>
  <c r="J27" i="10"/>
  <c r="K27" i="10"/>
  <c r="N27" i="10" s="1"/>
  <c r="L27" i="10"/>
  <c r="M27" i="10"/>
  <c r="G28" i="10"/>
  <c r="H28" i="10"/>
  <c r="I28" i="10"/>
  <c r="J28" i="10"/>
  <c r="K28" i="10"/>
  <c r="N28" i="10" s="1"/>
  <c r="L28" i="10"/>
  <c r="M28" i="10"/>
  <c r="G30" i="10"/>
  <c r="H30" i="10"/>
  <c r="J30" i="10"/>
  <c r="K30" i="10"/>
  <c r="L30" i="10"/>
  <c r="M30" i="10"/>
  <c r="N30" i="10"/>
  <c r="H31" i="10"/>
  <c r="I31" i="10"/>
  <c r="J31" i="10"/>
  <c r="K31" i="10"/>
  <c r="L31" i="10"/>
  <c r="M31" i="10"/>
  <c r="N31" i="10"/>
  <c r="G32" i="10"/>
  <c r="G41" i="10" s="1"/>
  <c r="G43" i="10" s="1"/>
  <c r="H32" i="10"/>
  <c r="I32" i="10"/>
  <c r="J32" i="10"/>
  <c r="G34" i="10"/>
  <c r="M34" i="10" s="1"/>
  <c r="H34" i="10"/>
  <c r="I34" i="10"/>
  <c r="J34" i="10"/>
  <c r="H35" i="10"/>
  <c r="K35" i="10" s="1"/>
  <c r="J35" i="10"/>
  <c r="M35" i="10"/>
  <c r="G36" i="10"/>
  <c r="M36" i="10" s="1"/>
  <c r="H36" i="10"/>
  <c r="K36" i="10" s="1"/>
  <c r="J36" i="10"/>
  <c r="H38" i="10"/>
  <c r="K38" i="10" s="1"/>
  <c r="N38" i="10" s="1"/>
  <c r="I38" i="10"/>
  <c r="L38" i="10" s="1"/>
  <c r="J38" i="10"/>
  <c r="M38" i="10"/>
  <c r="H39" i="10"/>
  <c r="K39" i="10" s="1"/>
  <c r="I39" i="10"/>
  <c r="L39" i="10" s="1"/>
  <c r="J39" i="10"/>
  <c r="M39" i="10" s="1"/>
  <c r="H40" i="10"/>
  <c r="K40" i="10" s="1"/>
  <c r="I40" i="10"/>
  <c r="L40" i="10" s="1"/>
  <c r="J40" i="10"/>
  <c r="M40" i="10" s="1"/>
  <c r="N16" i="10" l="1"/>
  <c r="N35" i="10"/>
  <c r="N40" i="10"/>
  <c r="N39" i="10"/>
  <c r="O39" i="10" s="1"/>
  <c r="M32" i="10"/>
  <c r="L32" i="10"/>
  <c r="L41" i="10" s="1"/>
  <c r="L43" i="10" s="1"/>
  <c r="K34" i="10"/>
  <c r="K32" i="10"/>
  <c r="K10" i="10"/>
  <c r="L34" i="10"/>
  <c r="M14" i="10"/>
  <c r="N14" i="10" s="1"/>
  <c r="I36" i="10"/>
  <c r="L36" i="10" s="1"/>
  <c r="N36" i="10" s="1"/>
  <c r="M41" i="10" l="1"/>
  <c r="M43" i="10" s="1"/>
  <c r="N10" i="10"/>
  <c r="N41" i="10" s="1"/>
  <c r="K41" i="10"/>
  <c r="K43" i="10" s="1"/>
  <c r="N32" i="10"/>
  <c r="N34" i="10"/>
  <c r="N43" i="10" l="1"/>
  <c r="Q42" i="10"/>
  <c r="C2" i="9" l="1"/>
  <c r="D8" i="9"/>
  <c r="E8" i="9"/>
  <c r="G8" i="9" s="1"/>
  <c r="G9" i="9" s="1"/>
  <c r="G12" i="9" s="1"/>
  <c r="D9" i="9"/>
  <c r="E9" i="9"/>
  <c r="E12" i="9" s="1"/>
  <c r="F9" i="9"/>
  <c r="G11" i="9"/>
  <c r="D12" i="9"/>
  <c r="F12" i="9"/>
  <c r="D18" i="9"/>
  <c r="E18" i="9"/>
  <c r="F18" i="9"/>
  <c r="G18" i="9"/>
  <c r="V76" i="8" l="1"/>
  <c r="S76" i="8"/>
  <c r="T66" i="8"/>
  <c r="S66" i="8"/>
  <c r="Q66" i="8"/>
  <c r="P66" i="8"/>
  <c r="Q65" i="8"/>
  <c r="P65" i="8"/>
  <c r="T64" i="8"/>
  <c r="T67" i="8" s="1"/>
  <c r="S64" i="8"/>
  <c r="Q64" i="8"/>
  <c r="Q67" i="8" s="1"/>
  <c r="P64" i="8"/>
  <c r="M51" i="8"/>
  <c r="AE46" i="8"/>
  <c r="AC44" i="8"/>
  <c r="AB44" i="8"/>
  <c r="Z44" i="8"/>
  <c r="W44" i="8"/>
  <c r="AC43" i="8"/>
  <c r="AC45" i="8" s="1"/>
  <c r="AB43" i="8"/>
  <c r="AB45" i="8" s="1"/>
  <c r="Z43" i="8"/>
  <c r="Z45" i="8" s="1"/>
  <c r="W43" i="8"/>
  <c r="W45" i="8" s="1"/>
  <c r="Q48" i="8" s="1"/>
  <c r="T43" i="8"/>
  <c r="AC39" i="8"/>
  <c r="AC41" i="8" s="1"/>
  <c r="AB39" i="8"/>
  <c r="AB41" i="8" s="1"/>
  <c r="Z39" i="8"/>
  <c r="Z41" i="8" s="1"/>
  <c r="W39" i="8"/>
  <c r="T39" i="8"/>
  <c r="T41" i="8" s="1"/>
  <c r="Q39" i="8"/>
  <c r="N38" i="8"/>
  <c r="K38" i="8"/>
  <c r="H38" i="8" s="1"/>
  <c r="N37" i="8"/>
  <c r="K37" i="8"/>
  <c r="H37" i="8" s="1"/>
  <c r="N36" i="8"/>
  <c r="K36" i="8"/>
  <c r="H36" i="8"/>
  <c r="N35" i="8"/>
  <c r="H35" i="8" s="1"/>
  <c r="K35" i="8"/>
  <c r="N34" i="8"/>
  <c r="K34" i="8"/>
  <c r="H34" i="8" s="1"/>
  <c r="N33" i="8"/>
  <c r="K33" i="8"/>
  <c r="H33" i="8"/>
  <c r="N32" i="8"/>
  <c r="K32" i="8"/>
  <c r="H32" i="8" s="1"/>
  <c r="N31" i="8"/>
  <c r="K31" i="8"/>
  <c r="H31" i="8"/>
  <c r="N30" i="8"/>
  <c r="K30" i="8"/>
  <c r="H30" i="8" s="1"/>
  <c r="N29" i="8"/>
  <c r="K29" i="8"/>
  <c r="H29" i="8" s="1"/>
  <c r="N28" i="8"/>
  <c r="K28" i="8"/>
  <c r="H28" i="8"/>
  <c r="N27" i="8"/>
  <c r="H27" i="8" s="1"/>
  <c r="K27" i="8"/>
  <c r="N26" i="8"/>
  <c r="K26" i="8"/>
  <c r="H26" i="8" s="1"/>
  <c r="N25" i="8"/>
  <c r="K25" i="8"/>
  <c r="H25" i="8"/>
  <c r="N24" i="8"/>
  <c r="N39" i="8" s="1"/>
  <c r="K24" i="8"/>
  <c r="K39" i="8" s="1"/>
  <c r="AC22" i="8"/>
  <c r="AB22" i="8"/>
  <c r="Z22" i="8"/>
  <c r="W22" i="8"/>
  <c r="W41" i="8" s="1"/>
  <c r="T22" i="8"/>
  <c r="N21" i="8"/>
  <c r="K21" i="8"/>
  <c r="H21" i="8"/>
  <c r="N20" i="8"/>
  <c r="H20" i="8" s="1"/>
  <c r="K20" i="8"/>
  <c r="N19" i="8"/>
  <c r="K19" i="8"/>
  <c r="H19" i="8" s="1"/>
  <c r="N18" i="8"/>
  <c r="K18" i="8"/>
  <c r="H18" i="8"/>
  <c r="T17" i="8"/>
  <c r="T44" i="8" s="1"/>
  <c r="Q17" i="8"/>
  <c r="K17" i="8" s="1"/>
  <c r="AC15" i="8"/>
  <c r="AB15" i="8"/>
  <c r="Z15" i="8"/>
  <c r="Y15" i="8"/>
  <c r="Y41" i="8" s="1"/>
  <c r="W15" i="8"/>
  <c r="V15" i="8"/>
  <c r="V41" i="8" s="1"/>
  <c r="T15" i="8"/>
  <c r="N14" i="8"/>
  <c r="M14" i="8"/>
  <c r="K14" i="8"/>
  <c r="H14" i="8" s="1"/>
  <c r="J14" i="8"/>
  <c r="G14" i="8" s="1"/>
  <c r="N13" i="8"/>
  <c r="M13" i="8"/>
  <c r="K13" i="8"/>
  <c r="J13" i="8"/>
  <c r="G13" i="8" s="1"/>
  <c r="H13" i="8"/>
  <c r="N12" i="8"/>
  <c r="H12" i="8" s="1"/>
  <c r="M12" i="8"/>
  <c r="K12" i="8"/>
  <c r="J12" i="8"/>
  <c r="G12" i="8"/>
  <c r="N11" i="8"/>
  <c r="M11" i="8"/>
  <c r="K11" i="8"/>
  <c r="H11" i="8" s="1"/>
  <c r="J11" i="8"/>
  <c r="G11" i="8" s="1"/>
  <c r="S10" i="8"/>
  <c r="S15" i="8" s="1"/>
  <c r="S41" i="8" s="1"/>
  <c r="Q10" i="8"/>
  <c r="Q15" i="8" s="1"/>
  <c r="P10" i="8"/>
  <c r="J10" i="8" s="1"/>
  <c r="N10" i="8"/>
  <c r="M10" i="8"/>
  <c r="M15" i="8" s="1"/>
  <c r="M41" i="8" s="1"/>
  <c r="N9" i="8"/>
  <c r="K9" i="8"/>
  <c r="H9" i="8" s="1"/>
  <c r="N8" i="8"/>
  <c r="N43" i="8" s="1"/>
  <c r="M8" i="8"/>
  <c r="K8" i="8"/>
  <c r="J8" i="8"/>
  <c r="G8" i="8"/>
  <c r="N7" i="8"/>
  <c r="N15" i="8" s="1"/>
  <c r="K7" i="8"/>
  <c r="N6" i="8"/>
  <c r="K6" i="8"/>
  <c r="V3" i="8"/>
  <c r="V1" i="8"/>
  <c r="L40" i="4"/>
  <c r="K40" i="4"/>
  <c r="I40" i="4"/>
  <c r="H40" i="4"/>
  <c r="K39" i="4"/>
  <c r="I39" i="4"/>
  <c r="L39" i="4" s="1"/>
  <c r="H39" i="4"/>
  <c r="I38" i="4"/>
  <c r="H38" i="4"/>
  <c r="G38" i="4"/>
  <c r="I36" i="4"/>
  <c r="L36" i="4" s="1"/>
  <c r="H36" i="4"/>
  <c r="K36" i="4" s="1"/>
  <c r="I35" i="4"/>
  <c r="L35" i="4" s="1"/>
  <c r="H35" i="4"/>
  <c r="K35" i="4" s="1"/>
  <c r="L34" i="4"/>
  <c r="H34" i="4"/>
  <c r="K34" i="4" s="1"/>
  <c r="I32" i="4"/>
  <c r="H32" i="4"/>
  <c r="K32" i="4" s="1"/>
  <c r="G32" i="4"/>
  <c r="I31" i="4"/>
  <c r="L31" i="4" s="1"/>
  <c r="H31" i="4"/>
  <c r="K31" i="4" s="1"/>
  <c r="I30" i="4"/>
  <c r="H30" i="4"/>
  <c r="G30" i="4"/>
  <c r="L30" i="4" s="1"/>
  <c r="L28" i="4"/>
  <c r="I28" i="4"/>
  <c r="H28" i="4"/>
  <c r="G28" i="4"/>
  <c r="I27" i="4"/>
  <c r="H27" i="4"/>
  <c r="G27" i="4"/>
  <c r="L27" i="4" s="1"/>
  <c r="H25" i="4"/>
  <c r="K25" i="4" s="1"/>
  <c r="K24" i="4"/>
  <c r="H24" i="4"/>
  <c r="I22" i="4"/>
  <c r="L22" i="4" s="1"/>
  <c r="H22" i="4"/>
  <c r="K22" i="4" s="1"/>
  <c r="K21" i="4"/>
  <c r="I21" i="4"/>
  <c r="L21" i="4" s="1"/>
  <c r="H21" i="4"/>
  <c r="I20" i="4"/>
  <c r="L20" i="4" s="1"/>
  <c r="H20" i="4"/>
  <c r="G20" i="4"/>
  <c r="I19" i="4"/>
  <c r="I24" i="4" s="1"/>
  <c r="L24" i="4" s="1"/>
  <c r="H19" i="4"/>
  <c r="G19" i="4"/>
  <c r="U18" i="4"/>
  <c r="H18" i="4"/>
  <c r="K18" i="4" s="1"/>
  <c r="G18" i="4"/>
  <c r="L18" i="4" s="1"/>
  <c r="I16" i="4"/>
  <c r="L16" i="4" s="1"/>
  <c r="H16" i="4"/>
  <c r="K16" i="4" s="1"/>
  <c r="N16" i="4" s="1"/>
  <c r="U15" i="4"/>
  <c r="R15" i="4"/>
  <c r="I15" i="4"/>
  <c r="L15" i="4" s="1"/>
  <c r="H15" i="4"/>
  <c r="K15" i="4" s="1"/>
  <c r="H14" i="4"/>
  <c r="K14" i="4" s="1"/>
  <c r="G14" i="4"/>
  <c r="I12" i="4"/>
  <c r="L12" i="4" s="1"/>
  <c r="H12" i="4"/>
  <c r="K12" i="4" s="1"/>
  <c r="L11" i="4"/>
  <c r="K11" i="4"/>
  <c r="I11" i="4"/>
  <c r="H11" i="4"/>
  <c r="J10" i="4"/>
  <c r="J24" i="4" s="1"/>
  <c r="M24" i="4" s="1"/>
  <c r="G10" i="4"/>
  <c r="L10" i="4" s="1"/>
  <c r="U9" i="4"/>
  <c r="T9" i="4"/>
  <c r="R9" i="4"/>
  <c r="Q9" i="4"/>
  <c r="M9" i="4"/>
  <c r="L9" i="4"/>
  <c r="K9" i="4"/>
  <c r="I8" i="4"/>
  <c r="J8" i="4" s="1"/>
  <c r="R7" i="4"/>
  <c r="F3" i="4"/>
  <c r="N41" i="8" l="1"/>
  <c r="T45" i="8"/>
  <c r="T47" i="8" s="1"/>
  <c r="T49" i="8" s="1"/>
  <c r="H17" i="8"/>
  <c r="H22" i="8" s="1"/>
  <c r="K22" i="8"/>
  <c r="G10" i="8"/>
  <c r="G15" i="8" s="1"/>
  <c r="G41" i="8" s="1"/>
  <c r="J15" i="8"/>
  <c r="J41" i="8" s="1"/>
  <c r="AE45" i="8"/>
  <c r="AE47" i="8" s="1"/>
  <c r="T48" i="8"/>
  <c r="K43" i="8"/>
  <c r="K44" i="8"/>
  <c r="J11" i="4"/>
  <c r="N15" i="4"/>
  <c r="K28" i="4"/>
  <c r="K10" i="8"/>
  <c r="H10" i="8" s="1"/>
  <c r="N17" i="8"/>
  <c r="N22" i="8" s="1"/>
  <c r="H24" i="8"/>
  <c r="H39" i="8" s="1"/>
  <c r="Q43" i="8"/>
  <c r="Q44" i="8"/>
  <c r="N11" i="4"/>
  <c r="L32" i="4"/>
  <c r="H7" i="8"/>
  <c r="Q22" i="8"/>
  <c r="Q41" i="8" s="1"/>
  <c r="N12" i="4"/>
  <c r="K30" i="4"/>
  <c r="L38" i="4"/>
  <c r="P15" i="8"/>
  <c r="P41" i="8" s="1"/>
  <c r="K38" i="4"/>
  <c r="J22" i="4"/>
  <c r="M22" i="4" s="1"/>
  <c r="N22" i="4" s="1"/>
  <c r="H8" i="8"/>
  <c r="K19" i="4"/>
  <c r="K27" i="4"/>
  <c r="K20" i="4"/>
  <c r="H6" i="8"/>
  <c r="H15" i="8" s="1"/>
  <c r="N34" i="4"/>
  <c r="N27" i="4"/>
  <c r="M14" i="4"/>
  <c r="N36" i="4"/>
  <c r="N28" i="4"/>
  <c r="N24" i="4"/>
  <c r="J40" i="4"/>
  <c r="M40" i="4" s="1"/>
  <c r="N40" i="4" s="1"/>
  <c r="J39" i="4"/>
  <c r="M39" i="4" s="1"/>
  <c r="N39" i="4" s="1"/>
  <c r="J21" i="4"/>
  <c r="M21" i="4" s="1"/>
  <c r="N21" i="4" s="1"/>
  <c r="J20" i="4"/>
  <c r="M20" i="4" s="1"/>
  <c r="N20" i="4" s="1"/>
  <c r="J34" i="4"/>
  <c r="M34" i="4" s="1"/>
  <c r="K10" i="4"/>
  <c r="J36" i="4"/>
  <c r="M36" i="4" s="1"/>
  <c r="M10" i="4"/>
  <c r="J14" i="4"/>
  <c r="L19" i="4"/>
  <c r="N19" i="4" s="1"/>
  <c r="G42" i="4"/>
  <c r="J18" i="4"/>
  <c r="M18" i="4" s="1"/>
  <c r="N18" i="4" s="1"/>
  <c r="J19" i="4"/>
  <c r="M19" i="4" s="1"/>
  <c r="J35" i="4"/>
  <c r="M35" i="4" s="1"/>
  <c r="N35" i="4" s="1"/>
  <c r="O35" i="4" s="1"/>
  <c r="J38" i="4"/>
  <c r="M38" i="4" s="1"/>
  <c r="N38" i="4" s="1"/>
  <c r="N9" i="4"/>
  <c r="J15" i="4"/>
  <c r="I25" i="4"/>
  <c r="L25" i="4" s="1"/>
  <c r="N25" i="4" s="1"/>
  <c r="J12" i="4"/>
  <c r="L14" i="4"/>
  <c r="L42" i="4" s="1"/>
  <c r="J25" i="4"/>
  <c r="M25" i="4" s="1"/>
  <c r="J27" i="4"/>
  <c r="M27" i="4" s="1"/>
  <c r="J28" i="4"/>
  <c r="M28" i="4" s="1"/>
  <c r="J30" i="4"/>
  <c r="M30" i="4" s="1"/>
  <c r="N30" i="4" s="1"/>
  <c r="J16" i="4"/>
  <c r="J31" i="4"/>
  <c r="M31" i="4" s="1"/>
  <c r="N31" i="4" s="1"/>
  <c r="J32" i="4"/>
  <c r="M32" i="4" s="1"/>
  <c r="N32" i="4" s="1"/>
  <c r="G44" i="4" l="1"/>
  <c r="H41" i="8"/>
  <c r="K45" i="8"/>
  <c r="M42" i="4"/>
  <c r="L44" i="4"/>
  <c r="Q45" i="8"/>
  <c r="Q47" i="8" s="1"/>
  <c r="Q49" i="8" s="1"/>
  <c r="K15" i="8"/>
  <c r="K41" i="8" s="1"/>
  <c r="N44" i="8"/>
  <c r="N14" i="4"/>
  <c r="N10" i="4"/>
  <c r="N42" i="4" s="1"/>
  <c r="K42" i="4"/>
  <c r="N45" i="8" l="1"/>
  <c r="K44" i="4"/>
  <c r="M47" i="8"/>
  <c r="M52" i="8" s="1"/>
  <c r="M44" i="4"/>
  <c r="N44" i="4"/>
  <c r="Q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44508E15-861B-43FA-BF37-52BAF9D7E0D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76E66474-2274-4D3F-9E14-00882459DCF5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7D96FAF0-7B77-4296-8B87-F73F8C2020F9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12AE8E8D-6122-4B98-8851-71779BBF360D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4D45134E-A8CD-4F19-BF2C-31419F05D2B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ACA27DF0-ED14-4858-A386-2FA48FBF79D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B01D903B-E5B3-4C61-B402-68FD41C160D5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F9E962B7-B30C-4271-AF64-E831A935598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17774E61-EA88-47A3-A851-F35B5215AD7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655081D5-5062-4D7D-87E2-53721113BF7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0BB90819-41A8-43F7-8839-686DF8D5FA25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FCFB8056-89A6-4B48-AEAD-300029244B6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3225374D-3382-4D9C-B99E-F475B3EDF47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8B9276E0-09DB-432A-AAAD-826695DA22D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C3048C57-6551-4567-A855-4858038F240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C1B49348-39D9-411C-BD1F-07CC9787473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0" authorId="0" shapeId="0" xr:uid="{CEDCB4FF-E9CD-409E-ADBB-5F3437EAFCE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1" authorId="0" shapeId="0" xr:uid="{1B9E5EDD-B459-4F6D-8719-76F0826A1D7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2" authorId="0" shapeId="0" xr:uid="{C8100EC2-0E8A-41B0-8E9A-350278C0614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7" authorId="0" shapeId="0" xr:uid="{E291DA48-674E-4CA3-90F3-6434EA481E1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8" authorId="0" shapeId="0" xr:uid="{F7456DE8-3E28-4F5F-8ADB-76F10D8ED24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D5AE12F5-C602-4CC2-8897-0A4A37655B1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787134E7-7A10-4C5C-87DC-C94355B1FEB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6B3FF1B6-68C5-4CD5-8EE3-F3BEDFB1AB0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 xr:uid="{B9CEDCF5-0DF0-4A9C-89BE-30C4AD2E66D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91E30E3C-FEDC-48C6-A453-D9D6C2305AD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7DB5946C-CA92-4EFF-B890-F53ADC03CC8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3F765D07-4E41-4418-B446-31AEADE8118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D8ECF5EA-0736-4803-81C4-34F173F70E6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F309071D-0D84-4F2D-A51B-3470C223692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6F3486B4-1EB7-4289-A6FE-7ACEE795482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N42" authorId="2" shapeId="0" xr:uid="{35BC4FDD-3686-4DCF-A970-E4C3FFFF349E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4" authorId="3" shapeId="0" xr:uid="{F187431C-20D4-45EC-83FC-ED4F567E4F4A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00000000-0006-0000-0400-000003000000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00000000-0006-0000-0400-00000700000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00000000-0006-0000-0400-00000B000000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19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0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20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22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8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30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1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2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4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5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6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8" authorId="0" shapeId="0" xr:uid="{00000000-0006-0000-0400-00001D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8" authorId="0" shapeId="0" xr:uid="{00000000-0006-0000-0400-00001E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9" authorId="0" shapeId="0" xr:uid="{00000000-0006-0000-0400-00001F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40" authorId="0" shapeId="0" xr:uid="{00000000-0006-0000-0400-000020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N41" authorId="2" shapeId="0" xr:uid="{00000000-0006-0000-0400-000021000000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3" authorId="3" shapeId="0" xr:uid="{00000000-0006-0000-0400-000022000000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7825A643-9FF2-4C3C-BE98-3B5A59E0474E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3FD96D1F-90AE-4722-982A-72477DACF130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5" authorId="2" shapeId="0" xr:uid="{0E83EB7E-6E90-43CE-95A9-28F154FC56A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5" authorId="2" shapeId="0" xr:uid="{42906268-F71A-47F4-89AE-681CA21C9443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5" authorId="2" shapeId="0" xr:uid="{95A055B5-B8DA-455C-8AC4-E8526EA89B99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5" authorId="2" shapeId="0" xr:uid="{F290973E-2633-4AF7-A879-C25E965E30E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5" authorId="3" shapeId="0" xr:uid="{AF89D1C4-1C1E-4D5B-9C7F-B9586C53932B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<sst xmlns="http://schemas.openxmlformats.org/spreadsheetml/2006/main" count="676" uniqueCount="203">
  <si>
    <t>Amount</t>
  </si>
  <si>
    <t>State</t>
  </si>
  <si>
    <t>Washington</t>
  </si>
  <si>
    <t>Commodity</t>
  </si>
  <si>
    <t>47WA.6011.28051</t>
  </si>
  <si>
    <t>Demand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</si>
  <si>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</si>
  <si>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</si>
  <si>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</si>
  <si>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</si>
  <si>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</si>
  <si>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</si>
  <si>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</si>
  <si>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</si>
  <si>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</si>
  <si>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</si>
  <si>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</si>
  <si>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</si>
  <si>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</si>
  <si>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</si>
  <si>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</si>
  <si>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</si>
  <si>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47WA.2530.01253</t>
  </si>
  <si>
    <t>47WA.2530.01254</t>
  </si>
  <si>
    <t>5</t>
  </si>
  <si>
    <t xml:space="preserve"> Assignment of Core Gas Cost To</t>
  </si>
  <si>
    <t>WASHINGTON - OLD RATES</t>
  </si>
  <si>
    <t xml:space="preserve"> Class &amp; Rate Schedule</t>
  </si>
  <si>
    <t>Red Cells = Actual Billed Therms 1501</t>
  </si>
  <si>
    <t xml:space="preserve"> Core Gas Cost</t>
  </si>
  <si>
    <t xml:space="preserve"> Blue - 1501A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</si>
  <si>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</si>
  <si>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</si>
  <si>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</si>
  <si>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</si>
  <si>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</si>
  <si>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</si>
  <si>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</si>
  <si>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</si>
  <si>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</si>
  <si>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</si>
  <si>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</si>
  <si>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Nov 1 2020</t>
  </si>
  <si>
    <t>Recongnized</t>
  </si>
  <si>
    <t>47WA.4002.4800</t>
  </si>
  <si>
    <t>Firm Res - air con</t>
  </si>
  <si>
    <t>541</t>
  </si>
  <si>
    <t>CNGWA 541</t>
  </si>
  <si>
    <t>Firm Residentials</t>
  </si>
  <si>
    <t>503</t>
  </si>
  <si>
    <t>CNGWA 503</t>
  </si>
  <si>
    <t>47WA.4009.4800</t>
  </si>
  <si>
    <t>PM Unbilled - Res</t>
  </si>
  <si>
    <t>CM Unbilled - Res</t>
  </si>
  <si>
    <t>04LV</t>
  </si>
  <si>
    <t>47WA.4002.4810</t>
  </si>
  <si>
    <t>Firm Commercial</t>
  </si>
  <si>
    <t>504</t>
  </si>
  <si>
    <t>CNGWA 504</t>
  </si>
  <si>
    <t>Regular cycle</t>
  </si>
  <si>
    <t>11LV</t>
  </si>
  <si>
    <t>47WA.4009.4810</t>
  </si>
  <si>
    <t>PM Unbilled - Com'l</t>
  </si>
  <si>
    <t>Reg. accrual</t>
  </si>
  <si>
    <t>CM Unbilled - Com'l</t>
  </si>
  <si>
    <t>05LV</t>
  </si>
  <si>
    <t>Firm Com - Lg Vol</t>
  </si>
  <si>
    <t>511</t>
  </si>
  <si>
    <t>CNGWA 511</t>
  </si>
  <si>
    <t>CNGWA 04LV</t>
  </si>
  <si>
    <t>CNGWA 11LV</t>
  </si>
  <si>
    <t>Unbilled</t>
  </si>
  <si>
    <t xml:space="preserve">PM Unbilled </t>
  </si>
  <si>
    <t xml:space="preserve">CM 1501A (Unbilled) </t>
  </si>
  <si>
    <t>1501A</t>
  </si>
  <si>
    <t>47WA.4002.4809</t>
  </si>
  <si>
    <t>Firm Ind'l</t>
  </si>
  <si>
    <t>505</t>
  </si>
  <si>
    <t>CNGWA 505</t>
  </si>
  <si>
    <t>511  04LV</t>
  </si>
  <si>
    <t>Firm Industrial</t>
  </si>
  <si>
    <t>505  05LV</t>
  </si>
  <si>
    <t>4813  570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</si>
  <si>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</si>
  <si>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</si>
  <si>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</si>
  <si>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</si>
  <si>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</si>
  <si>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</si>
  <si>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</si>
  <si>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 xml:space="preserve">CM Unbilled </t>
  </si>
  <si>
    <t>47WA.4009.4813</t>
  </si>
  <si>
    <t>Interr Industrial</t>
  </si>
  <si>
    <t>Old Rates</t>
  </si>
  <si>
    <t xml:space="preserve">Total Gas Cost Recognized </t>
  </si>
  <si>
    <t>Pg 2</t>
  </si>
  <si>
    <t>Total WA</t>
  </si>
  <si>
    <t xml:space="preserve"> 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</si>
  <si>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</si>
  <si>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</si>
  <si>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</si>
  <si>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</si>
  <si>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</si>
  <si>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</si>
  <si>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</si>
  <si>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47WA.6011.28040</t>
  </si>
  <si>
    <t>GC RECOGNIZED RS 15410</t>
  </si>
  <si>
    <t>GC RECOGNIZED RS 15030</t>
  </si>
  <si>
    <t>GC RECOGNIZED RS 25040</t>
  </si>
  <si>
    <t>GC RECOGNIZED RS 25110</t>
  </si>
  <si>
    <t>GC RECOGNIZED RS 25120</t>
  </si>
  <si>
    <t>GC RECOGNIZED RS 25410</t>
  </si>
  <si>
    <t>GC RECOGNIZED RS 35050</t>
  </si>
  <si>
    <t>GC RECOGNIZED RS 35110</t>
  </si>
  <si>
    <t>GC RECOGNIZED RS 35120</t>
  </si>
  <si>
    <t>GC RECOGNIZED RS 55700</t>
  </si>
  <si>
    <t>GC RECOGNIZED RS 45700</t>
  </si>
  <si>
    <t>GC RECOGNIZED RS 55770</t>
  </si>
  <si>
    <t>GC RECOGNIZED RS 65700</t>
  </si>
  <si>
    <t>S003000804009990670001</t>
  </si>
  <si>
    <t>GC RECOGNIZED CORE TOTAL</t>
  </si>
  <si>
    <t>Pg 3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</si>
  <si>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</si>
  <si>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</si>
  <si>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</si>
  <si>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</si>
  <si>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</si>
  <si>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</si>
  <si>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</si>
  <si>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</si>
  <si>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</si>
  <si>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</si>
  <si>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</si>
  <si>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</si>
  <si>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</si>
  <si>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</si>
  <si>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</si>
  <si>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</si>
  <si>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</si>
  <si>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</si>
  <si>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</si>
  <si>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</si>
  <si>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</si>
  <si>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</si>
  <si>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</si>
  <si>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</si>
  <si>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</si>
  <si>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</si>
  <si>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</si>
  <si>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</si>
  <si>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</si>
  <si>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</si>
  <si>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</si>
  <si>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</si>
  <si>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</si>
  <si>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</si>
  <si>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</si>
  <si>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</si>
  <si>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</si>
  <si>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</si>
  <si>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</si>
  <si>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</si>
  <si>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</si>
  <si>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</si>
  <si>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</si>
  <si>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Mist Reservation Charge</t>
  </si>
  <si>
    <t>Mist Capacity Charge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</si>
  <si>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</si>
  <si>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</si>
  <si>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</si>
  <si>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</si>
  <si>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 xml:space="preserve">WA &amp; OR </t>
  </si>
  <si>
    <t>Previous Month Gas Supply Analysis</t>
  </si>
  <si>
    <t>Worksheet Amount</t>
  </si>
  <si>
    <t>JDE Export</t>
  </si>
  <si>
    <t>Total 6011</t>
  </si>
  <si>
    <t>True-up</t>
  </si>
  <si>
    <t xml:space="preserve">    </t>
  </si>
  <si>
    <t>G/L Amount</t>
  </si>
  <si>
    <t>AU</t>
  </si>
  <si>
    <t>Ledger Type</t>
  </si>
  <si>
    <t>AA</t>
  </si>
  <si>
    <t>Year</t>
  </si>
  <si>
    <t>2021</t>
  </si>
  <si>
    <t>Format</t>
  </si>
  <si>
    <t>per</t>
  </si>
  <si>
    <t>Period</t>
  </si>
  <si>
    <t>11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</si>
  <si>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</si>
  <si>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</si>
  <si>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</si>
  <si>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</si>
  <si>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</si>
  <si>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</si>
  <si>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</si>
  <si>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</si>
  <si>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</si>
  <si>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</si>
  <si>
    <t>A</t>
  </si>
  <si>
    <t>Pg 8</t>
  </si>
  <si>
    <t>New Rates</t>
  </si>
  <si>
    <t>Pg 7</t>
  </si>
  <si>
    <t>WASHINGTON - NEW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</si>
</sst>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.0_);_(&quot;$&quot;* \(#,##0.0\);_(&quot;$&quot;* &quot;-&quot;??_);_(@_)"/>
    <numFmt numFmtId="169" formatCode="_(* #,##0.0000_);_(* \(#,##0.0000\);_(* &quot;-&quot;??_);_(@_)"/>
    <numFmt numFmtId="170" formatCode="_(&quot;$&quot;* #,##0.0000_);_(&quot;$&quot;* \(#,##0.0000\);_(&quot;$&quot;* &quot;-&quot;??_);_(@_)"/>
  </numFmts>
  <fonts count="53" x14ac:knownFonts="1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0070C0"/>
      <name val="Arial"/>
      <family val="2"/>
    </font>
    <font>
      <sz val="12"/>
      <color rgb="FF00B050"/>
      <name val="Arial"/>
      <family val="2"/>
    </font>
    <font>
      <b/>
      <sz val="10"/>
      <color indexed="12"/>
      <name val="Arial"/>
      <family val="2"/>
    </font>
    <font>
      <sz val="12"/>
      <color rgb="FF0070C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u/>
      <sz val="10"/>
      <color rgb="FF00B050"/>
      <name val="Arial"/>
      <family val="2"/>
    </font>
    <font>
      <b/>
      <sz val="10"/>
      <color indexed="10"/>
      <name val="Arial"/>
      <family val="2"/>
    </font>
    <font>
      <i/>
      <sz val="8"/>
      <color indexed="10"/>
      <name val="Arial"/>
      <family val="2"/>
    </font>
    <font>
      <b/>
      <sz val="8"/>
      <name val="Arial"/>
      <family val="2"/>
    </font>
    <font>
      <b/>
      <sz val="12"/>
      <color theme="4" tint="-0.249977111117893"/>
      <name val="Arial"/>
      <family val="2"/>
    </font>
    <font>
      <sz val="14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10.5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4" fontId="0" fillId="0" borderId="0" xfId="0" applyNumberFormat="1"/>
    <xf numFmtId="43" fontId="1" fillId="0" borderId="1" xfId="1" applyFont="1" applyBorder="1"/>
    <xf numFmtId="0" fontId="5" fillId="0" borderId="0" xfId="0" applyFont="1"/>
    <xf numFmtId="0" fontId="6" fillId="0" borderId="0" xfId="0" applyFont="1"/>
    <xf numFmtId="44" fontId="1" fillId="0" borderId="0" xfId="0" applyNumberFormat="1" applyFont="1"/>
    <xf numFmtId="49" fontId="3" fillId="0" borderId="0" xfId="0" applyNumberFormat="1" applyFont="1" applyAlignment="1">
      <alignment horizontal="center"/>
    </xf>
    <xf numFmtId="165" fontId="3" fillId="0" borderId="0" xfId="1" applyNumberFormat="1" applyFont="1"/>
    <xf numFmtId="0" fontId="1" fillId="0" borderId="0" xfId="0" applyFont="1" applyAlignment="1">
      <alignment horizontal="right"/>
    </xf>
    <xf numFmtId="165" fontId="5" fillId="0" borderId="0" xfId="1" applyNumberFormat="1" applyFont="1"/>
    <xf numFmtId="49" fontId="1" fillId="0" borderId="0" xfId="0" applyNumberFormat="1" applyFont="1" applyAlignment="1">
      <alignment horizontal="center"/>
    </xf>
    <xf numFmtId="43" fontId="1" fillId="0" borderId="0" xfId="1" applyFont="1"/>
    <xf numFmtId="44" fontId="1" fillId="0" borderId="0" xfId="2" applyFont="1" applyBorder="1"/>
    <xf numFmtId="44" fontId="1" fillId="0" borderId="1" xfId="2" applyFont="1" applyBorder="1"/>
    <xf numFmtId="0" fontId="0" fillId="0" borderId="0" xfId="0" applyAlignment="1">
      <alignment horizontal="left"/>
    </xf>
    <xf numFmtId="49" fontId="1" fillId="0" borderId="0" xfId="1" applyNumberFormat="1" applyFont="1" applyAlignment="1"/>
    <xf numFmtId="49" fontId="3" fillId="0" borderId="0" xfId="0" applyNumberFormat="1" applyFont="1"/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top"/>
    </xf>
    <xf numFmtId="49" fontId="3" fillId="0" borderId="0" xfId="1" applyNumberFormat="1" applyFont="1"/>
    <xf numFmtId="0" fontId="3" fillId="5" borderId="0" xfId="0" applyFont="1" applyFill="1"/>
    <xf numFmtId="49" fontId="3" fillId="5" borderId="0" xfId="1" applyNumberFormat="1" applyFont="1" applyFill="1" applyBorder="1"/>
    <xf numFmtId="49" fontId="3" fillId="5" borderId="0" xfId="0" applyNumberFormat="1" applyFont="1" applyFill="1"/>
    <xf numFmtId="165" fontId="3" fillId="5" borderId="0" xfId="1" applyNumberFormat="1" applyFont="1" applyFill="1" applyBorder="1" applyAlignment="1">
      <alignment horizontal="center"/>
    </xf>
    <xf numFmtId="166" fontId="3" fillId="5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39" fontId="0" fillId="0" borderId="0" xfId="0" applyNumberFormat="1"/>
    <xf numFmtId="39" fontId="15" fillId="0" borderId="0" xfId="0" applyNumberFormat="1" applyFont="1"/>
    <xf numFmtId="39" fontId="0" fillId="0" borderId="0" xfId="0" applyNumberFormat="1" applyAlignment="1">
      <alignment horizontal="left"/>
    </xf>
    <xf numFmtId="39" fontId="6" fillId="0" borderId="0" xfId="0" applyNumberFormat="1" applyFon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/>
    <xf numFmtId="49" fontId="3" fillId="5" borderId="0" xfId="0" applyNumberFormat="1" applyFont="1" applyFill="1" applyAlignment="1">
      <alignment horizontal="center"/>
    </xf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3" fillId="5" borderId="1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" fillId="5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indent="1"/>
    </xf>
    <xf numFmtId="165" fontId="21" fillId="0" borderId="0" xfId="1" applyNumberFormat="1" applyFont="1" applyFill="1"/>
    <xf numFmtId="166" fontId="19" fillId="10" borderId="0" xfId="2" applyNumberFormat="1" applyFont="1" applyFill="1"/>
    <xf numFmtId="44" fontId="3" fillId="0" borderId="0" xfId="2"/>
    <xf numFmtId="44" fontId="3" fillId="0" borderId="12" xfId="2" applyBorder="1"/>
    <xf numFmtId="44" fontId="3" fillId="0" borderId="0" xfId="2" applyFill="1"/>
    <xf numFmtId="44" fontId="15" fillId="0" borderId="0" xfId="0" applyNumberFormat="1" applyFont="1"/>
    <xf numFmtId="44" fontId="3" fillId="0" borderId="0" xfId="0" applyNumberFormat="1" applyFont="1"/>
    <xf numFmtId="44" fontId="4" fillId="0" borderId="0" xfId="0" applyNumberFormat="1" applyFont="1"/>
    <xf numFmtId="165" fontId="6" fillId="0" borderId="0" xfId="1" applyNumberFormat="1" applyFont="1"/>
    <xf numFmtId="165" fontId="22" fillId="0" borderId="0" xfId="1" applyNumberFormat="1" applyFont="1" applyFill="1"/>
    <xf numFmtId="166" fontId="19" fillId="3" borderId="0" xfId="2" applyNumberFormat="1" applyFont="1" applyFill="1"/>
    <xf numFmtId="44" fontId="3" fillId="0" borderId="0" xfId="2" applyBorder="1"/>
    <xf numFmtId="44" fontId="3" fillId="0" borderId="0" xfId="2" applyFont="1" applyFill="1"/>
    <xf numFmtId="0" fontId="1" fillId="0" borderId="0" xfId="2" applyNumberFormat="1" applyFont="1"/>
    <xf numFmtId="37" fontId="1" fillId="0" borderId="0" xfId="2" applyNumberFormat="1" applyFont="1" applyAlignment="1">
      <alignment horizontal="left"/>
    </xf>
    <xf numFmtId="165" fontId="23" fillId="0" borderId="6" xfId="1" applyNumberFormat="1" applyFont="1" applyBorder="1"/>
    <xf numFmtId="165" fontId="23" fillId="0" borderId="0" xfId="1" applyNumberFormat="1" applyFont="1" applyBorder="1"/>
    <xf numFmtId="165" fontId="24" fillId="11" borderId="0" xfId="1" applyNumberFormat="1" applyFont="1" applyFill="1"/>
    <xf numFmtId="166" fontId="19" fillId="12" borderId="0" xfId="2" applyNumberFormat="1" applyFont="1" applyFill="1"/>
    <xf numFmtId="165" fontId="23" fillId="0" borderId="0" xfId="1" applyNumberFormat="1" applyFont="1"/>
    <xf numFmtId="165" fontId="24" fillId="13" borderId="0" xfId="1" applyNumberFormat="1" applyFont="1" applyFill="1"/>
    <xf numFmtId="165" fontId="25" fillId="0" borderId="0" xfId="1" applyNumberFormat="1" applyFont="1" applyBorder="1"/>
    <xf numFmtId="44" fontId="26" fillId="0" borderId="0" xfId="2" applyFont="1" applyFill="1"/>
    <xf numFmtId="0" fontId="2" fillId="0" borderId="0" xfId="0" applyFont="1"/>
    <xf numFmtId="49" fontId="3" fillId="0" borderId="0" xfId="1" applyNumberFormat="1" applyFont="1" applyFill="1"/>
    <xf numFmtId="165" fontId="27" fillId="11" borderId="0" xfId="1" applyNumberFormat="1" applyFont="1" applyFill="1"/>
    <xf numFmtId="165" fontId="24" fillId="11" borderId="0" xfId="1" applyNumberFormat="1" applyFont="1" applyFill="1" applyAlignment="1">
      <alignment horizontal="left"/>
    </xf>
    <xf numFmtId="165" fontId="27" fillId="13" borderId="0" xfId="1" applyNumberFormat="1" applyFont="1" applyFill="1"/>
    <xf numFmtId="165" fontId="28" fillId="0" borderId="0" xfId="1" applyNumberFormat="1" applyFont="1" applyFill="1"/>
    <xf numFmtId="166" fontId="29" fillId="12" borderId="0" xfId="2" applyNumberFormat="1" applyFont="1" applyFill="1"/>
    <xf numFmtId="44" fontId="1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left"/>
    </xf>
    <xf numFmtId="44" fontId="0" fillId="0" borderId="0" xfId="0" applyNumberFormat="1" applyAlignment="1">
      <alignment horizontal="left"/>
    </xf>
    <xf numFmtId="165" fontId="30" fillId="13" borderId="0" xfId="1" applyNumberFormat="1" applyFont="1" applyFill="1"/>
    <xf numFmtId="44" fontId="6" fillId="0" borderId="0" xfId="0" applyNumberFormat="1" applyFont="1"/>
    <xf numFmtId="165" fontId="31" fillId="0" borderId="0" xfId="1" applyNumberFormat="1" applyFont="1"/>
    <xf numFmtId="166" fontId="3" fillId="0" borderId="0" xfId="2" applyNumberFormat="1"/>
    <xf numFmtId="165" fontId="30" fillId="11" borderId="0" xfId="1" applyNumberFormat="1" applyFont="1" applyFill="1"/>
    <xf numFmtId="166" fontId="3" fillId="0" borderId="0" xfId="2" applyNumberFormat="1" applyFont="1" applyFill="1"/>
    <xf numFmtId="165" fontId="9" fillId="0" borderId="0" xfId="1" applyNumberFormat="1" applyFont="1" applyFill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3" fillId="0" borderId="0" xfId="0" applyNumberFormat="1" applyFont="1" applyAlignment="1">
      <alignment horizontal="right"/>
    </xf>
    <xf numFmtId="49" fontId="4" fillId="0" borderId="0" xfId="0" applyNumberFormat="1" applyFont="1"/>
    <xf numFmtId="165" fontId="1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8" borderId="0" xfId="0" applyNumberFormat="1" applyFont="1" applyFill="1" applyAlignment="1">
      <alignment horizontal="center"/>
    </xf>
    <xf numFmtId="44" fontId="4" fillId="14" borderId="0" xfId="2" applyFont="1" applyFill="1" applyBorder="1"/>
    <xf numFmtId="44" fontId="4" fillId="0" borderId="0" xfId="2" applyFont="1"/>
    <xf numFmtId="44" fontId="4" fillId="3" borderId="0" xfId="2" applyFont="1" applyFill="1"/>
    <xf numFmtId="44" fontId="4" fillId="0" borderId="0" xfId="2" applyFont="1" applyAlignment="1">
      <alignment horizontal="left"/>
    </xf>
    <xf numFmtId="44" fontId="2" fillId="0" borderId="0" xfId="2" applyFont="1"/>
    <xf numFmtId="44" fontId="4" fillId="0" borderId="0" xfId="2" applyFont="1" applyBorder="1"/>
    <xf numFmtId="49" fontId="1" fillId="0" borderId="0" xfId="0" applyNumberFormat="1" applyFont="1"/>
    <xf numFmtId="165" fontId="8" fillId="11" borderId="0" xfId="1" applyNumberFormat="1" applyFont="1" applyFill="1"/>
    <xf numFmtId="165" fontId="3" fillId="0" borderId="0" xfId="1" applyNumberFormat="1"/>
    <xf numFmtId="44" fontId="31" fillId="0" borderId="0" xfId="2" applyFont="1"/>
    <xf numFmtId="44" fontId="31" fillId="0" borderId="0" xfId="2" applyFont="1" applyAlignment="1">
      <alignment horizontal="left"/>
    </xf>
    <xf numFmtId="44" fontId="21" fillId="0" borderId="0" xfId="2" applyFont="1"/>
    <xf numFmtId="165" fontId="6" fillId="0" borderId="0" xfId="1" applyNumberFormat="1" applyFont="1" applyAlignment="1">
      <alignment horizontal="center"/>
    </xf>
    <xf numFmtId="44" fontId="3" fillId="0" borderId="0" xfId="2" applyFont="1"/>
    <xf numFmtId="165" fontId="2" fillId="0" borderId="0" xfId="1" applyNumberFormat="1" applyFont="1" applyAlignment="1">
      <alignment horizontal="center" vertical="center"/>
    </xf>
    <xf numFmtId="166" fontId="3" fillId="0" borderId="0" xfId="2" applyNumberFormat="1" applyFont="1" applyAlignment="1">
      <alignment horizontal="left"/>
    </xf>
    <xf numFmtId="43" fontId="3" fillId="0" borderId="0" xfId="1" applyFont="1" applyAlignment="1">
      <alignment horizontal="left"/>
    </xf>
    <xf numFmtId="168" fontId="3" fillId="0" borderId="0" xfId="2" applyNumberFormat="1"/>
    <xf numFmtId="44" fontId="31" fillId="0" borderId="0" xfId="2" applyFont="1" applyFill="1"/>
    <xf numFmtId="14" fontId="3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left"/>
    </xf>
    <xf numFmtId="44" fontId="19" fillId="0" borderId="0" xfId="2" applyFont="1" applyFill="1"/>
    <xf numFmtId="43" fontId="3" fillId="0" borderId="0" xfId="1"/>
    <xf numFmtId="165" fontId="31" fillId="0" borderId="0" xfId="1" applyNumberFormat="1" applyFont="1" applyFill="1"/>
    <xf numFmtId="165" fontId="18" fillId="0" borderId="0" xfId="1" applyNumberFormat="1" applyFont="1" applyFill="1"/>
    <xf numFmtId="166" fontId="6" fillId="0" borderId="0" xfId="2" applyNumberFormat="1" applyFont="1" applyAlignment="1">
      <alignment horizontal="left"/>
    </xf>
    <xf numFmtId="44" fontId="4" fillId="0" borderId="6" xfId="2" applyFont="1" applyBorder="1"/>
    <xf numFmtId="44" fontId="3" fillId="0" borderId="0" xfId="2" applyFont="1" applyBorder="1"/>
    <xf numFmtId="0" fontId="3" fillId="0" borderId="0" xfId="3"/>
    <xf numFmtId="49" fontId="6" fillId="0" borderId="0" xfId="1" applyNumberFormat="1" applyFont="1" applyAlignment="1"/>
    <xf numFmtId="49" fontId="5" fillId="0" borderId="0" xfId="1" applyNumberFormat="1" applyFont="1"/>
    <xf numFmtId="49" fontId="2" fillId="0" borderId="0" xfId="1" applyNumberFormat="1" applyFont="1" applyAlignment="1">
      <alignment horizontal="left"/>
    </xf>
    <xf numFmtId="43" fontId="5" fillId="0" borderId="0" xfId="1" applyFont="1"/>
    <xf numFmtId="165" fontId="5" fillId="15" borderId="0" xfId="1" applyNumberFormat="1" applyFont="1" applyFill="1"/>
    <xf numFmtId="43" fontId="35" fillId="0" borderId="0" xfId="1" applyFont="1"/>
    <xf numFmtId="165" fontId="36" fillId="0" borderId="0" xfId="1" applyNumberFormat="1" applyFont="1" applyFill="1"/>
    <xf numFmtId="43" fontId="36" fillId="0" borderId="0" xfId="1" applyFont="1" applyFill="1"/>
    <xf numFmtId="49" fontId="8" fillId="0" borderId="0" xfId="1" applyNumberFormat="1" applyFont="1" applyBorder="1"/>
    <xf numFmtId="165" fontId="36" fillId="0" borderId="0" xfId="1" applyNumberFormat="1" applyFont="1"/>
    <xf numFmtId="165" fontId="3" fillId="15" borderId="0" xfId="1" applyNumberFormat="1" applyFont="1" applyFill="1"/>
    <xf numFmtId="165" fontId="39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1" fillId="0" borderId="1" xfId="1" applyNumberFormat="1" applyFont="1" applyBorder="1" applyAlignment="1">
      <alignment horizontal="center"/>
    </xf>
    <xf numFmtId="165" fontId="1" fillId="0" borderId="0" xfId="1" applyNumberFormat="1" applyFont="1" applyAlignment="1">
      <alignment vertical="center"/>
    </xf>
    <xf numFmtId="165" fontId="1" fillId="15" borderId="0" xfId="1" applyNumberFormat="1" applyFont="1" applyFill="1"/>
    <xf numFmtId="165" fontId="8" fillId="0" borderId="0" xfId="1" applyNumberFormat="1" applyFont="1" applyAlignment="1">
      <alignment vertical="center"/>
    </xf>
    <xf numFmtId="165" fontId="36" fillId="0" borderId="0" xfId="1" applyNumberFormat="1" applyFont="1" applyAlignment="1">
      <alignment horizontal="center"/>
    </xf>
    <xf numFmtId="165" fontId="3" fillId="5" borderId="1" xfId="1" applyNumberFormat="1" applyFont="1" applyFill="1" applyBorder="1"/>
    <xf numFmtId="165" fontId="7" fillId="5" borderId="2" xfId="1" applyNumberFormat="1" applyFont="1" applyFill="1" applyBorder="1" applyAlignment="1">
      <alignment horizontal="center"/>
    </xf>
    <xf numFmtId="43" fontId="7" fillId="5" borderId="2" xfId="1" applyFont="1" applyFill="1" applyBorder="1" applyAlignment="1">
      <alignment horizontal="center"/>
    </xf>
    <xf numFmtId="165" fontId="7" fillId="5" borderId="1" xfId="1" applyNumberFormat="1" applyFont="1" applyFill="1" applyBorder="1" applyAlignment="1">
      <alignment horizontal="center"/>
    </xf>
    <xf numFmtId="43" fontId="7" fillId="5" borderId="1" xfId="1" applyFont="1" applyFill="1" applyBorder="1" applyAlignment="1">
      <alignment horizontal="center"/>
    </xf>
    <xf numFmtId="165" fontId="40" fillId="5" borderId="1" xfId="1" applyNumberFormat="1" applyFont="1" applyFill="1" applyBorder="1" applyAlignment="1">
      <alignment horizontal="center"/>
    </xf>
    <xf numFmtId="165" fontId="40" fillId="5" borderId="2" xfId="1" applyNumberFormat="1" applyFont="1" applyFill="1" applyBorder="1" applyAlignment="1">
      <alignment horizontal="center"/>
    </xf>
    <xf numFmtId="43" fontId="40" fillId="5" borderId="2" xfId="1" applyFont="1" applyFill="1" applyBorder="1" applyAlignment="1">
      <alignment horizontal="center"/>
    </xf>
    <xf numFmtId="43" fontId="40" fillId="5" borderId="1" xfId="1" applyFont="1" applyFill="1" applyBorder="1" applyAlignment="1">
      <alignment horizontal="center"/>
    </xf>
    <xf numFmtId="43" fontId="20" fillId="0" borderId="0" xfId="1" applyFont="1" applyAlignment="1">
      <alignment horizontal="center"/>
    </xf>
    <xf numFmtId="49" fontId="3" fillId="16" borderId="0" xfId="1" applyNumberFormat="1" applyFont="1" applyFill="1" applyAlignment="1">
      <alignment horizontal="right"/>
    </xf>
    <xf numFmtId="0" fontId="3" fillId="16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left" indent="3"/>
    </xf>
    <xf numFmtId="44" fontId="3" fillId="17" borderId="0" xfId="2" applyFont="1" applyFill="1"/>
    <xf numFmtId="165" fontId="3" fillId="0" borderId="0" xfId="1" applyNumberFormat="1" applyFont="1" applyFill="1" applyAlignment="1">
      <alignment horizontal="left"/>
    </xf>
    <xf numFmtId="165" fontId="32" fillId="15" borderId="0" xfId="1" applyNumberFormat="1" applyFont="1" applyFill="1"/>
    <xf numFmtId="165" fontId="4" fillId="0" borderId="0" xfId="1" applyNumberFormat="1" applyFont="1" applyAlignment="1">
      <alignment horizontal="left" indent="3"/>
    </xf>
    <xf numFmtId="44" fontId="15" fillId="17" borderId="0" xfId="2" applyFont="1" applyFill="1"/>
    <xf numFmtId="165" fontId="4" fillId="0" borderId="0" xfId="1" applyNumberFormat="1" applyFont="1"/>
    <xf numFmtId="165" fontId="36" fillId="15" borderId="0" xfId="1" applyNumberFormat="1" applyFont="1" applyFill="1"/>
    <xf numFmtId="165" fontId="32" fillId="0" borderId="0" xfId="1" applyNumberFormat="1" applyFont="1" applyAlignment="1">
      <alignment horizontal="left"/>
    </xf>
    <xf numFmtId="44" fontId="9" fillId="17" borderId="0" xfId="2" applyFont="1" applyFill="1"/>
    <xf numFmtId="165" fontId="5" fillId="0" borderId="0" xfId="1" applyNumberFormat="1" applyFont="1" applyAlignment="1">
      <alignment horizontal="left"/>
    </xf>
    <xf numFmtId="0" fontId="8" fillId="17" borderId="0" xfId="2" applyNumberFormat="1" applyFont="1" applyFill="1" applyAlignment="1">
      <alignment horizontal="center"/>
    </xf>
    <xf numFmtId="165" fontId="41" fillId="0" borderId="0" xfId="1" applyNumberFormat="1" applyFont="1" applyAlignment="1">
      <alignment horizontal="left"/>
    </xf>
    <xf numFmtId="165" fontId="36" fillId="0" borderId="0" xfId="1" applyNumberFormat="1" applyFont="1" applyAlignment="1">
      <alignment horizontal="left"/>
    </xf>
    <xf numFmtId="165" fontId="3" fillId="0" borderId="0" xfId="1" applyNumberFormat="1" applyFont="1" applyFill="1"/>
    <xf numFmtId="44" fontId="3" fillId="18" borderId="0" xfId="2" applyFont="1" applyFill="1"/>
    <xf numFmtId="165" fontId="15" fillId="0" borderId="0" xfId="1" applyNumberFormat="1" applyFont="1"/>
    <xf numFmtId="44" fontId="15" fillId="18" borderId="0" xfId="2" applyFont="1" applyFill="1"/>
    <xf numFmtId="165" fontId="42" fillId="0" borderId="0" xfId="1" applyNumberFormat="1" applyFont="1" applyAlignment="1">
      <alignment horizontal="left"/>
    </xf>
    <xf numFmtId="165" fontId="42" fillId="0" borderId="0" xfId="1" applyNumberFormat="1" applyFont="1" applyAlignment="1">
      <alignment horizontal="left" indent="1"/>
    </xf>
    <xf numFmtId="44" fontId="43" fillId="19" borderId="0" xfId="2" applyFont="1" applyFill="1"/>
    <xf numFmtId="0" fontId="8" fillId="18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left" indent="3"/>
    </xf>
    <xf numFmtId="165" fontId="3" fillId="0" borderId="0" xfId="1" applyNumberFormat="1" applyFont="1" applyAlignment="1">
      <alignment horizontal="left" indent="4"/>
    </xf>
    <xf numFmtId="165" fontId="42" fillId="0" borderId="0" xfId="1" applyNumberFormat="1" applyFont="1" applyAlignment="1">
      <alignment horizontal="left" indent="4"/>
    </xf>
    <xf numFmtId="165" fontId="44" fillId="0" borderId="0" xfId="1" applyNumberFormat="1" applyFont="1" applyAlignment="1">
      <alignment horizontal="left"/>
    </xf>
    <xf numFmtId="43" fontId="32" fillId="15" borderId="0" xfId="1" applyFont="1" applyFill="1"/>
    <xf numFmtId="49" fontId="3" fillId="2" borderId="0" xfId="1" applyNumberFormat="1" applyFont="1" applyFill="1" applyAlignment="1">
      <alignment horizontal="right"/>
    </xf>
    <xf numFmtId="0" fontId="3" fillId="2" borderId="0" xfId="1" applyNumberFormat="1" applyFont="1" applyFill="1" applyAlignment="1">
      <alignment horizontal="center"/>
    </xf>
    <xf numFmtId="0" fontId="8" fillId="20" borderId="0" xfId="1" applyNumberFormat="1" applyFont="1" applyFill="1" applyAlignment="1">
      <alignment horizontal="center"/>
    </xf>
    <xf numFmtId="165" fontId="1" fillId="20" borderId="0" xfId="1" applyNumberFormat="1" applyFont="1" applyFill="1"/>
    <xf numFmtId="44" fontId="15" fillId="20" borderId="0" xfId="2" applyFont="1" applyFill="1"/>
    <xf numFmtId="165" fontId="41" fillId="0" borderId="0" xfId="1" applyNumberFormat="1" applyFont="1"/>
    <xf numFmtId="165" fontId="32" fillId="15" borderId="0" xfId="1" applyNumberFormat="1" applyFont="1" applyFill="1" applyAlignment="1">
      <alignment horizontal="left" vertical="top"/>
    </xf>
    <xf numFmtId="43" fontId="45" fillId="0" borderId="0" xfId="1" applyFont="1"/>
    <xf numFmtId="165" fontId="45" fillId="0" borderId="0" xfId="1" applyNumberFormat="1" applyFont="1"/>
    <xf numFmtId="165" fontId="3" fillId="0" borderId="1" xfId="1" applyNumberFormat="1" applyFont="1" applyBorder="1"/>
    <xf numFmtId="44" fontId="3" fillId="18" borderId="1" xfId="2" applyFont="1" applyFill="1" applyBorder="1"/>
    <xf numFmtId="165" fontId="34" fillId="0" borderId="1" xfId="1" applyNumberFormat="1" applyFont="1" applyBorder="1"/>
    <xf numFmtId="44" fontId="34" fillId="18" borderId="0" xfId="2" applyFont="1" applyFill="1"/>
    <xf numFmtId="44" fontId="15" fillId="18" borderId="1" xfId="2" applyFont="1" applyFill="1" applyBorder="1"/>
    <xf numFmtId="49" fontId="3" fillId="16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Font="1" applyBorder="1"/>
    <xf numFmtId="165" fontId="3" fillId="0" borderId="6" xfId="1" applyNumberFormat="1" applyFont="1" applyBorder="1"/>
    <xf numFmtId="44" fontId="3" fillId="0" borderId="6" xfId="2" applyFont="1" applyBorder="1"/>
    <xf numFmtId="44" fontId="3" fillId="0" borderId="2" xfId="2" applyFont="1" applyBorder="1"/>
    <xf numFmtId="44" fontId="1" fillId="0" borderId="2" xfId="2" applyFont="1" applyBorder="1"/>
    <xf numFmtId="165" fontId="36" fillId="0" borderId="2" xfId="1" applyNumberFormat="1" applyFont="1" applyBorder="1" applyAlignment="1">
      <alignment horizontal="left"/>
    </xf>
    <xf numFmtId="44" fontId="8" fillId="0" borderId="2" xfId="2" applyFont="1" applyBorder="1"/>
    <xf numFmtId="44" fontId="36" fillId="0" borderId="0" xfId="2" applyFont="1"/>
    <xf numFmtId="43" fontId="3" fillId="0" borderId="6" xfId="1" applyFont="1" applyBorder="1"/>
    <xf numFmtId="165" fontId="32" fillId="0" borderId="0" xfId="1" applyNumberFormat="1" applyFont="1" applyAlignment="1">
      <alignment horizontal="left" indent="3"/>
    </xf>
    <xf numFmtId="43" fontId="32" fillId="0" borderId="6" xfId="1" applyFont="1" applyBorder="1"/>
    <xf numFmtId="165" fontId="5" fillId="0" borderId="0" xfId="1" applyNumberFormat="1" applyFont="1" applyFill="1" applyAlignment="1">
      <alignment horizontal="left"/>
    </xf>
    <xf numFmtId="165" fontId="32" fillId="0" borderId="6" xfId="1" applyNumberFormat="1" applyFont="1" applyBorder="1"/>
    <xf numFmtId="43" fontId="32" fillId="0" borderId="0" xfId="1" applyFont="1"/>
    <xf numFmtId="165" fontId="41" fillId="0" borderId="0" xfId="1" applyNumberFormat="1" applyFont="1" applyAlignment="1">
      <alignment horizontal="left" indent="4"/>
    </xf>
    <xf numFmtId="165" fontId="41" fillId="0" borderId="0" xfId="1" applyNumberFormat="1" applyFont="1" applyAlignment="1"/>
    <xf numFmtId="44" fontId="15" fillId="17" borderId="0" xfId="2" applyFont="1" applyFill="1" applyAlignme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3" fillId="17" borderId="1" xfId="2" applyFont="1" applyFill="1" applyBorder="1"/>
    <xf numFmtId="165" fontId="3" fillId="0" borderId="1" xfId="1" applyNumberFormat="1" applyFont="1" applyBorder="1" applyAlignment="1">
      <alignment horizontal="left" indent="3"/>
    </xf>
    <xf numFmtId="44" fontId="9" fillId="17" borderId="1" xfId="2" applyFont="1" applyFill="1" applyBorder="1"/>
    <xf numFmtId="165" fontId="1" fillId="0" borderId="6" xfId="1" applyNumberFormat="1" applyFont="1" applyBorder="1"/>
    <xf numFmtId="165" fontId="3" fillId="0" borderId="2" xfId="1" applyNumberFormat="1" applyFont="1" applyBorder="1"/>
    <xf numFmtId="165" fontId="32" fillId="0" borderId="2" xfId="1" applyNumberFormat="1" applyFont="1" applyBorder="1" applyAlignment="1">
      <alignment horizontal="left" indent="3"/>
    </xf>
    <xf numFmtId="165" fontId="3" fillId="0" borderId="6" xfId="1" applyNumberFormat="1" applyFont="1" applyBorder="1" applyAlignment="1">
      <alignment horizontal="left" indent="3"/>
    </xf>
    <xf numFmtId="165" fontId="41" fillId="0" borderId="6" xfId="1" applyNumberFormat="1" applyFont="1" applyBorder="1" applyAlignment="1"/>
    <xf numFmtId="44" fontId="8" fillId="0" borderId="6" xfId="2" applyFont="1" applyBorder="1"/>
    <xf numFmtId="165" fontId="41" fillId="0" borderId="6" xfId="1" applyNumberFormat="1" applyFont="1" applyBorder="1" applyAlignment="1">
      <alignment horizontal="left"/>
    </xf>
    <xf numFmtId="165" fontId="32" fillId="0" borderId="6" xfId="1" applyNumberFormat="1" applyFont="1" applyBorder="1" applyAlignment="1">
      <alignment horizontal="left" indent="3"/>
    </xf>
    <xf numFmtId="165" fontId="36" fillId="0" borderId="6" xfId="1" applyNumberFormat="1" applyFont="1" applyBorder="1"/>
    <xf numFmtId="165" fontId="8" fillId="0" borderId="0" xfId="1" applyNumberFormat="1" applyFont="1" applyAlignment="1">
      <alignment horizontal="left"/>
    </xf>
    <xf numFmtId="44" fontId="9" fillId="18" borderId="0" xfId="2" applyFont="1" applyFill="1"/>
    <xf numFmtId="165" fontId="32" fillId="0" borderId="0" xfId="1" applyNumberFormat="1" applyFont="1" applyAlignmen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 applyBorder="1"/>
    <xf numFmtId="165" fontId="3" fillId="0" borderId="0" xfId="1" applyNumberFormat="1" applyFont="1" applyBorder="1" applyAlignment="1">
      <alignment horizontal="left" indent="3"/>
    </xf>
    <xf numFmtId="44" fontId="9" fillId="18" borderId="0" xfId="2" applyFont="1" applyFill="1" applyBorder="1"/>
    <xf numFmtId="165" fontId="32" fillId="0" borderId="0" xfId="1" applyNumberFormat="1" applyFont="1" applyBorder="1" applyAlignment="1"/>
    <xf numFmtId="165" fontId="1" fillId="0" borderId="1" xfId="1" applyNumberFormat="1" applyFont="1" applyBorder="1"/>
    <xf numFmtId="165" fontId="3" fillId="0" borderId="1" xfId="1" applyNumberFormat="1" applyFont="1" applyBorder="1" applyAlignment="1">
      <alignment horizontal="center"/>
    </xf>
    <xf numFmtId="44" fontId="3" fillId="0" borderId="1" xfId="2" applyFont="1" applyBorder="1"/>
    <xf numFmtId="165" fontId="5" fillId="15" borderId="0" xfId="1" applyNumberFormat="1" applyFont="1" applyFill="1" applyBorder="1"/>
    <xf numFmtId="165" fontId="3" fillId="0" borderId="0" xfId="1" applyNumberFormat="1" applyFont="1" applyFill="1" applyBorder="1" applyAlignment="1">
      <alignment horizontal="left"/>
    </xf>
    <xf numFmtId="165" fontId="32" fillId="15" borderId="0" xfId="1" applyNumberFormat="1" applyFont="1" applyFill="1" applyBorder="1"/>
    <xf numFmtId="44" fontId="9" fillId="18" borderId="1" xfId="2" applyFont="1" applyFill="1" applyBorder="1"/>
    <xf numFmtId="165" fontId="3" fillId="0" borderId="0" xfId="1" applyNumberFormat="1" applyFont="1" applyBorder="1"/>
    <xf numFmtId="49" fontId="8" fillId="0" borderId="0" xfId="1" applyNumberFormat="1" applyFont="1"/>
    <xf numFmtId="165" fontId="32" fillId="0" borderId="1" xfId="1" applyNumberFormat="1" applyFont="1" applyBorder="1"/>
    <xf numFmtId="165" fontId="5" fillId="0" borderId="0" xfId="1" applyNumberFormat="1" applyFont="1" applyAlignment="1">
      <alignment horizontal="left" indent="1"/>
    </xf>
    <xf numFmtId="43" fontId="3" fillId="0" borderId="2" xfId="1" applyFont="1" applyBorder="1"/>
    <xf numFmtId="165" fontId="32" fillId="0" borderId="2" xfId="1" applyNumberFormat="1" applyFont="1" applyBorder="1"/>
    <xf numFmtId="43" fontId="32" fillId="0" borderId="2" xfId="1" applyFont="1" applyBorder="1"/>
    <xf numFmtId="165" fontId="32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5" fillId="0" borderId="6" xfId="1" applyNumberFormat="1" applyFont="1" applyBorder="1"/>
    <xf numFmtId="43" fontId="3" fillId="0" borderId="0" xfId="1" applyFont="1"/>
    <xf numFmtId="165" fontId="1" fillId="0" borderId="2" xfId="1" applyNumberFormat="1" applyFont="1" applyBorder="1"/>
    <xf numFmtId="165" fontId="1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43" fontId="5" fillId="0" borderId="6" xfId="1" applyFont="1" applyBorder="1"/>
    <xf numFmtId="165" fontId="32" fillId="0" borderId="0" xfId="1" applyNumberFormat="1" applyFont="1"/>
    <xf numFmtId="165" fontId="4" fillId="0" borderId="0" xfId="1" applyNumberFormat="1" applyFont="1" applyAlignment="1">
      <alignment horizontal="center"/>
    </xf>
    <xf numFmtId="44" fontId="1" fillId="4" borderId="0" xfId="2" applyFont="1" applyFill="1"/>
    <xf numFmtId="44" fontId="1" fillId="9" borderId="0" xfId="2" applyFont="1" applyFill="1"/>
    <xf numFmtId="44" fontId="1" fillId="18" borderId="0" xfId="2" applyFont="1" applyFill="1"/>
    <xf numFmtId="44" fontId="5" fillId="19" borderId="0" xfId="2" applyFont="1" applyFill="1"/>
    <xf numFmtId="44" fontId="1" fillId="17" borderId="0" xfId="2" applyFont="1" applyFill="1"/>
    <xf numFmtId="44" fontId="5" fillId="17" borderId="0" xfId="2" applyFont="1" applyFill="1"/>
    <xf numFmtId="165" fontId="32" fillId="0" borderId="0" xfId="1" applyNumberFormat="1" applyFont="1" applyFill="1"/>
    <xf numFmtId="44" fontId="36" fillId="0" borderId="2" xfId="2" applyFont="1" applyBorder="1"/>
    <xf numFmtId="44" fontId="36" fillId="0" borderId="0" xfId="2" applyFont="1" applyBorder="1"/>
    <xf numFmtId="0" fontId="1" fillId="0" borderId="0" xfId="1" applyNumberFormat="1" applyFont="1" applyAlignment="1">
      <alignment horizontal="left" indent="2"/>
    </xf>
    <xf numFmtId="43" fontId="8" fillId="0" borderId="2" xfId="1" applyFont="1" applyFill="1" applyBorder="1"/>
    <xf numFmtId="165" fontId="46" fillId="0" borderId="0" xfId="1" applyNumberFormat="1" applyFont="1" applyFill="1"/>
    <xf numFmtId="43" fontId="1" fillId="0" borderId="0" xfId="1" applyFont="1" applyFill="1" applyAlignment="1">
      <alignment horizontal="left"/>
    </xf>
    <xf numFmtId="43" fontId="8" fillId="0" borderId="6" xfId="1" applyFont="1" applyBorder="1"/>
    <xf numFmtId="165" fontId="47" fillId="0" borderId="0" xfId="1" applyNumberFormat="1" applyFont="1" applyAlignment="1">
      <alignment horizontal="left" wrapText="1"/>
    </xf>
    <xf numFmtId="43" fontId="1" fillId="9" borderId="0" xfId="1" applyFont="1" applyFill="1"/>
    <xf numFmtId="165" fontId="46" fillId="0" borderId="0" xfId="1" applyNumberFormat="1" applyFont="1"/>
    <xf numFmtId="43" fontId="1" fillId="0" borderId="0" xfId="1" applyFont="1" applyAlignment="1">
      <alignment horizontal="left"/>
    </xf>
    <xf numFmtId="165" fontId="46" fillId="0" borderId="1" xfId="1" applyNumberFormat="1" applyFont="1" applyBorder="1"/>
    <xf numFmtId="165" fontId="5" fillId="0" borderId="0" xfId="1" applyNumberFormat="1" applyFont="1" applyBorder="1"/>
    <xf numFmtId="0" fontId="48" fillId="0" borderId="2" xfId="1" applyNumberFormat="1" applyFont="1" applyBorder="1" applyAlignment="1">
      <alignment horizontal="left" indent="1"/>
    </xf>
    <xf numFmtId="43" fontId="8" fillId="3" borderId="2" xfId="1" applyFont="1" applyFill="1" applyBorder="1" applyAlignment="1">
      <alignment horizontal="left"/>
    </xf>
    <xf numFmtId="165" fontId="36" fillId="0" borderId="0" xfId="1" applyNumberFormat="1" applyFont="1" applyBorder="1"/>
    <xf numFmtId="43" fontId="1" fillId="0" borderId="0" xfId="1" applyFont="1" applyBorder="1" applyAlignment="1">
      <alignment horizontal="left"/>
    </xf>
    <xf numFmtId="43" fontId="4" fillId="0" borderId="0" xfId="1" applyFont="1"/>
    <xf numFmtId="165" fontId="36" fillId="0" borderId="0" xfId="1" applyNumberFormat="1" applyFont="1" applyFill="1" applyBorder="1"/>
    <xf numFmtId="43" fontId="1" fillId="0" borderId="6" xfId="1" applyFont="1" applyFill="1" applyBorder="1" applyAlignment="1">
      <alignment horizontal="left"/>
    </xf>
    <xf numFmtId="49" fontId="1" fillId="15" borderId="0" xfId="0" applyNumberFormat="1" applyFont="1" applyFill="1" applyAlignment="1">
      <alignment horizontal="right"/>
    </xf>
    <xf numFmtId="49" fontId="3" fillId="15" borderId="0" xfId="0" applyNumberFormat="1" applyFont="1" applyFill="1" applyAlignment="1">
      <alignment horizontal="right"/>
    </xf>
    <xf numFmtId="43" fontId="4" fillId="0" borderId="0" xfId="1" applyFont="1" applyBorder="1"/>
    <xf numFmtId="0" fontId="5" fillId="0" borderId="0" xfId="1" applyNumberFormat="1" applyFont="1"/>
    <xf numFmtId="15" fontId="5" fillId="0" borderId="0" xfId="1" applyNumberFormat="1" applyFont="1"/>
    <xf numFmtId="49" fontId="1" fillId="7" borderId="0" xfId="0" applyNumberFormat="1" applyFont="1" applyFill="1" applyAlignment="1">
      <alignment horizontal="center"/>
    </xf>
    <xf numFmtId="165" fontId="5" fillId="0" borderId="0" xfId="1" applyNumberFormat="1" applyFont="1" applyFill="1"/>
    <xf numFmtId="49" fontId="1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6" fillId="0" borderId="3" xfId="1" applyNumberFormat="1" applyFont="1" applyBorder="1"/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6" xfId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Font="1" applyBorder="1"/>
    <xf numFmtId="169" fontId="36" fillId="0" borderId="0" xfId="1" applyNumberFormat="1" applyFont="1"/>
    <xf numFmtId="169" fontId="5" fillId="0" borderId="0" xfId="1" applyNumberFormat="1" applyFont="1"/>
    <xf numFmtId="165" fontId="5" fillId="0" borderId="0" xfId="4" applyNumberFormat="1" applyFont="1" applyFill="1"/>
    <xf numFmtId="0" fontId="3" fillId="0" borderId="0" xfId="3" applyAlignment="1">
      <alignment horizontal="center"/>
    </xf>
    <xf numFmtId="44" fontId="3" fillId="0" borderId="0" xfId="3" applyNumberFormat="1"/>
    <xf numFmtId="0" fontId="9" fillId="0" borderId="0" xfId="3" applyFont="1" applyAlignment="1">
      <alignment horizontal="center"/>
    </xf>
    <xf numFmtId="0" fontId="9" fillId="0" borderId="11" xfId="3" applyFont="1" applyBorder="1" applyAlignment="1">
      <alignment horizontal="center"/>
    </xf>
    <xf numFmtId="0" fontId="1" fillId="0" borderId="0" xfId="3" applyFont="1" applyAlignment="1">
      <alignment horizontal="right"/>
    </xf>
    <xf numFmtId="44" fontId="1" fillId="0" borderId="0" xfId="3" applyNumberFormat="1" applyFont="1" applyAlignment="1">
      <alignment horizontal="right"/>
    </xf>
    <xf numFmtId="165" fontId="3" fillId="0" borderId="0" xfId="4" applyNumberFormat="1" applyFont="1" applyFill="1"/>
    <xf numFmtId="44" fontId="1" fillId="0" borderId="0" xfId="3" applyNumberFormat="1" applyFont="1"/>
    <xf numFmtId="44" fontId="1" fillId="0" borderId="4" xfId="3" applyNumberFormat="1" applyFont="1" applyBorder="1"/>
    <xf numFmtId="0" fontId="1" fillId="0" borderId="0" xfId="3" applyFont="1"/>
    <xf numFmtId="49" fontId="7" fillId="0" borderId="4" xfId="3" applyNumberFormat="1" applyFont="1" applyBorder="1" applyAlignment="1">
      <alignment horizontal="center"/>
    </xf>
    <xf numFmtId="49" fontId="7" fillId="0" borderId="0" xfId="3" applyNumberFormat="1" applyFont="1" applyAlignment="1">
      <alignment horizontal="center"/>
    </xf>
    <xf numFmtId="44" fontId="9" fillId="0" borderId="4" xfId="3" applyNumberFormat="1" applyFont="1" applyBorder="1" applyAlignment="1">
      <alignment horizontal="center"/>
    </xf>
    <xf numFmtId="44" fontId="1" fillId="0" borderId="9" xfId="3" applyNumberFormat="1" applyFont="1" applyBorder="1" applyAlignment="1">
      <alignment horizontal="left"/>
    </xf>
    <xf numFmtId="44" fontId="1" fillId="0" borderId="0" xfId="3" applyNumberFormat="1" applyFont="1" applyAlignment="1">
      <alignment horizontal="center"/>
    </xf>
    <xf numFmtId="0" fontId="1" fillId="0" borderId="4" xfId="3" applyFont="1" applyBorder="1"/>
    <xf numFmtId="0" fontId="1" fillId="0" borderId="9" xfId="3" applyFont="1" applyBorder="1"/>
    <xf numFmtId="44" fontId="8" fillId="0" borderId="2" xfId="3" applyNumberFormat="1" applyFont="1" applyBorder="1"/>
    <xf numFmtId="44" fontId="8" fillId="0" borderId="10" xfId="3" applyNumberFormat="1" applyFont="1" applyBorder="1"/>
    <xf numFmtId="0" fontId="4" fillId="0" borderId="2" xfId="3" applyFont="1" applyBorder="1"/>
    <xf numFmtId="0" fontId="1" fillId="0" borderId="2" xfId="3" applyFont="1" applyBorder="1"/>
    <xf numFmtId="44" fontId="1" fillId="0" borderId="4" xfId="5" applyFont="1" applyFill="1" applyBorder="1"/>
    <xf numFmtId="44" fontId="1" fillId="0" borderId="0" xfId="5" applyFont="1" applyFill="1"/>
    <xf numFmtId="0" fontId="1" fillId="0" borderId="1" xfId="3" applyFont="1" applyBorder="1"/>
    <xf numFmtId="44" fontId="3" fillId="0" borderId="0" xfId="3" applyNumberFormat="1" applyAlignment="1">
      <alignment horizontal="left"/>
    </xf>
    <xf numFmtId="0" fontId="1" fillId="0" borderId="9" xfId="5" applyNumberFormat="1" applyFont="1" applyFill="1" applyBorder="1" applyAlignment="1">
      <alignment horizontal="left"/>
    </xf>
    <xf numFmtId="44" fontId="1" fillId="0" borderId="9" xfId="5" applyFont="1" applyFill="1" applyBorder="1"/>
    <xf numFmtId="44" fontId="1" fillId="0" borderId="0" xfId="5" applyFont="1" applyFill="1" applyBorder="1"/>
    <xf numFmtId="44" fontId="1" fillId="0" borderId="8" xfId="5" applyFont="1" applyFill="1" applyBorder="1"/>
    <xf numFmtId="44" fontId="1" fillId="0" borderId="1" xfId="3" applyNumberFormat="1" applyFont="1" applyBorder="1"/>
    <xf numFmtId="44" fontId="1" fillId="0" borderId="5" xfId="5" applyFont="1" applyFill="1" applyBorder="1"/>
    <xf numFmtId="44" fontId="1" fillId="0" borderId="1" xfId="5" applyFont="1" applyFill="1" applyBorder="1"/>
    <xf numFmtId="44" fontId="1" fillId="0" borderId="7" xfId="3" applyNumberFormat="1" applyFont="1" applyBorder="1" applyAlignment="1">
      <alignment horizontal="center"/>
    </xf>
    <xf numFmtId="44" fontId="1" fillId="0" borderId="4" xfId="3" applyNumberFormat="1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0" borderId="5" xfId="3" applyFont="1" applyBorder="1" applyAlignment="1">
      <alignment horizontal="center"/>
    </xf>
    <xf numFmtId="0" fontId="8" fillId="0" borderId="1" xfId="3" applyFont="1" applyBorder="1"/>
    <xf numFmtId="0" fontId="7" fillId="0" borderId="0" xfId="3" applyFont="1" applyAlignment="1">
      <alignment horizontal="center"/>
    </xf>
    <xf numFmtId="0" fontId="7" fillId="0" borderId="4" xfId="3" applyFont="1" applyBorder="1" applyAlignment="1">
      <alignment horizontal="center"/>
    </xf>
    <xf numFmtId="0" fontId="4" fillId="0" borderId="0" xfId="3" applyFont="1"/>
    <xf numFmtId="0" fontId="3" fillId="0" borderId="1" xfId="3" applyBorder="1" applyAlignment="1">
      <alignment horizontal="center"/>
    </xf>
    <xf numFmtId="0" fontId="3" fillId="0" borderId="3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165" fontId="15" fillId="0" borderId="0" xfId="1" applyNumberFormat="1" applyFont="1" applyAlignment="1">
      <alignment horizontal="left"/>
    </xf>
    <xf numFmtId="49" fontId="1" fillId="0" borderId="0" xfId="0" applyNumberFormat="1" applyFont="1"/>
    <xf numFmtId="164" fontId="14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8" fillId="5" borderId="1" xfId="1" applyNumberFormat="1" applyFont="1" applyFill="1" applyBorder="1" applyAlignment="1">
      <alignment horizontal="left"/>
    </xf>
    <xf numFmtId="165" fontId="39" fillId="0" borderId="0" xfId="1" applyNumberFormat="1" applyFont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164" fontId="21" fillId="0" borderId="0" xfId="1" applyNumberFormat="1" applyFont="1" applyBorder="1" applyAlignment="1">
      <alignment horizontal="center"/>
    </xf>
    <xf numFmtId="164" fontId="37" fillId="0" borderId="0" xfId="1" applyNumberFormat="1" applyFont="1" applyBorder="1" applyAlignment="1">
      <alignment horizontal="left"/>
    </xf>
    <xf numFmtId="165" fontId="38" fillId="0" borderId="0" xfId="1" applyNumberFormat="1" applyFont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165" fontId="21" fillId="0" borderId="0" xfId="1" applyNumberFormat="1" applyFont="1" applyBorder="1" applyAlignment="1">
      <alignment horizontal="center"/>
    </xf>
    <xf numFmtId="0" fontId="3" fillId="0" borderId="1" xfId="3" applyBorder="1" applyAlignment="1">
      <alignment horizontal="center"/>
    </xf>
    <xf numFmtId="0" fontId="3" fillId="0" borderId="0" xfId="3" applyAlignment="1">
      <alignment horizontal="left"/>
    </xf>
    <xf numFmtId="49" fontId="3" fillId="0" borderId="0" xfId="3" applyNumberFormat="1"/>
    <xf numFmtId="49" fontId="3" fillId="0" borderId="0" xfId="3" applyNumberFormat="1" applyAlignment="1">
      <alignment horizontal="right"/>
    </xf>
    <xf numFmtId="39" fontId="3" fillId="0" borderId="0" xfId="3" applyNumberFormat="1"/>
    <xf numFmtId="0" fontId="4" fillId="0" borderId="0" xfId="3" applyFont="1" applyAlignment="1">
      <alignment horizontal="center"/>
    </xf>
    <xf numFmtId="14" fontId="33" fillId="0" borderId="0" xfId="3" applyNumberFormat="1" applyFont="1" applyAlignment="1">
      <alignment horizontal="center"/>
    </xf>
    <xf numFmtId="166" fontId="3" fillId="0" borderId="0" xfId="2" applyNumberFormat="1" applyBorder="1"/>
    <xf numFmtId="49" fontId="1" fillId="0" borderId="0" xfId="3" applyNumberFormat="1" applyFont="1"/>
    <xf numFmtId="44" fontId="4" fillId="8" borderId="0" xfId="3" applyNumberFormat="1" applyFont="1" applyFill="1" applyAlignment="1">
      <alignment horizontal="center"/>
    </xf>
    <xf numFmtId="44" fontId="4" fillId="6" borderId="0" xfId="3" applyNumberFormat="1" applyFont="1" applyFill="1" applyAlignment="1">
      <alignment horizontal="center"/>
    </xf>
    <xf numFmtId="49" fontId="4" fillId="0" borderId="0" xfId="3" applyNumberFormat="1" applyFont="1"/>
    <xf numFmtId="0" fontId="4" fillId="0" borderId="0" xfId="3" applyFont="1" applyAlignment="1">
      <alignment horizontal="left" indent="1"/>
    </xf>
    <xf numFmtId="44" fontId="6" fillId="0" borderId="0" xfId="3" applyNumberFormat="1" applyFont="1"/>
    <xf numFmtId="44" fontId="4" fillId="0" borderId="0" xfId="3" applyNumberFormat="1" applyFont="1"/>
    <xf numFmtId="49" fontId="3" fillId="0" borderId="0" xfId="3" applyNumberFormat="1" applyAlignment="1">
      <alignment horizontal="center"/>
    </xf>
    <xf numFmtId="0" fontId="3" fillId="0" borderId="0" xfId="3" applyAlignment="1">
      <alignment horizontal="left" indent="1"/>
    </xf>
    <xf numFmtId="165" fontId="0" fillId="0" borderId="0" xfId="1" applyNumberFormat="1" applyFont="1"/>
    <xf numFmtId="170" fontId="19" fillId="12" borderId="0" xfId="2" applyNumberFormat="1" applyFont="1" applyFill="1"/>
    <xf numFmtId="166" fontId="29" fillId="3" borderId="0" xfId="2" applyNumberFormat="1" applyFont="1" applyFill="1"/>
    <xf numFmtId="44" fontId="1" fillId="0" borderId="0" xfId="3" applyNumberFormat="1" applyFont="1" applyAlignment="1">
      <alignment horizontal="left"/>
    </xf>
    <xf numFmtId="165" fontId="25" fillId="0" borderId="0" xfId="1" applyNumberFormat="1" applyFont="1"/>
    <xf numFmtId="165" fontId="25" fillId="0" borderId="6" xfId="1" applyNumberFormat="1" applyFont="1" applyBorder="1"/>
    <xf numFmtId="170" fontId="29" fillId="3" borderId="0" xfId="2" applyNumberFormat="1" applyFont="1" applyFill="1"/>
    <xf numFmtId="44" fontId="15" fillId="0" borderId="0" xfId="3" applyNumberFormat="1" applyFont="1"/>
    <xf numFmtId="0" fontId="20" fillId="0" borderId="0" xfId="3" applyFont="1" applyAlignment="1">
      <alignment horizontal="center"/>
    </xf>
    <xf numFmtId="0" fontId="20" fillId="0" borderId="0" xfId="3" applyFont="1" applyAlignment="1">
      <alignment horizontal="left"/>
    </xf>
    <xf numFmtId="49" fontId="3" fillId="5" borderId="1" xfId="3" applyNumberForma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center"/>
    </xf>
    <xf numFmtId="17" fontId="18" fillId="0" borderId="0" xfId="3" applyNumberFormat="1" applyFont="1" applyAlignment="1">
      <alignment horizontal="center"/>
    </xf>
    <xf numFmtId="39" fontId="3" fillId="0" borderId="0" xfId="3" applyNumberFormat="1" applyAlignment="1">
      <alignment horizontal="left"/>
    </xf>
    <xf numFmtId="39" fontId="15" fillId="0" borderId="0" xfId="3" applyNumberFormat="1" applyFont="1"/>
    <xf numFmtId="49" fontId="3" fillId="5" borderId="0" xfId="3" applyNumberFormat="1" applyFill="1" applyAlignment="1">
      <alignment horizontal="center"/>
    </xf>
    <xf numFmtId="49" fontId="4" fillId="5" borderId="0" xfId="3" applyNumberFormat="1" applyFont="1" applyFill="1"/>
    <xf numFmtId="49" fontId="4" fillId="5" borderId="0" xfId="3" applyNumberFormat="1" applyFont="1" applyFill="1" applyAlignment="1">
      <alignment horizontal="center"/>
    </xf>
    <xf numFmtId="0" fontId="18" fillId="0" borderId="0" xfId="3" applyFont="1" applyAlignment="1">
      <alignment horizontal="center"/>
    </xf>
    <xf numFmtId="49" fontId="3" fillId="5" borderId="0" xfId="3" applyNumberFormat="1" applyFill="1"/>
    <xf numFmtId="0" fontId="3" fillId="5" borderId="0" xfId="3" applyFill="1"/>
    <xf numFmtId="49" fontId="14" fillId="0" borderId="0" xfId="3" applyNumberFormat="1" applyFont="1" applyAlignment="1">
      <alignment vertical="center"/>
    </xf>
    <xf numFmtId="49" fontId="2" fillId="0" borderId="0" xfId="3" applyNumberFormat="1" applyFont="1" applyAlignment="1">
      <alignment vertical="center"/>
    </xf>
    <xf numFmtId="49" fontId="14" fillId="0" borderId="0" xfId="3" applyNumberFormat="1" applyFont="1" applyAlignment="1">
      <alignment horizontal="left" vertical="center"/>
    </xf>
    <xf numFmtId="49" fontId="14" fillId="0" borderId="0" xfId="3" applyNumberFormat="1" applyFont="1" applyAlignment="1">
      <alignment horizontal="center" vertical="center"/>
    </xf>
    <xf numFmtId="49" fontId="14" fillId="0" borderId="0" xfId="3" applyNumberFormat="1" applyFont="1" applyAlignment="1">
      <alignment vertical="top"/>
    </xf>
    <xf numFmtId="164" fontId="14" fillId="0" borderId="0" xfId="3" applyNumberFormat="1" applyFont="1" applyAlignment="1">
      <alignment horizontal="center" vertical="center" wrapText="1"/>
    </xf>
    <xf numFmtId="49" fontId="1" fillId="0" borderId="0" xfId="3" applyNumberFormat="1" applyFont="1"/>
    <xf numFmtId="49" fontId="16" fillId="0" borderId="0" xfId="3" applyNumberFormat="1" applyFont="1" applyAlignment="1">
      <alignment horizontal="left"/>
    </xf>
    <xf numFmtId="49" fontId="14" fillId="0" borderId="0" xfId="3" applyNumberFormat="1" applyFont="1" applyAlignment="1">
      <alignment horizontal="center" vertical="center" wrapText="1"/>
    </xf>
  </cellXfs>
  <cellStyles count="6">
    <cellStyle name="Comma" xfId="1" builtinId="3"/>
    <cellStyle name="Comma 3" xfId="4" xr:uid="{8AAD13C4-FC7B-451B-AF0B-6AD4B49F93FE}"/>
    <cellStyle name="Currency" xfId="2" builtinId="4"/>
    <cellStyle name="Currency 3" xfId="5" xr:uid="{F99EFD28-BFA0-43AA-A5B7-D4B9C8E2735A}"/>
    <cellStyle name="Normal" xfId="0" builtinId="0"/>
    <cellStyle name="Normal 3" xfId="3" xr:uid="{BA2FFE10-87F9-4ADA-A886-C04CEE66BD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G-210711%20CNGC%20Monthly%20PGA%20Rpt%20December%202021,%2012.22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GASCOST/Gas%20Cost%20CY2021/Gas%20Supply%20Analysis/10-2021%20Gas%20Supply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Deferrals/Deferrals%202021/11-2021/PGA%20Allocations%2011-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Deferrals/Deferrals%202021/11-2021/PGA%20Allocations%2011-2021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1910.01253"/>
      <sheetName val="DG 1910.01254"/>
      <sheetName val="DG 1910.01288"/>
      <sheetName val="DG 1910.01286"/>
      <sheetName val="DG 2530.01289"/>
      <sheetName val="RA 1860.20479"/>
      <sheetName val="RA 1823.47020430"/>
      <sheetName val="RA 1823.47020431"/>
      <sheetName val="RA 1823.47020444"/>
      <sheetName val="RA 1823.47020449"/>
      <sheetName val="RA 1862.20477"/>
      <sheetName val="RA 1860.20460-exp only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3.2500000000000001E-2</v>
          </cell>
          <cell r="C103">
            <v>31</v>
          </cell>
        </row>
        <row r="104">
          <cell r="A104">
            <v>44165</v>
          </cell>
          <cell r="B104">
            <v>3.2500000000000001E-2</v>
          </cell>
          <cell r="C104">
            <v>30</v>
          </cell>
        </row>
        <row r="105">
          <cell r="A105">
            <v>44196</v>
          </cell>
          <cell r="B105">
            <v>3.2500000000000001E-2</v>
          </cell>
          <cell r="C105">
            <v>31</v>
          </cell>
        </row>
        <row r="106">
          <cell r="A106">
            <v>44227</v>
          </cell>
          <cell r="B106">
            <v>3.2500000000000001E-2</v>
          </cell>
          <cell r="C106">
            <v>31</v>
          </cell>
        </row>
        <row r="107">
          <cell r="A107">
            <v>44255</v>
          </cell>
          <cell r="B107">
            <v>3.2500000000000001E-2</v>
          </cell>
          <cell r="C107">
            <v>28</v>
          </cell>
        </row>
        <row r="108">
          <cell r="A108">
            <v>44286</v>
          </cell>
          <cell r="B108">
            <v>3.2500000000000001E-2</v>
          </cell>
          <cell r="C108">
            <v>31</v>
          </cell>
        </row>
        <row r="109">
          <cell r="A109">
            <v>44316</v>
          </cell>
          <cell r="B109">
            <v>3.2500000000000001E-2</v>
          </cell>
          <cell r="C109">
            <v>30</v>
          </cell>
        </row>
        <row r="110">
          <cell r="A110">
            <v>44347</v>
          </cell>
          <cell r="B110">
            <v>3.2500000000000001E-2</v>
          </cell>
          <cell r="C110">
            <v>31</v>
          </cell>
        </row>
        <row r="111">
          <cell r="A111">
            <v>44377</v>
          </cell>
          <cell r="B111">
            <v>3.2500000000000001E-2</v>
          </cell>
          <cell r="C111">
            <v>30</v>
          </cell>
        </row>
        <row r="112">
          <cell r="A112">
            <v>44408</v>
          </cell>
          <cell r="B112">
            <v>3.2500000000000001E-2</v>
          </cell>
          <cell r="C112">
            <v>31</v>
          </cell>
        </row>
        <row r="113">
          <cell r="A113">
            <v>44439</v>
          </cell>
          <cell r="B113">
            <v>3.2500000000000001E-2</v>
          </cell>
          <cell r="C113">
            <v>31</v>
          </cell>
        </row>
        <row r="114">
          <cell r="A114">
            <v>44469</v>
          </cell>
          <cell r="B114">
            <v>3.2500000000000001E-2</v>
          </cell>
          <cell r="C114">
            <v>30</v>
          </cell>
        </row>
        <row r="115">
          <cell r="A115">
            <v>44500</v>
          </cell>
          <cell r="B115">
            <v>3.2500000000000001E-2</v>
          </cell>
          <cell r="C115">
            <v>31</v>
          </cell>
        </row>
        <row r="116">
          <cell r="A116">
            <v>44530</v>
          </cell>
          <cell r="B116">
            <v>3.2500000000000001E-2</v>
          </cell>
          <cell r="C116">
            <v>30</v>
          </cell>
        </row>
        <row r="117">
          <cell r="A117">
            <v>44561</v>
          </cell>
          <cell r="B117">
            <v>3.2500000000000001E-2</v>
          </cell>
          <cell r="C117">
            <v>31</v>
          </cell>
        </row>
        <row r="118">
          <cell r="A118">
            <v>44592</v>
          </cell>
          <cell r="B118">
            <v>3.2500000000000001E-2</v>
          </cell>
          <cell r="C118">
            <v>31</v>
          </cell>
        </row>
        <row r="119">
          <cell r="A119">
            <v>44620</v>
          </cell>
          <cell r="B119">
            <v>3.2500000000000001E-2</v>
          </cell>
          <cell r="C119">
            <v>28</v>
          </cell>
        </row>
        <row r="120">
          <cell r="A120">
            <v>44651</v>
          </cell>
          <cell r="B120">
            <v>3.2500000000000001E-2</v>
          </cell>
          <cell r="C120">
            <v>31</v>
          </cell>
        </row>
        <row r="121">
          <cell r="A121">
            <v>44681</v>
          </cell>
          <cell r="B121">
            <v>3.2500000000000001E-2</v>
          </cell>
          <cell r="C121">
            <v>30</v>
          </cell>
        </row>
        <row r="122">
          <cell r="A122">
            <v>44712</v>
          </cell>
          <cell r="B122">
            <v>3.2500000000000001E-2</v>
          </cell>
          <cell r="C122">
            <v>31</v>
          </cell>
        </row>
        <row r="123">
          <cell r="A123">
            <v>44742</v>
          </cell>
          <cell r="B123">
            <v>3.2500000000000001E-2</v>
          </cell>
          <cell r="C123">
            <v>30</v>
          </cell>
        </row>
        <row r="124">
          <cell r="A124">
            <v>44773</v>
          </cell>
          <cell r="B124">
            <v>3.2500000000000001E-2</v>
          </cell>
          <cell r="C124">
            <v>31</v>
          </cell>
        </row>
        <row r="125">
          <cell r="A125">
            <v>44804</v>
          </cell>
          <cell r="B125">
            <v>3.2500000000000001E-2</v>
          </cell>
          <cell r="C125">
            <v>31</v>
          </cell>
        </row>
        <row r="126">
          <cell r="A126">
            <v>44834</v>
          </cell>
          <cell r="B126">
            <v>3.2500000000000001E-2</v>
          </cell>
          <cell r="C126">
            <v>30</v>
          </cell>
        </row>
        <row r="127">
          <cell r="A127">
            <v>44865</v>
          </cell>
          <cell r="B127">
            <v>3.2500000000000001E-2</v>
          </cell>
          <cell r="C127">
            <v>31</v>
          </cell>
        </row>
        <row r="128">
          <cell r="A128">
            <v>44895</v>
          </cell>
          <cell r="B128">
            <v>3.2500000000000001E-2</v>
          </cell>
          <cell r="C128">
            <v>30</v>
          </cell>
        </row>
        <row r="129">
          <cell r="A129">
            <v>44926</v>
          </cell>
          <cell r="B129">
            <v>3.2500000000000001E-2</v>
          </cell>
          <cell r="C129">
            <v>31</v>
          </cell>
        </row>
      </sheetData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Demand backup"/>
      <sheetName val="Invoices"/>
      <sheetName val="True-Up"/>
      <sheetName val="Imbal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8">
          <cell r="N68">
            <v>-22390.049999999981</v>
          </cell>
        </row>
      </sheetData>
      <sheetData sheetId="8"/>
      <sheetData sheetId="9">
        <row r="46">
          <cell r="R46">
            <v>-893395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"/>
      <sheetName val="WA Rates (2)"/>
      <sheetName val="OR Rates"/>
      <sheetName val="OR Rates (2)"/>
      <sheetName val="Core Cost Incur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44525</v>
          </cell>
        </row>
        <row r="43">
          <cell r="K43">
            <v>12311340.119999997</v>
          </cell>
        </row>
        <row r="44">
          <cell r="K44">
            <v>4247839.26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"/>
      <sheetName val="OR Rates"/>
      <sheetName val="OR Rates (2)"/>
      <sheetName val="Core Cost Incurre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2">
          <cell r="B2">
            <v>44525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4461-B318-49F4-81D9-46768D309E29}">
  <dimension ref="B1:AL106"/>
  <sheetViews>
    <sheetView showGridLines="0" topLeftCell="A13" zoomScaleNormal="100" workbookViewId="0">
      <selection activeCell="G42" sqref="G42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25" customWidth="1"/>
    <col min="4" max="4" width="3.5703125" style="20" hidden="1" customWidth="1"/>
    <col min="5" max="5" width="4" style="20" bestFit="1" customWidth="1"/>
    <col min="6" max="6" width="13.7109375" style="20" customWidth="1"/>
    <col min="7" max="7" width="15" style="87" bestFit="1" customWidth="1"/>
    <col min="8" max="8" width="12.5703125" style="88" customWidth="1"/>
    <col min="9" max="9" width="15" style="88" bestFit="1" customWidth="1"/>
    <col min="10" max="10" width="14" style="88" bestFit="1" customWidth="1"/>
    <col min="11" max="12" width="16.140625" style="88" bestFit="1" customWidth="1"/>
    <col min="13" max="13" width="14.5703125" style="88" bestFit="1" customWidth="1"/>
    <col min="14" max="14" width="16.85546875" style="88" bestFit="1" customWidth="1"/>
    <col min="15" max="15" width="8.28515625" style="88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style="18" bestFit="1" customWidth="1"/>
    <col min="25" max="25" width="14.7109375" style="8" bestFit="1" customWidth="1"/>
    <col min="26" max="26" width="12.85546875" bestFit="1" customWidth="1"/>
    <col min="27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1" ht="14.25" customHeight="1" x14ac:dyDescent="0.2">
      <c r="B1" s="1" t="s">
        <v>25</v>
      </c>
      <c r="C1" s="19"/>
      <c r="E1" s="365" t="s">
        <v>26</v>
      </c>
      <c r="F1" s="365"/>
      <c r="G1" s="365"/>
      <c r="H1" s="365"/>
      <c r="I1" s="365"/>
      <c r="J1" s="365"/>
      <c r="K1" s="365"/>
      <c r="L1" s="364"/>
      <c r="M1" s="364"/>
      <c r="N1" s="364"/>
      <c r="O1" s="364"/>
      <c r="P1" s="364"/>
      <c r="Q1" s="21"/>
      <c r="R1" s="21"/>
      <c r="S1" s="21"/>
      <c r="T1" s="21"/>
      <c r="U1" s="21"/>
      <c r="V1" s="21"/>
      <c r="W1" s="21"/>
      <c r="X1" s="22"/>
      <c r="Y1" s="23"/>
      <c r="Z1" s="21"/>
      <c r="AA1" s="21"/>
      <c r="AB1" s="21"/>
      <c r="AC1" s="21"/>
    </row>
    <row r="2" spans="2:31" ht="14.25" customHeight="1" x14ac:dyDescent="0.25">
      <c r="B2" s="1" t="s">
        <v>27</v>
      </c>
      <c r="C2" s="19"/>
      <c r="D2" s="21"/>
      <c r="E2" s="365"/>
      <c r="F2" s="365"/>
      <c r="G2" s="365"/>
      <c r="H2" s="365"/>
      <c r="I2" s="365"/>
      <c r="J2" s="365"/>
      <c r="K2" s="365"/>
      <c r="L2" s="366" t="s">
        <v>28</v>
      </c>
      <c r="M2" s="366"/>
      <c r="N2" s="366"/>
      <c r="O2" s="366"/>
      <c r="P2" s="366"/>
    </row>
    <row r="3" spans="2:31" ht="14.25" customHeight="1" x14ac:dyDescent="0.25">
      <c r="B3" s="367" t="s">
        <v>29</v>
      </c>
      <c r="C3" s="367"/>
      <c r="D3" s="21"/>
      <c r="E3" s="24"/>
      <c r="F3" s="368">
        <f>'Core Cost Incurred'!B2</f>
        <v>44525</v>
      </c>
      <c r="G3" s="368"/>
      <c r="H3" s="368"/>
      <c r="I3" s="368"/>
      <c r="J3" s="368"/>
      <c r="K3" s="368"/>
      <c r="L3" s="369" t="s">
        <v>30</v>
      </c>
      <c r="M3" s="369"/>
      <c r="N3" s="369"/>
      <c r="O3" s="369"/>
      <c r="P3" s="369"/>
    </row>
    <row r="4" spans="2:31" ht="14.25" customHeight="1" x14ac:dyDescent="0.25">
      <c r="B4" s="367" t="s">
        <v>31</v>
      </c>
      <c r="C4" s="367"/>
      <c r="D4" s="21"/>
      <c r="E4" s="24"/>
      <c r="F4" s="368"/>
      <c r="G4" s="368"/>
      <c r="H4" s="368"/>
      <c r="I4" s="368"/>
      <c r="J4" s="368"/>
      <c r="K4" s="368"/>
      <c r="L4" s="370" t="s">
        <v>32</v>
      </c>
      <c r="M4" s="370"/>
      <c r="N4" s="370"/>
      <c r="O4" s="370"/>
      <c r="P4" s="370"/>
    </row>
    <row r="5" spans="2:31" ht="14.25" customHeight="1" x14ac:dyDescent="0.2">
      <c r="D5" s="21"/>
      <c r="E5" s="24"/>
      <c r="F5" s="24"/>
      <c r="G5" s="24"/>
      <c r="H5" s="24"/>
      <c r="I5" s="24"/>
      <c r="J5" s="24"/>
      <c r="K5" s="24"/>
      <c r="L5" s="364"/>
      <c r="M5" s="364"/>
      <c r="N5" s="364"/>
      <c r="O5" s="364"/>
      <c r="P5" s="364"/>
      <c r="Q5" s="21"/>
      <c r="R5" s="21"/>
      <c r="S5" s="21"/>
      <c r="T5" s="21"/>
      <c r="U5" s="21"/>
      <c r="V5" s="21"/>
      <c r="W5" s="21"/>
      <c r="X5" s="22"/>
      <c r="Y5" s="23"/>
      <c r="Z5" s="21"/>
      <c r="AA5" s="21"/>
      <c r="AB5" s="21"/>
      <c r="AC5" s="21"/>
    </row>
    <row r="6" spans="2:31" ht="15.75" x14ac:dyDescent="0.25">
      <c r="B6" s="26"/>
      <c r="C6" s="27"/>
      <c r="D6" s="28"/>
      <c r="E6" s="28"/>
      <c r="F6" s="28"/>
      <c r="G6" s="29" t="s">
        <v>33</v>
      </c>
      <c r="H6" s="30" t="s">
        <v>3</v>
      </c>
      <c r="I6" s="30" t="s">
        <v>5</v>
      </c>
      <c r="J6" s="30" t="s">
        <v>34</v>
      </c>
      <c r="K6" s="30" t="s">
        <v>3</v>
      </c>
      <c r="L6" s="30" t="s">
        <v>5</v>
      </c>
      <c r="M6" s="30"/>
      <c r="N6" s="30" t="s">
        <v>10</v>
      </c>
      <c r="O6" s="31"/>
      <c r="Q6" s="32"/>
      <c r="R6" s="33">
        <v>200294.94</v>
      </c>
      <c r="S6" s="32"/>
      <c r="T6" s="32"/>
      <c r="U6" s="33">
        <v>140046.39000000001</v>
      </c>
      <c r="V6" s="32"/>
      <c r="W6" s="32"/>
      <c r="X6" s="34"/>
      <c r="Y6" s="35"/>
      <c r="Z6" s="32"/>
      <c r="AA6" s="32"/>
      <c r="AB6" s="32"/>
      <c r="AC6" s="32"/>
      <c r="AD6" s="36"/>
    </row>
    <row r="7" spans="2:31" ht="15.75" x14ac:dyDescent="0.25">
      <c r="B7" s="37"/>
      <c r="C7" s="38"/>
      <c r="D7" s="39"/>
      <c r="E7" s="39"/>
      <c r="F7" s="40" t="s">
        <v>35</v>
      </c>
      <c r="G7" s="29" t="s">
        <v>36</v>
      </c>
      <c r="H7" s="30" t="s">
        <v>37</v>
      </c>
      <c r="I7" s="30" t="s">
        <v>37</v>
      </c>
      <c r="J7" s="30" t="s">
        <v>9</v>
      </c>
      <c r="K7" s="30" t="s">
        <v>38</v>
      </c>
      <c r="L7" s="30" t="s">
        <v>38</v>
      </c>
      <c r="M7" s="30" t="s">
        <v>34</v>
      </c>
      <c r="N7" s="30" t="s">
        <v>34</v>
      </c>
      <c r="O7" s="31"/>
      <c r="Q7" s="33">
        <v>11214374</v>
      </c>
      <c r="R7" s="33">
        <f>2345597.06+78799.97+56688.77</f>
        <v>2481085.8000000003</v>
      </c>
      <c r="S7" s="32"/>
      <c r="T7" s="33">
        <v>2845776</v>
      </c>
      <c r="U7" s="33">
        <v>459339.89</v>
      </c>
      <c r="V7" s="32"/>
      <c r="W7" s="32"/>
      <c r="X7" s="34"/>
      <c r="Y7" s="35"/>
      <c r="Z7" s="32"/>
      <c r="AA7" s="32"/>
      <c r="AB7" s="32"/>
      <c r="AC7" s="32"/>
      <c r="AD7" s="41"/>
      <c r="AE7" s="3"/>
    </row>
    <row r="8" spans="2:31" s="48" customFormat="1" x14ac:dyDescent="0.2">
      <c r="B8" s="42"/>
      <c r="C8" s="43"/>
      <c r="D8" s="42" t="s">
        <v>39</v>
      </c>
      <c r="E8" s="44" t="s">
        <v>40</v>
      </c>
      <c r="F8" s="44" t="s">
        <v>40</v>
      </c>
      <c r="G8" s="45" t="s">
        <v>41</v>
      </c>
      <c r="H8" s="46" t="s">
        <v>42</v>
      </c>
      <c r="I8" s="46" t="str">
        <f>+H8</f>
        <v>Nov 1 2020</v>
      </c>
      <c r="J8" s="46" t="str">
        <f>I8</f>
        <v>Nov 1 2020</v>
      </c>
      <c r="K8" s="47" t="s">
        <v>43</v>
      </c>
      <c r="L8" s="47" t="s">
        <v>43</v>
      </c>
      <c r="M8" s="47" t="s">
        <v>9</v>
      </c>
      <c r="N8" s="47" t="s">
        <v>43</v>
      </c>
      <c r="O8" s="31"/>
      <c r="P8"/>
      <c r="V8" s="32"/>
      <c r="X8" s="49"/>
      <c r="Y8" s="50">
        <v>1501</v>
      </c>
      <c r="Z8" s="32"/>
      <c r="AA8" s="32"/>
      <c r="AB8" s="32"/>
      <c r="AC8" s="32"/>
    </row>
    <row r="9" spans="2:31" ht="15.75" hidden="1" x14ac:dyDescent="0.25">
      <c r="B9" s="51" t="s">
        <v>44</v>
      </c>
      <c r="C9" s="25" t="s">
        <v>45</v>
      </c>
      <c r="D9" s="10">
        <v>1</v>
      </c>
      <c r="E9" s="20" t="s">
        <v>46</v>
      </c>
      <c r="F9" s="20" t="s">
        <v>47</v>
      </c>
      <c r="G9" s="52">
        <v>0</v>
      </c>
      <c r="H9" s="53"/>
      <c r="I9" s="53"/>
      <c r="J9" s="53"/>
      <c r="K9" s="54">
        <f>ROUND(H9*G9,2)</f>
        <v>0</v>
      </c>
      <c r="L9" s="54">
        <f>ROUND(G9*I9,2)</f>
        <v>0</v>
      </c>
      <c r="M9" s="55">
        <f>ROUND(G9*J9,2)</f>
        <v>0</v>
      </c>
      <c r="N9" s="54">
        <f>SUM(K9:M9)</f>
        <v>0</v>
      </c>
      <c r="O9" s="56"/>
      <c r="Q9" s="57">
        <f>+-1529533-194708</f>
        <v>-1724241</v>
      </c>
      <c r="R9" s="57">
        <f>+-304369.99-70364.48</f>
        <v>-374734.47</v>
      </c>
      <c r="S9" s="58"/>
      <c r="T9" s="59">
        <f>+-505447-64182</f>
        <v>-569629</v>
      </c>
      <c r="U9" s="59">
        <f>+-100581.61-23194.4</f>
        <v>-123776.01000000001</v>
      </c>
      <c r="V9" s="58"/>
      <c r="Y9" s="60"/>
      <c r="Z9" s="58"/>
      <c r="AA9" s="58"/>
      <c r="AB9" s="58"/>
      <c r="AC9" s="58"/>
    </row>
    <row r="10" spans="2:31" ht="15.75" x14ac:dyDescent="0.25">
      <c r="B10" s="51" t="s">
        <v>44</v>
      </c>
      <c r="C10" s="25" t="s">
        <v>48</v>
      </c>
      <c r="D10" s="10">
        <v>1</v>
      </c>
      <c r="E10" s="20" t="s">
        <v>49</v>
      </c>
      <c r="F10" s="20" t="s">
        <v>50</v>
      </c>
      <c r="G10" s="61">
        <f>+Y10</f>
        <v>6875152</v>
      </c>
      <c r="H10" s="62">
        <v>0.25052999999999997</v>
      </c>
      <c r="I10" s="62">
        <v>0.16711999999999999</v>
      </c>
      <c r="J10" s="62">
        <f>0.07006+0.07276</f>
        <v>0.14282</v>
      </c>
      <c r="K10" s="54">
        <f>ROUND(H10*G10,2)</f>
        <v>1722431.83</v>
      </c>
      <c r="L10" s="54">
        <f>ROUND(G10*I10,2)</f>
        <v>1148975.3999999999</v>
      </c>
      <c r="M10" s="63">
        <f>ROUND(G10*J10,2)</f>
        <v>981909.21</v>
      </c>
      <c r="N10" s="64">
        <f>SUM(K10:M10)</f>
        <v>3853316.44</v>
      </c>
      <c r="O10" s="56"/>
      <c r="Q10" s="59"/>
      <c r="R10" s="59"/>
      <c r="S10" s="59"/>
      <c r="T10" s="59"/>
      <c r="U10" s="59"/>
      <c r="V10" s="58"/>
      <c r="W10" s="65">
        <v>4800</v>
      </c>
      <c r="X10" s="66">
        <v>503</v>
      </c>
      <c r="Y10" s="67">
        <v>6875152</v>
      </c>
      <c r="Z10" s="68"/>
      <c r="AA10" s="58"/>
      <c r="AB10" s="58"/>
      <c r="AC10" s="58"/>
    </row>
    <row r="11" spans="2:31" ht="15.75" x14ac:dyDescent="0.25">
      <c r="B11" s="51" t="s">
        <v>51</v>
      </c>
      <c r="C11" s="25" t="s">
        <v>52</v>
      </c>
      <c r="D11" s="10">
        <v>1</v>
      </c>
      <c r="E11" s="20" t="s">
        <v>49</v>
      </c>
      <c r="F11" s="20" t="s">
        <v>50</v>
      </c>
      <c r="G11" s="69">
        <v>-6025339</v>
      </c>
      <c r="H11" s="70">
        <f>$H$10</f>
        <v>0.25052999999999997</v>
      </c>
      <c r="I11" s="70">
        <f>$I$10</f>
        <v>0.16711999999999999</v>
      </c>
      <c r="J11" s="70">
        <f>+$J$10</f>
        <v>0.14282</v>
      </c>
      <c r="K11" s="54">
        <f>ROUND(H11*G11,2)</f>
        <v>-1509528.18</v>
      </c>
      <c r="L11" s="54">
        <f>ROUND(G11*I11,2)</f>
        <v>-1006954.65</v>
      </c>
      <c r="M11" s="63"/>
      <c r="N11" s="64">
        <f>SUM(K11:M11)</f>
        <v>-2516482.83</v>
      </c>
      <c r="O11" s="56"/>
      <c r="Q11" s="59"/>
      <c r="R11" s="59"/>
      <c r="S11" s="59"/>
      <c r="T11" s="59"/>
      <c r="U11" s="59"/>
      <c r="V11" s="58"/>
      <c r="W11" s="65">
        <v>4809</v>
      </c>
      <c r="X11" s="66">
        <v>505</v>
      </c>
      <c r="Y11" s="71">
        <v>687044</v>
      </c>
      <c r="Z11" s="68"/>
      <c r="AA11" s="58"/>
      <c r="AB11" s="58"/>
      <c r="AC11" s="58"/>
    </row>
    <row r="12" spans="2:31" ht="15.75" x14ac:dyDescent="0.25">
      <c r="B12" s="51" t="s">
        <v>51</v>
      </c>
      <c r="C12" s="25" t="s">
        <v>53</v>
      </c>
      <c r="D12" s="10">
        <v>1</v>
      </c>
      <c r="E12" s="20" t="s">
        <v>49</v>
      </c>
      <c r="F12" s="20" t="s">
        <v>50</v>
      </c>
      <c r="G12" s="72"/>
      <c r="H12" s="70">
        <f>$H$10</f>
        <v>0.25052999999999997</v>
      </c>
      <c r="I12" s="70">
        <f>$I$10</f>
        <v>0.16711999999999999</v>
      </c>
      <c r="J12" s="70">
        <f>+$J$10</f>
        <v>0.14282</v>
      </c>
      <c r="K12" s="54">
        <f>ROUND(H12*G12,2)</f>
        <v>0</v>
      </c>
      <c r="L12" s="54">
        <f>ROUND(G12*I12,2)</f>
        <v>0</v>
      </c>
      <c r="M12" s="63"/>
      <c r="N12" s="64">
        <f>SUM(K12:M12)</f>
        <v>0</v>
      </c>
      <c r="O12" s="56"/>
      <c r="Q12" s="59"/>
      <c r="R12" s="59"/>
      <c r="S12" s="59"/>
      <c r="T12" s="59"/>
      <c r="U12" s="59"/>
      <c r="V12" s="58"/>
      <c r="W12" s="65">
        <v>4809</v>
      </c>
      <c r="X12" s="66">
        <v>511</v>
      </c>
      <c r="Y12" s="71">
        <v>274192</v>
      </c>
      <c r="Z12" s="68"/>
      <c r="AA12" s="58"/>
      <c r="AB12" s="58"/>
      <c r="AC12" s="58"/>
    </row>
    <row r="13" spans="2:31" ht="15" customHeight="1" x14ac:dyDescent="0.25">
      <c r="B13" s="51"/>
      <c r="D13" s="10"/>
      <c r="G13" s="52"/>
      <c r="H13" s="70"/>
      <c r="I13" s="70"/>
      <c r="J13" s="70"/>
      <c r="K13" s="54"/>
      <c r="L13" s="54"/>
      <c r="M13" s="63"/>
      <c r="N13" s="64"/>
      <c r="O13" s="56"/>
      <c r="Q13" s="58"/>
      <c r="R13" s="58"/>
      <c r="S13" s="58"/>
      <c r="T13" s="58"/>
      <c r="U13" s="58"/>
      <c r="V13" s="58"/>
      <c r="W13" s="65">
        <v>4810</v>
      </c>
      <c r="X13" s="66" t="s">
        <v>54</v>
      </c>
      <c r="Y13" s="71">
        <v>3066</v>
      </c>
      <c r="Z13" s="73"/>
      <c r="AA13" s="58"/>
      <c r="AB13" s="58"/>
      <c r="AC13" s="58"/>
    </row>
    <row r="14" spans="2:31" ht="15.75" x14ac:dyDescent="0.25">
      <c r="B14" s="51" t="s">
        <v>55</v>
      </c>
      <c r="C14" s="25" t="s">
        <v>56</v>
      </c>
      <c r="D14" s="10">
        <v>2</v>
      </c>
      <c r="E14" s="20" t="s">
        <v>57</v>
      </c>
      <c r="F14" s="20" t="s">
        <v>58</v>
      </c>
      <c r="G14" s="61">
        <f>+Y15</f>
        <v>4648667</v>
      </c>
      <c r="H14" s="70">
        <f t="shared" ref="H14:H16" si="0">$H$10</f>
        <v>0.25052999999999997</v>
      </c>
      <c r="I14" s="62">
        <v>0.16461000000000001</v>
      </c>
      <c r="J14" s="70">
        <f t="shared" ref="J14:J16" si="1">+$J$10</f>
        <v>0.14282</v>
      </c>
      <c r="K14" s="54">
        <f>ROUND(H14*G14,2)</f>
        <v>1164630.54</v>
      </c>
      <c r="L14" s="54">
        <f>ROUND(G14*I14,2)</f>
        <v>765217.07</v>
      </c>
      <c r="M14" s="63">
        <f>ROUND(G14*J14,2)</f>
        <v>663922.62</v>
      </c>
      <c r="N14" s="64">
        <f>SUM(K14:M14)</f>
        <v>2593770.23</v>
      </c>
      <c r="O14" s="74">
        <v>-0.02</v>
      </c>
      <c r="Q14" s="58" t="s">
        <v>59</v>
      </c>
      <c r="R14" s="58"/>
      <c r="S14" s="58"/>
      <c r="T14" s="58"/>
      <c r="U14" s="58"/>
      <c r="V14" s="58"/>
      <c r="W14" s="65">
        <v>4810</v>
      </c>
      <c r="X14" s="66" t="s">
        <v>60</v>
      </c>
      <c r="Y14" s="71">
        <v>32136</v>
      </c>
      <c r="Z14" s="73"/>
      <c r="AB14" s="58"/>
      <c r="AC14" s="58"/>
    </row>
    <row r="15" spans="2:31" ht="15.75" x14ac:dyDescent="0.25">
      <c r="B15" s="51" t="s">
        <v>61</v>
      </c>
      <c r="C15" s="25" t="s">
        <v>62</v>
      </c>
      <c r="D15" s="10">
        <v>2</v>
      </c>
      <c r="E15" s="20" t="s">
        <v>57</v>
      </c>
      <c r="F15" s="20" t="s">
        <v>58</v>
      </c>
      <c r="G15" s="69">
        <v>-5048872</v>
      </c>
      <c r="H15" s="70">
        <f t="shared" si="0"/>
        <v>0.25052999999999997</v>
      </c>
      <c r="I15" s="70">
        <f>+$I$14</f>
        <v>0.16461000000000001</v>
      </c>
      <c r="J15" s="70">
        <f t="shared" si="1"/>
        <v>0.14282</v>
      </c>
      <c r="K15" s="54">
        <f>ROUND(H15*G15,2)</f>
        <v>-1264893.8999999999</v>
      </c>
      <c r="L15" s="54">
        <f>ROUND(G15*I15,2)</f>
        <v>-831094.82</v>
      </c>
      <c r="M15" s="63"/>
      <c r="N15" s="64">
        <f>SUM(K15:M15)</f>
        <v>-2095988.7199999997</v>
      </c>
      <c r="O15" s="74"/>
      <c r="Q15" s="58" t="s">
        <v>63</v>
      </c>
      <c r="R15" s="58">
        <f>101807.82+3135667.8</f>
        <v>3237475.6199999996</v>
      </c>
      <c r="S15" s="58"/>
      <c r="T15" s="58"/>
      <c r="U15" s="59">
        <f>242253.38+412186.68</f>
        <v>654440.06000000006</v>
      </c>
      <c r="V15" s="58"/>
      <c r="W15" s="65">
        <v>4810</v>
      </c>
      <c r="X15" s="66">
        <v>504</v>
      </c>
      <c r="Y15" s="71">
        <v>4648667</v>
      </c>
      <c r="Z15" s="68"/>
      <c r="AB15" s="58"/>
      <c r="AC15" s="58"/>
    </row>
    <row r="16" spans="2:31" ht="15.75" x14ac:dyDescent="0.25">
      <c r="B16" s="51" t="s">
        <v>61</v>
      </c>
      <c r="C16" s="25" t="s">
        <v>64</v>
      </c>
      <c r="D16" s="10">
        <v>2</v>
      </c>
      <c r="E16" s="20" t="s">
        <v>57</v>
      </c>
      <c r="F16" s="20" t="s">
        <v>58</v>
      </c>
      <c r="G16" s="72"/>
      <c r="H16" s="70">
        <f t="shared" si="0"/>
        <v>0.25052999999999997</v>
      </c>
      <c r="I16" s="70">
        <f>+$I$14</f>
        <v>0.16461000000000001</v>
      </c>
      <c r="J16" s="70">
        <f t="shared" si="1"/>
        <v>0.14282</v>
      </c>
      <c r="K16" s="54">
        <f>ROUND(H16*G16,2)</f>
        <v>0</v>
      </c>
      <c r="L16" s="54">
        <f>ROUND(G16*I16,2)</f>
        <v>0</v>
      </c>
      <c r="M16" s="63"/>
      <c r="N16" s="64">
        <f>SUM(K16:M16)</f>
        <v>0</v>
      </c>
      <c r="O16" s="56"/>
      <c r="Q16" s="58" t="s">
        <v>63</v>
      </c>
      <c r="R16" s="58">
        <v>55387.57</v>
      </c>
      <c r="S16" s="58"/>
      <c r="T16" s="58"/>
      <c r="U16" s="59">
        <v>7182.43</v>
      </c>
      <c r="V16" s="58"/>
      <c r="W16" s="65">
        <v>4810</v>
      </c>
      <c r="X16" s="66">
        <v>511</v>
      </c>
      <c r="Y16" s="71">
        <v>554223</v>
      </c>
      <c r="Z16" s="68"/>
      <c r="AA16" s="58"/>
      <c r="AB16" s="58"/>
      <c r="AC16" s="58"/>
    </row>
    <row r="17" spans="2:29" ht="15" customHeight="1" x14ac:dyDescent="0.25">
      <c r="B17" s="51"/>
      <c r="D17" s="10"/>
      <c r="G17" s="52"/>
      <c r="H17" s="70"/>
      <c r="I17" s="70"/>
      <c r="J17" s="70"/>
      <c r="K17" s="54"/>
      <c r="L17" s="54"/>
      <c r="M17" s="63"/>
      <c r="N17" s="64"/>
      <c r="O17" s="56"/>
      <c r="Q17" s="5"/>
      <c r="R17" s="5"/>
      <c r="S17" s="5"/>
      <c r="T17" s="5"/>
      <c r="U17" s="59"/>
      <c r="V17" s="5"/>
      <c r="W17" s="65">
        <v>4811</v>
      </c>
      <c r="X17" s="66" t="s">
        <v>65</v>
      </c>
      <c r="Y17" s="71">
        <v>0</v>
      </c>
      <c r="Z17" s="73"/>
      <c r="AA17" s="5"/>
      <c r="AB17" s="5"/>
      <c r="AC17" s="5"/>
    </row>
    <row r="18" spans="2:29" ht="15.75" x14ac:dyDescent="0.25">
      <c r="B18" s="51" t="s">
        <v>55</v>
      </c>
      <c r="C18" s="25" t="s">
        <v>66</v>
      </c>
      <c r="D18" s="10">
        <v>2</v>
      </c>
      <c r="E18" s="20" t="s">
        <v>67</v>
      </c>
      <c r="F18" s="20" t="s">
        <v>68</v>
      </c>
      <c r="G18" s="61">
        <f>+Y16</f>
        <v>554223</v>
      </c>
      <c r="H18" s="70">
        <f t="shared" ref="H18:H25" si="2">$H$10</f>
        <v>0.25052999999999997</v>
      </c>
      <c r="I18" s="62">
        <v>0.15223</v>
      </c>
      <c r="J18" s="70">
        <f t="shared" ref="J18:J25" si="3">+$J$10</f>
        <v>0.14282</v>
      </c>
      <c r="K18" s="54">
        <f t="shared" ref="K18:K21" si="4">ROUND(H18*G18,2)</f>
        <v>138849.49</v>
      </c>
      <c r="L18" s="54">
        <f t="shared" ref="L18:L21" si="5">ROUND(G18*I18,2)</f>
        <v>84369.37</v>
      </c>
      <c r="M18" s="63">
        <f t="shared" ref="M18:M21" si="6">ROUND(G18*J18,2)</f>
        <v>79154.13</v>
      </c>
      <c r="N18" s="64">
        <f t="shared" ref="N18:N21" si="7">SUM(K18:M18)</f>
        <v>302372.99</v>
      </c>
      <c r="O18" s="74">
        <v>2.0699999999999998</v>
      </c>
      <c r="Q18" s="58" t="s">
        <v>59</v>
      </c>
      <c r="R18" s="58">
        <v>625208.07999999996</v>
      </c>
      <c r="S18" s="58"/>
      <c r="T18" s="58"/>
      <c r="U18" s="59">
        <f>44136.69+5300</f>
        <v>49436.69</v>
      </c>
      <c r="V18" s="58"/>
      <c r="W18" s="65">
        <v>4813</v>
      </c>
      <c r="X18" s="66">
        <v>570</v>
      </c>
      <c r="Y18" s="71">
        <v>188282</v>
      </c>
      <c r="Z18" s="73"/>
      <c r="AA18" s="58"/>
      <c r="AB18" s="58"/>
      <c r="AC18" s="58"/>
    </row>
    <row r="19" spans="2:29" ht="15.75" x14ac:dyDescent="0.25">
      <c r="B19" s="51" t="s">
        <v>55</v>
      </c>
      <c r="C19" s="25" t="s">
        <v>66</v>
      </c>
      <c r="D19" s="10">
        <v>2</v>
      </c>
      <c r="E19" s="20" t="s">
        <v>67</v>
      </c>
      <c r="F19" s="20" t="s">
        <v>69</v>
      </c>
      <c r="G19" s="61">
        <f>+Y13</f>
        <v>3066</v>
      </c>
      <c r="H19" s="70">
        <f t="shared" si="2"/>
        <v>0.25052999999999997</v>
      </c>
      <c r="I19" s="70">
        <f>+$I$18</f>
        <v>0.15223</v>
      </c>
      <c r="J19" s="70">
        <f t="shared" si="3"/>
        <v>0.14282</v>
      </c>
      <c r="K19" s="54">
        <f t="shared" si="4"/>
        <v>768.12</v>
      </c>
      <c r="L19" s="54">
        <f t="shared" si="5"/>
        <v>466.74</v>
      </c>
      <c r="M19" s="63">
        <f t="shared" si="6"/>
        <v>437.89</v>
      </c>
      <c r="N19" s="64">
        <f t="shared" si="7"/>
        <v>1672.75</v>
      </c>
      <c r="O19" s="74"/>
      <c r="Q19" s="58" t="s">
        <v>59</v>
      </c>
      <c r="R19" s="58"/>
      <c r="S19" s="58"/>
      <c r="T19" s="58"/>
      <c r="U19" s="58"/>
      <c r="V19" s="58"/>
      <c r="W19" s="65"/>
      <c r="X19" s="66"/>
      <c r="Y19" s="75"/>
      <c r="Z19" s="58"/>
      <c r="AA19" s="58"/>
      <c r="AB19" s="58"/>
      <c r="AC19" s="58"/>
    </row>
    <row r="20" spans="2:29" ht="15.75" x14ac:dyDescent="0.25">
      <c r="B20" s="51" t="s">
        <v>55</v>
      </c>
      <c r="C20" s="76" t="s">
        <v>66</v>
      </c>
      <c r="D20" s="10">
        <v>2</v>
      </c>
      <c r="E20" s="20" t="s">
        <v>67</v>
      </c>
      <c r="F20" s="20" t="s">
        <v>70</v>
      </c>
      <c r="G20" s="61">
        <f>+Y14</f>
        <v>32136</v>
      </c>
      <c r="H20" s="70">
        <f t="shared" si="2"/>
        <v>0.25052999999999997</v>
      </c>
      <c r="I20" s="70">
        <f>+I18</f>
        <v>0.15223</v>
      </c>
      <c r="J20" s="70">
        <f t="shared" si="3"/>
        <v>0.14282</v>
      </c>
      <c r="K20" s="54">
        <f t="shared" si="4"/>
        <v>8051.03</v>
      </c>
      <c r="L20" s="54">
        <f t="shared" si="5"/>
        <v>4892.0600000000004</v>
      </c>
      <c r="M20" s="63">
        <f t="shared" si="6"/>
        <v>4589.66</v>
      </c>
      <c r="N20" s="64">
        <f t="shared" si="7"/>
        <v>17532.75</v>
      </c>
      <c r="O20" s="74"/>
      <c r="Q20" s="58"/>
      <c r="R20" s="58"/>
      <c r="S20" s="58"/>
      <c r="T20" s="58"/>
      <c r="U20" s="58"/>
      <c r="V20" s="58"/>
      <c r="W20" s="65"/>
      <c r="X20" s="66"/>
      <c r="Y20" s="50" t="s">
        <v>71</v>
      </c>
      <c r="Z20" s="58"/>
      <c r="AB20" s="58"/>
      <c r="AC20" s="58"/>
    </row>
    <row r="21" spans="2:29" ht="15.75" x14ac:dyDescent="0.25">
      <c r="B21" s="51" t="s">
        <v>61</v>
      </c>
      <c r="C21" s="25" t="s">
        <v>72</v>
      </c>
      <c r="D21" s="10">
        <v>2</v>
      </c>
      <c r="E21" s="20" t="s">
        <v>67</v>
      </c>
      <c r="F21" s="20" t="s">
        <v>69</v>
      </c>
      <c r="G21" s="77">
        <v>-3066</v>
      </c>
      <c r="H21" s="70">
        <f t="shared" si="2"/>
        <v>0.25052999999999997</v>
      </c>
      <c r="I21" s="70">
        <f>+I18</f>
        <v>0.15223</v>
      </c>
      <c r="J21" s="70">
        <f t="shared" si="3"/>
        <v>0.14282</v>
      </c>
      <c r="K21" s="54">
        <f t="shared" si="4"/>
        <v>-768.12</v>
      </c>
      <c r="L21" s="54">
        <f t="shared" si="5"/>
        <v>-466.74</v>
      </c>
      <c r="M21" s="63">
        <f t="shared" si="6"/>
        <v>-437.89</v>
      </c>
      <c r="N21" s="64">
        <f t="shared" si="7"/>
        <v>-1672.75</v>
      </c>
      <c r="O21" s="74"/>
      <c r="Q21" s="5"/>
      <c r="R21" s="5">
        <v>57899.56</v>
      </c>
      <c r="S21" s="5"/>
      <c r="T21" s="5"/>
      <c r="U21" s="59">
        <v>8091.98</v>
      </c>
      <c r="V21" s="58"/>
      <c r="W21" s="65"/>
      <c r="X21" s="66"/>
      <c r="Y21" s="78"/>
      <c r="Z21" s="5"/>
      <c r="AA21" s="5"/>
      <c r="AB21" s="5"/>
      <c r="AC21" s="5"/>
    </row>
    <row r="22" spans="2:29" ht="15.75" x14ac:dyDescent="0.25">
      <c r="B22" s="51" t="s">
        <v>61</v>
      </c>
      <c r="C22" s="25" t="s">
        <v>73</v>
      </c>
      <c r="D22" s="10">
        <v>2</v>
      </c>
      <c r="E22" s="20" t="s">
        <v>67</v>
      </c>
      <c r="F22" s="20" t="s">
        <v>69</v>
      </c>
      <c r="G22" s="79"/>
      <c r="H22" s="70">
        <f t="shared" si="2"/>
        <v>0.25052999999999997</v>
      </c>
      <c r="I22" s="70">
        <f>+I18</f>
        <v>0.15223</v>
      </c>
      <c r="J22" s="70">
        <f t="shared" si="3"/>
        <v>0.14282</v>
      </c>
      <c r="K22" s="54">
        <f>ROUND(H22*G22,2)</f>
        <v>0</v>
      </c>
      <c r="L22" s="54">
        <f>ROUND(G22*I22,2)</f>
        <v>0</v>
      </c>
      <c r="M22" s="63">
        <f>ROUND(G22*J22,2)</f>
        <v>0</v>
      </c>
      <c r="N22" s="64">
        <f>SUM(K22:M22)</f>
        <v>0</v>
      </c>
      <c r="O22" s="74"/>
      <c r="Q22" s="5"/>
      <c r="R22" s="5"/>
      <c r="S22" s="5"/>
      <c r="T22" s="5"/>
      <c r="U22" s="59"/>
      <c r="V22" s="58"/>
      <c r="W22" s="65"/>
      <c r="X22" s="66"/>
      <c r="Y22" s="78"/>
      <c r="Z22" s="5"/>
      <c r="AA22" s="5"/>
      <c r="AB22" s="5"/>
      <c r="AC22" s="5"/>
    </row>
    <row r="23" spans="2:29" ht="15.75" x14ac:dyDescent="0.25">
      <c r="B23" s="51"/>
      <c r="D23" s="10"/>
      <c r="G23" s="20"/>
      <c r="H23" s="70"/>
      <c r="I23" s="70"/>
      <c r="J23" s="70"/>
      <c r="K23" s="54"/>
      <c r="L23" s="54"/>
      <c r="M23" s="63"/>
      <c r="N23" s="64"/>
      <c r="O23" s="74"/>
      <c r="Q23" s="5"/>
      <c r="R23" s="5"/>
      <c r="S23" s="5"/>
      <c r="T23" s="5"/>
      <c r="U23" s="59"/>
      <c r="V23" s="58"/>
      <c r="W23" s="65"/>
      <c r="X23" s="66"/>
      <c r="Y23" s="78"/>
      <c r="Z23" s="5"/>
      <c r="AA23" s="5"/>
      <c r="AB23" s="5"/>
      <c r="AC23" s="5"/>
    </row>
    <row r="24" spans="2:29" ht="15.75" x14ac:dyDescent="0.25">
      <c r="B24" s="51" t="s">
        <v>61</v>
      </c>
      <c r="C24" s="25" t="s">
        <v>72</v>
      </c>
      <c r="D24" s="10">
        <v>2</v>
      </c>
      <c r="E24" s="20" t="s">
        <v>67</v>
      </c>
      <c r="F24" s="20" t="s">
        <v>70</v>
      </c>
      <c r="G24" s="77">
        <v>-32136</v>
      </c>
      <c r="H24" s="70">
        <f t="shared" si="2"/>
        <v>0.25052999999999997</v>
      </c>
      <c r="I24" s="70">
        <f>+I19</f>
        <v>0.15223</v>
      </c>
      <c r="J24" s="70">
        <f t="shared" si="3"/>
        <v>0.14282</v>
      </c>
      <c r="K24" s="54">
        <f t="shared" ref="K24:K25" si="8">ROUND(H24*G24,2)</f>
        <v>-8051.03</v>
      </c>
      <c r="L24" s="54">
        <f t="shared" ref="L24:L25" si="9">ROUND(G24*I24,2)</f>
        <v>-4892.0600000000004</v>
      </c>
      <c r="M24" s="63">
        <f t="shared" ref="M24:M25" si="10">ROUND(G24*J24,2)</f>
        <v>-4589.66</v>
      </c>
      <c r="N24" s="64">
        <f t="shared" ref="N24:N25" si="11">SUM(K24:M24)</f>
        <v>-17532.75</v>
      </c>
      <c r="O24" s="74"/>
      <c r="Q24" s="5"/>
      <c r="R24" s="5"/>
      <c r="S24" s="5"/>
      <c r="T24" s="5"/>
      <c r="U24" s="59"/>
      <c r="V24" s="58"/>
      <c r="W24" s="65"/>
      <c r="X24" s="66"/>
      <c r="Y24" s="78"/>
      <c r="Z24" s="5"/>
      <c r="AA24" s="5"/>
      <c r="AB24" s="5"/>
      <c r="AC24" s="5"/>
    </row>
    <row r="25" spans="2:29" ht="15.75" x14ac:dyDescent="0.25">
      <c r="B25" s="51" t="s">
        <v>61</v>
      </c>
      <c r="C25" s="25" t="s">
        <v>73</v>
      </c>
      <c r="D25" s="10">
        <v>2</v>
      </c>
      <c r="E25" s="20" t="s">
        <v>67</v>
      </c>
      <c r="F25" s="20" t="s">
        <v>70</v>
      </c>
      <c r="G25" s="79"/>
      <c r="H25" s="70">
        <f t="shared" si="2"/>
        <v>0.25052999999999997</v>
      </c>
      <c r="I25" s="70">
        <f>+I19</f>
        <v>0.15223</v>
      </c>
      <c r="J25" s="70">
        <f t="shared" si="3"/>
        <v>0.14282</v>
      </c>
      <c r="K25" s="54">
        <f t="shared" si="8"/>
        <v>0</v>
      </c>
      <c r="L25" s="54">
        <f t="shared" si="9"/>
        <v>0</v>
      </c>
      <c r="M25" s="63">
        <f t="shared" si="10"/>
        <v>0</v>
      </c>
      <c r="N25" s="64">
        <f t="shared" si="11"/>
        <v>0</v>
      </c>
      <c r="O25" s="56"/>
      <c r="Q25" s="5"/>
      <c r="R25" s="5"/>
      <c r="S25" s="5"/>
      <c r="T25" s="5"/>
      <c r="U25" s="59"/>
      <c r="V25" s="58"/>
      <c r="W25" s="65"/>
      <c r="X25" s="66"/>
      <c r="AA25" s="5"/>
      <c r="AB25" s="5"/>
      <c r="AC25" s="5"/>
    </row>
    <row r="26" spans="2:29" x14ac:dyDescent="0.2">
      <c r="B26" s="51"/>
      <c r="D26" s="10"/>
      <c r="G26" s="80"/>
      <c r="H26" s="81"/>
      <c r="I26" s="70"/>
      <c r="J26" s="70"/>
      <c r="K26" s="54"/>
      <c r="L26" s="54"/>
      <c r="M26" s="63"/>
      <c r="N26" s="64"/>
      <c r="O26" s="56"/>
      <c r="Q26" s="5"/>
      <c r="R26" s="5"/>
      <c r="S26" s="5"/>
      <c r="T26" s="5"/>
      <c r="U26" s="59"/>
      <c r="V26" s="58"/>
      <c r="W26" s="9"/>
      <c r="X26" s="82"/>
      <c r="Y26" s="50" t="s">
        <v>74</v>
      </c>
      <c r="AA26" s="5"/>
      <c r="AB26" s="5"/>
      <c r="AC26" s="5"/>
    </row>
    <row r="27" spans="2:29" ht="15.75" x14ac:dyDescent="0.25">
      <c r="B27" s="51" t="s">
        <v>75</v>
      </c>
      <c r="C27" s="25" t="s">
        <v>76</v>
      </c>
      <c r="D27" s="10">
        <v>3</v>
      </c>
      <c r="E27" s="20" t="s">
        <v>77</v>
      </c>
      <c r="F27" s="20" t="s">
        <v>78</v>
      </c>
      <c r="G27" s="61">
        <f>+Y11</f>
        <v>687044</v>
      </c>
      <c r="H27" s="70">
        <f t="shared" ref="H27:H28" si="12">$H$10</f>
        <v>0.25052999999999997</v>
      </c>
      <c r="I27" s="70">
        <f>$I$18</f>
        <v>0.15223</v>
      </c>
      <c r="J27" s="70">
        <f t="shared" ref="J27:J28" si="13">+$J$10</f>
        <v>0.14282</v>
      </c>
      <c r="K27" s="54">
        <f>ROUND(H27*G27,2)</f>
        <v>172125.13</v>
      </c>
      <c r="L27" s="54">
        <f>ROUND(G27*I27,2)</f>
        <v>104588.71</v>
      </c>
      <c r="M27" s="63">
        <f>ROUND(G27*J27,2)</f>
        <v>98123.62</v>
      </c>
      <c r="N27" s="64">
        <f>SUM(K27:M27)</f>
        <v>374837.46</v>
      </c>
      <c r="O27" s="56">
        <v>-0.01</v>
      </c>
      <c r="Q27" s="58" t="s">
        <v>59</v>
      </c>
      <c r="R27" s="58">
        <v>49965.85</v>
      </c>
      <c r="S27" s="58"/>
      <c r="T27" s="58"/>
      <c r="U27" s="59">
        <v>5434.8</v>
      </c>
      <c r="V27" s="58"/>
      <c r="W27" s="12" t="s">
        <v>79</v>
      </c>
      <c r="X27" s="12"/>
      <c r="Y27" s="77"/>
      <c r="Z27" s="58"/>
      <c r="AA27" s="58"/>
      <c r="AB27" s="58"/>
      <c r="AC27" s="58"/>
    </row>
    <row r="28" spans="2:29" ht="15.75" x14ac:dyDescent="0.25">
      <c r="B28" s="51" t="s">
        <v>75</v>
      </c>
      <c r="C28" s="25" t="s">
        <v>80</v>
      </c>
      <c r="D28" s="10">
        <v>3</v>
      </c>
      <c r="E28" s="20" t="s">
        <v>67</v>
      </c>
      <c r="F28" s="20" t="s">
        <v>68</v>
      </c>
      <c r="G28" s="61">
        <f>+'WA Rates - OLD'!Y12</f>
        <v>274192</v>
      </c>
      <c r="H28" s="70">
        <f t="shared" si="12"/>
        <v>0.25052999999999997</v>
      </c>
      <c r="I28" s="70">
        <f>$I$18</f>
        <v>0.15223</v>
      </c>
      <c r="J28" s="70">
        <f t="shared" si="13"/>
        <v>0.14282</v>
      </c>
      <c r="K28" s="54">
        <f>ROUND(H28*G28,2)</f>
        <v>68693.320000000007</v>
      </c>
      <c r="L28" s="54">
        <f>ROUND(G28*I28,2)</f>
        <v>41740.25</v>
      </c>
      <c r="M28" s="63">
        <f>ROUND(G28*J28,2)</f>
        <v>39160.1</v>
      </c>
      <c r="N28" s="64">
        <f>SUM(K28:M28)</f>
        <v>149593.67000000001</v>
      </c>
      <c r="O28" s="56"/>
      <c r="Q28" s="58" t="s">
        <v>59</v>
      </c>
      <c r="R28" s="58"/>
      <c r="S28" s="58"/>
      <c r="T28" s="58"/>
      <c r="U28" s="59"/>
      <c r="V28" s="58"/>
      <c r="W28" s="12" t="s">
        <v>81</v>
      </c>
      <c r="X28" s="12"/>
      <c r="Y28" s="77"/>
      <c r="Z28" s="58"/>
      <c r="AA28" s="58"/>
      <c r="AB28" s="58"/>
      <c r="AC28" s="58"/>
    </row>
    <row r="29" spans="2:29" ht="15.75" x14ac:dyDescent="0.25">
      <c r="B29" s="51"/>
      <c r="D29" s="10"/>
      <c r="G29" s="52"/>
      <c r="H29" s="70"/>
      <c r="I29" s="70"/>
      <c r="J29" s="70"/>
      <c r="K29" s="54"/>
      <c r="L29" s="54"/>
      <c r="M29" s="63"/>
      <c r="N29" s="64"/>
      <c r="O29" s="56"/>
      <c r="Q29" s="5"/>
      <c r="R29" s="5">
        <v>17029.240000000002</v>
      </c>
      <c r="S29" s="5"/>
      <c r="T29" s="5"/>
      <c r="U29" s="59">
        <v>1729.72</v>
      </c>
      <c r="V29" s="5"/>
      <c r="W29" s="12" t="s">
        <v>82</v>
      </c>
      <c r="X29" s="12"/>
      <c r="Y29" s="77"/>
      <c r="Z29" s="5"/>
      <c r="AA29" s="5"/>
      <c r="AB29" s="5"/>
      <c r="AC29" s="5"/>
    </row>
    <row r="30" spans="2:29" x14ac:dyDescent="0.2">
      <c r="B30" s="51" t="s">
        <v>83</v>
      </c>
      <c r="C30" s="25" t="s">
        <v>84</v>
      </c>
      <c r="D30" s="10">
        <v>3</v>
      </c>
      <c r="E30" s="20" t="s">
        <v>77</v>
      </c>
      <c r="F30" s="20" t="s">
        <v>85</v>
      </c>
      <c r="G30" s="52">
        <f>+Y17</f>
        <v>0</v>
      </c>
      <c r="H30" s="70">
        <f t="shared" ref="H30:H32" si="14">$H$10</f>
        <v>0.25052999999999997</v>
      </c>
      <c r="I30" s="70">
        <f>$I$18</f>
        <v>0.15223</v>
      </c>
      <c r="J30" s="70">
        <f t="shared" ref="J30:J32" si="15">+$J$10</f>
        <v>0.14282</v>
      </c>
      <c r="K30" s="54">
        <f t="shared" ref="K30:K32" si="16">ROUND(H30*G30,2)</f>
        <v>0</v>
      </c>
      <c r="L30" s="54">
        <f t="shared" ref="L30:L32" si="17">ROUND(G30*I30,2)</f>
        <v>0</v>
      </c>
      <c r="M30" s="63">
        <f t="shared" ref="M30:M32" si="18">ROUND(G30*J30,2)</f>
        <v>0</v>
      </c>
      <c r="N30" s="64">
        <f t="shared" ref="N30:N32" si="19">SUM(K30:M30)</f>
        <v>0</v>
      </c>
      <c r="O30" s="56"/>
      <c r="Q30" s="58" t="s">
        <v>59</v>
      </c>
      <c r="R30" s="58"/>
      <c r="S30" s="58"/>
      <c r="T30" s="58"/>
      <c r="U30" s="59"/>
      <c r="V30" s="58"/>
      <c r="W30" s="58"/>
      <c r="X30" s="83"/>
      <c r="Z30" s="58"/>
      <c r="AA30" s="58"/>
      <c r="AB30" s="58"/>
      <c r="AC30" s="58"/>
    </row>
    <row r="31" spans="2:29" ht="15.75" x14ac:dyDescent="0.25">
      <c r="B31" s="51" t="s">
        <v>86</v>
      </c>
      <c r="C31" s="25" t="s">
        <v>72</v>
      </c>
      <c r="D31" s="10">
        <v>3</v>
      </c>
      <c r="E31" s="20" t="s">
        <v>77</v>
      </c>
      <c r="F31" s="20" t="s">
        <v>85</v>
      </c>
      <c r="G31" s="77">
        <v>0</v>
      </c>
      <c r="H31" s="70">
        <f t="shared" si="14"/>
        <v>0.25052999999999997</v>
      </c>
      <c r="I31" s="70">
        <f>$I$18</f>
        <v>0.15223</v>
      </c>
      <c r="J31" s="70">
        <f t="shared" si="15"/>
        <v>0.14282</v>
      </c>
      <c r="K31" s="54">
        <f t="shared" si="16"/>
        <v>0</v>
      </c>
      <c r="L31" s="54">
        <f t="shared" si="17"/>
        <v>0</v>
      </c>
      <c r="M31" s="63">
        <f t="shared" si="18"/>
        <v>0</v>
      </c>
      <c r="N31" s="64">
        <f t="shared" si="19"/>
        <v>0</v>
      </c>
      <c r="O31" s="56"/>
      <c r="Q31" s="5"/>
      <c r="R31" s="5">
        <v>128505.68</v>
      </c>
      <c r="S31" s="5"/>
      <c r="T31" s="5"/>
      <c r="U31" s="59">
        <v>17959.87</v>
      </c>
      <c r="V31" s="5"/>
      <c r="W31" s="5"/>
      <c r="X31" s="84"/>
      <c r="Z31" s="5"/>
      <c r="AA31" s="5"/>
      <c r="AB31" s="5"/>
      <c r="AC31" s="5"/>
    </row>
    <row r="32" spans="2:29" x14ac:dyDescent="0.2">
      <c r="B32" s="51" t="s">
        <v>86</v>
      </c>
      <c r="C32" s="25" t="s">
        <v>73</v>
      </c>
      <c r="D32" s="10">
        <v>3</v>
      </c>
      <c r="E32" s="20" t="s">
        <v>77</v>
      </c>
      <c r="F32" s="20" t="s">
        <v>85</v>
      </c>
      <c r="G32" s="85">
        <f>+Y28</f>
        <v>0</v>
      </c>
      <c r="H32" s="70">
        <f t="shared" si="14"/>
        <v>0.25052999999999997</v>
      </c>
      <c r="I32" s="70">
        <f>$I$18</f>
        <v>0.15223</v>
      </c>
      <c r="J32" s="70">
        <f t="shared" si="15"/>
        <v>0.14282</v>
      </c>
      <c r="K32" s="54">
        <f t="shared" si="16"/>
        <v>0</v>
      </c>
      <c r="L32" s="54">
        <f t="shared" si="17"/>
        <v>0</v>
      </c>
      <c r="M32" s="63">
        <f t="shared" si="18"/>
        <v>0</v>
      </c>
      <c r="N32" s="64">
        <f t="shared" si="19"/>
        <v>0</v>
      </c>
      <c r="O32" s="54"/>
      <c r="Q32" s="5"/>
      <c r="R32" s="5">
        <v>97.86</v>
      </c>
      <c r="S32" s="5"/>
      <c r="T32" s="5"/>
      <c r="U32" s="59">
        <v>10.64</v>
      </c>
      <c r="V32" s="5"/>
      <c r="W32" s="5"/>
      <c r="X32" s="84"/>
      <c r="Y32" s="86"/>
      <c r="Z32" s="5"/>
      <c r="AA32" s="5"/>
      <c r="AB32" s="5"/>
      <c r="AC32" s="5"/>
    </row>
    <row r="33" spans="2:29" ht="12.2" customHeight="1" x14ac:dyDescent="0.2">
      <c r="B33" s="51"/>
      <c r="D33" s="10"/>
      <c r="G33" s="52">
        <v>0</v>
      </c>
      <c r="H33" s="70"/>
      <c r="I33" s="70"/>
      <c r="J33" s="70"/>
      <c r="K33" s="54"/>
      <c r="L33" s="54"/>
      <c r="M33" s="63"/>
      <c r="N33" s="64"/>
      <c r="O33" s="54"/>
      <c r="Q33" s="5"/>
      <c r="R33" s="5"/>
      <c r="S33" s="5"/>
      <c r="T33" s="5"/>
      <c r="U33" s="59"/>
      <c r="V33" s="5"/>
      <c r="W33" s="5"/>
      <c r="X33" s="84"/>
      <c r="Y33" s="86"/>
      <c r="Z33" s="5"/>
      <c r="AA33" s="5"/>
      <c r="AB33" s="5"/>
      <c r="AC33" s="5"/>
    </row>
    <row r="34" spans="2:29" x14ac:dyDescent="0.2">
      <c r="B34" s="51" t="s">
        <v>83</v>
      </c>
      <c r="C34" s="25" t="s">
        <v>87</v>
      </c>
      <c r="D34" s="10" t="s">
        <v>13</v>
      </c>
      <c r="E34" s="20" t="s">
        <v>88</v>
      </c>
      <c r="F34" s="20" t="s">
        <v>89</v>
      </c>
      <c r="H34" s="70">
        <f t="shared" ref="H34:H36" si="20">$H$10</f>
        <v>0.25052999999999997</v>
      </c>
      <c r="I34" s="62">
        <v>0.13988999999999999</v>
      </c>
      <c r="J34" s="70">
        <f t="shared" ref="J34:J36" si="21">+$J$10</f>
        <v>0.14282</v>
      </c>
      <c r="K34" s="54">
        <f>ROUND(H34*G33,2)</f>
        <v>0</v>
      </c>
      <c r="L34" s="54">
        <f>ROUND(G33*I34,2)</f>
        <v>0</v>
      </c>
      <c r="M34" s="63">
        <f>ROUND(G33*J34,2)</f>
        <v>0</v>
      </c>
      <c r="N34" s="64">
        <f>SUM(K34:M34)</f>
        <v>0</v>
      </c>
      <c r="Q34" s="5"/>
      <c r="R34" s="5"/>
      <c r="S34" s="5"/>
      <c r="T34" s="5"/>
      <c r="U34" s="59"/>
      <c r="V34" s="5"/>
      <c r="W34" s="5"/>
      <c r="X34" s="84"/>
      <c r="Y34" s="86"/>
      <c r="Z34" s="5"/>
      <c r="AA34" s="5"/>
      <c r="AB34" s="5"/>
      <c r="AC34" s="5"/>
    </row>
    <row r="35" spans="2:29" x14ac:dyDescent="0.2">
      <c r="B35" s="51" t="s">
        <v>86</v>
      </c>
      <c r="C35" s="25" t="s">
        <v>72</v>
      </c>
      <c r="D35" s="10">
        <v>4</v>
      </c>
      <c r="E35" s="20" t="s">
        <v>88</v>
      </c>
      <c r="F35" s="20" t="s">
        <v>89</v>
      </c>
      <c r="G35" s="89">
        <v>0</v>
      </c>
      <c r="H35" s="70">
        <f t="shared" si="20"/>
        <v>0.25052999999999997</v>
      </c>
      <c r="I35" s="70">
        <f>$I$34</f>
        <v>0.13988999999999999</v>
      </c>
      <c r="J35" s="70">
        <f t="shared" si="21"/>
        <v>0.14282</v>
      </c>
      <c r="K35" s="54">
        <f>ROUND(H35*G35,2)</f>
        <v>0</v>
      </c>
      <c r="L35" s="54">
        <f>ROUND(G35*I35,2)</f>
        <v>0</v>
      </c>
      <c r="M35" s="63">
        <f>ROUND(G35*J35,2)</f>
        <v>0</v>
      </c>
      <c r="N35" s="64">
        <f>SUM(K35:M35)</f>
        <v>0</v>
      </c>
      <c r="O35" s="54">
        <f>-N35-80.06</f>
        <v>-80.06</v>
      </c>
      <c r="Q35" s="5"/>
      <c r="R35" s="5">
        <v>18307.25</v>
      </c>
      <c r="S35" s="5"/>
      <c r="T35" s="5"/>
      <c r="U35" s="59">
        <v>1859.59</v>
      </c>
      <c r="V35" s="5"/>
      <c r="W35" s="5"/>
      <c r="X35" s="84"/>
      <c r="Y35" s="86"/>
      <c r="Z35" s="5"/>
      <c r="AA35" s="5"/>
      <c r="AB35" s="5"/>
      <c r="AC35" s="5"/>
    </row>
    <row r="36" spans="2:29" x14ac:dyDescent="0.2">
      <c r="B36" s="51" t="s">
        <v>86</v>
      </c>
      <c r="C36" s="25" t="s">
        <v>90</v>
      </c>
      <c r="D36" s="10">
        <v>4</v>
      </c>
      <c r="E36" s="20" t="s">
        <v>88</v>
      </c>
      <c r="F36" s="20" t="s">
        <v>89</v>
      </c>
      <c r="G36" s="85">
        <v>0</v>
      </c>
      <c r="H36" s="70">
        <f t="shared" si="20"/>
        <v>0.25052999999999997</v>
      </c>
      <c r="I36" s="70">
        <f>$I$34</f>
        <v>0.13988999999999999</v>
      </c>
      <c r="J36" s="70">
        <f t="shared" si="21"/>
        <v>0.14282</v>
      </c>
      <c r="K36" s="54">
        <f>ROUND(H36*G36,2)</f>
        <v>0</v>
      </c>
      <c r="L36" s="54">
        <f>ROUND(G36*I36,2)</f>
        <v>0</v>
      </c>
      <c r="M36" s="63">
        <f>ROUND(G36*J36,2)</f>
        <v>0</v>
      </c>
      <c r="N36" s="64">
        <f>SUM(K36:M36)</f>
        <v>0</v>
      </c>
      <c r="O36" s="54"/>
      <c r="Q36" s="5"/>
      <c r="R36" s="5"/>
      <c r="S36" s="5"/>
      <c r="T36" s="5"/>
      <c r="U36" s="59"/>
      <c r="V36" s="5"/>
      <c r="W36" s="5"/>
      <c r="X36" s="84"/>
      <c r="Y36" s="86"/>
      <c r="Z36" s="5"/>
      <c r="AA36" s="5"/>
      <c r="AB36" s="5"/>
      <c r="AC36" s="5"/>
    </row>
    <row r="37" spans="2:29" ht="12.2" customHeight="1" x14ac:dyDescent="0.2">
      <c r="B37" s="51"/>
      <c r="D37" s="10"/>
      <c r="G37" s="52"/>
      <c r="H37" s="70"/>
      <c r="I37" s="70"/>
      <c r="J37" s="70"/>
      <c r="M37" s="63"/>
      <c r="N37" s="90"/>
      <c r="Q37" s="5"/>
      <c r="R37" s="5"/>
      <c r="S37" s="5"/>
      <c r="T37" s="5"/>
      <c r="U37" s="5"/>
      <c r="V37" s="5"/>
      <c r="W37" s="5"/>
      <c r="X37" s="84"/>
      <c r="Y37" s="86"/>
      <c r="Z37" s="5"/>
      <c r="AA37" s="5"/>
      <c r="AB37" s="5"/>
      <c r="AC37" s="5"/>
    </row>
    <row r="38" spans="2:29" ht="15.75" x14ac:dyDescent="0.25">
      <c r="B38" s="51" t="s">
        <v>91</v>
      </c>
      <c r="C38" s="25" t="s">
        <v>92</v>
      </c>
      <c r="D38" s="10" t="s">
        <v>24</v>
      </c>
      <c r="E38" s="20" t="s">
        <v>88</v>
      </c>
      <c r="F38" s="20" t="s">
        <v>89</v>
      </c>
      <c r="G38" s="61">
        <f>+Y18</f>
        <v>188282</v>
      </c>
      <c r="H38" s="70">
        <f t="shared" ref="H38:H40" si="22">$H$10</f>
        <v>0.25052999999999997</v>
      </c>
      <c r="I38" s="70">
        <f t="shared" ref="I38:I40" si="23">$I$34</f>
        <v>0.13988999999999999</v>
      </c>
      <c r="J38" s="70">
        <f t="shared" ref="J38:J40" si="24">+$J$10</f>
        <v>0.14282</v>
      </c>
      <c r="K38" s="54">
        <f t="shared" ref="K38:K40" si="25">ROUND(H38*G38,2)</f>
        <v>47170.29</v>
      </c>
      <c r="L38" s="54">
        <f t="shared" ref="L38:L40" si="26">ROUND(G38*I38,2)</f>
        <v>26338.77</v>
      </c>
      <c r="M38" s="63">
        <f t="shared" ref="M38:M40" si="27">ROUND(G38*J38,2)</f>
        <v>26890.44</v>
      </c>
      <c r="N38" s="64">
        <f>SUM(K38:M38)</f>
        <v>100399.5</v>
      </c>
      <c r="O38" s="54">
        <v>0.01</v>
      </c>
      <c r="Q38" s="5"/>
      <c r="R38" s="5"/>
      <c r="S38" s="5"/>
      <c r="T38" s="5"/>
      <c r="U38" s="5"/>
      <c r="V38" s="5"/>
      <c r="W38" s="5"/>
      <c r="X38" s="84"/>
      <c r="Y38" s="86"/>
      <c r="Z38" s="5"/>
      <c r="AA38" s="5"/>
      <c r="AB38" s="5"/>
      <c r="AC38" s="5"/>
    </row>
    <row r="39" spans="2:29" ht="15.75" x14ac:dyDescent="0.25">
      <c r="B39" s="51" t="s">
        <v>91</v>
      </c>
      <c r="C39" s="25" t="s">
        <v>72</v>
      </c>
      <c r="D39" s="10">
        <v>5</v>
      </c>
      <c r="E39" s="20" t="s">
        <v>88</v>
      </c>
      <c r="F39" s="20" t="s">
        <v>89</v>
      </c>
      <c r="G39" s="77">
        <v>-188282</v>
      </c>
      <c r="H39" s="70">
        <f t="shared" si="22"/>
        <v>0.25052999999999997</v>
      </c>
      <c r="I39" s="70">
        <f t="shared" si="23"/>
        <v>0.13988999999999999</v>
      </c>
      <c r="J39" s="70">
        <f t="shared" si="24"/>
        <v>0.14282</v>
      </c>
      <c r="K39" s="54">
        <f t="shared" si="25"/>
        <v>-47170.29</v>
      </c>
      <c r="L39" s="54">
        <f t="shared" si="26"/>
        <v>-26338.77</v>
      </c>
      <c r="M39" s="63">
        <f t="shared" si="27"/>
        <v>-26890.44</v>
      </c>
      <c r="N39" s="64">
        <f t="shared" ref="N39:N40" si="28">SUM(K39:M39)</f>
        <v>-100399.5</v>
      </c>
      <c r="O39" s="54"/>
      <c r="Q39" s="5"/>
      <c r="R39" s="5"/>
      <c r="S39" s="5"/>
      <c r="T39" s="5"/>
      <c r="U39" s="5"/>
      <c r="V39" s="5"/>
      <c r="W39" s="5"/>
      <c r="X39" s="84"/>
      <c r="Y39" s="86"/>
      <c r="Z39" s="5"/>
      <c r="AA39" s="5"/>
      <c r="AB39" s="5"/>
      <c r="AC39" s="5"/>
    </row>
    <row r="40" spans="2:29" ht="15.75" x14ac:dyDescent="0.25">
      <c r="B40" s="51" t="s">
        <v>91</v>
      </c>
      <c r="C40" s="25" t="s">
        <v>73</v>
      </c>
      <c r="D40" s="10">
        <v>5</v>
      </c>
      <c r="E40" s="20" t="s">
        <v>88</v>
      </c>
      <c r="F40" s="20" t="s">
        <v>89</v>
      </c>
      <c r="G40" s="79"/>
      <c r="H40" s="70">
        <f t="shared" si="22"/>
        <v>0.25052999999999997</v>
      </c>
      <c r="I40" s="70">
        <f t="shared" si="23"/>
        <v>0.13988999999999999</v>
      </c>
      <c r="J40" s="70">
        <f t="shared" si="24"/>
        <v>0.14282</v>
      </c>
      <c r="K40" s="54">
        <f t="shared" si="25"/>
        <v>0</v>
      </c>
      <c r="L40" s="54">
        <f t="shared" si="26"/>
        <v>0</v>
      </c>
      <c r="M40" s="63">
        <f t="shared" si="27"/>
        <v>0</v>
      </c>
      <c r="N40" s="64">
        <f t="shared" si="28"/>
        <v>0</v>
      </c>
      <c r="O40" s="54"/>
      <c r="Q40" s="5"/>
      <c r="R40" s="5"/>
      <c r="S40" s="5"/>
      <c r="T40" s="5"/>
      <c r="U40" s="5"/>
      <c r="V40" s="5"/>
      <c r="W40" s="5"/>
      <c r="X40" s="84"/>
      <c r="Y40" s="86"/>
      <c r="Z40" s="5"/>
      <c r="AA40" s="5"/>
      <c r="AB40" s="5"/>
      <c r="AC40" s="5"/>
    </row>
    <row r="41" spans="2:29" ht="12.2" customHeight="1" x14ac:dyDescent="0.2">
      <c r="B41" s="51"/>
      <c r="D41" s="10"/>
      <c r="G41" s="91"/>
      <c r="J41" s="92"/>
      <c r="K41" s="54"/>
      <c r="L41" s="54"/>
      <c r="M41" s="63"/>
      <c r="N41" s="54"/>
      <c r="O41" s="54"/>
    </row>
    <row r="42" spans="2:29" ht="15.75" x14ac:dyDescent="0.25">
      <c r="B42" s="93"/>
      <c r="D42" s="94"/>
      <c r="E42" s="95"/>
      <c r="F42" s="20" t="s">
        <v>93</v>
      </c>
      <c r="G42" s="96">
        <f>SUM(G9:G41)</f>
        <v>1965067</v>
      </c>
      <c r="H42" s="97" t="s">
        <v>94</v>
      </c>
      <c r="K42" s="98">
        <f>SUM(K9:K41)</f>
        <v>492308.23000000027</v>
      </c>
      <c r="L42" s="99">
        <f>SUM(L9:L41)</f>
        <v>306841.3299999999</v>
      </c>
      <c r="M42" s="100">
        <f>SUM(M9:M41)</f>
        <v>1862269.6800000002</v>
      </c>
      <c r="N42" s="101">
        <f>SUM(N9:N41)</f>
        <v>2661419.2400000002</v>
      </c>
      <c r="O42" s="102">
        <v>0.03</v>
      </c>
      <c r="Q42" s="101"/>
      <c r="R42" s="101"/>
      <c r="S42" s="101"/>
      <c r="T42" s="101"/>
      <c r="U42" s="101"/>
      <c r="V42" s="101"/>
      <c r="W42" s="101"/>
      <c r="X42" s="103"/>
      <c r="Y42" s="104"/>
      <c r="Z42" s="101"/>
      <c r="AA42" s="101"/>
      <c r="AB42" s="101"/>
      <c r="AC42" s="101"/>
    </row>
    <row r="43" spans="2:29" ht="15.75" x14ac:dyDescent="0.25">
      <c r="C43" s="4"/>
      <c r="D43" s="94"/>
      <c r="G43" s="96"/>
      <c r="K43" s="101" t="s">
        <v>95</v>
      </c>
      <c r="L43" s="101" t="s">
        <v>95</v>
      </c>
      <c r="M43" s="105"/>
      <c r="N43" s="101"/>
      <c r="O43" s="101"/>
      <c r="Q43" s="101">
        <f>-N42</f>
        <v>-2661419.2400000002</v>
      </c>
      <c r="R43" s="101"/>
      <c r="S43" s="101"/>
      <c r="T43" s="101"/>
      <c r="U43" s="101"/>
      <c r="V43" s="101"/>
      <c r="W43" s="101"/>
      <c r="X43" s="103"/>
      <c r="Y43" s="104"/>
      <c r="Z43" s="101"/>
      <c r="AA43" s="101"/>
      <c r="AB43" s="101"/>
      <c r="AC43" s="101"/>
    </row>
    <row r="44" spans="2:29" ht="15.75" x14ac:dyDescent="0.25">
      <c r="F44" s="106" t="s">
        <v>96</v>
      </c>
      <c r="G44" s="107">
        <f>+G42+G43</f>
        <v>1965067</v>
      </c>
      <c r="H44" s="108"/>
      <c r="I44" s="108"/>
      <c r="K44" s="101">
        <f>SUM(K42:K43)</f>
        <v>492308.23000000027</v>
      </c>
      <c r="L44" s="101">
        <f>SUM(L42:L43)</f>
        <v>306841.3299999999</v>
      </c>
      <c r="M44" s="101">
        <f>SUM(M42:M43)</f>
        <v>1862269.6800000002</v>
      </c>
      <c r="N44" s="101">
        <f>SUM(N42:N43)</f>
        <v>2661419.2400000002</v>
      </c>
      <c r="O44" s="101"/>
      <c r="P44" s="54"/>
      <c r="Q44" s="109"/>
      <c r="R44" s="109"/>
      <c r="S44" s="109"/>
      <c r="T44" s="109"/>
      <c r="U44" s="109"/>
      <c r="V44" s="109"/>
      <c r="W44" s="109"/>
      <c r="X44" s="110"/>
      <c r="Y44" s="111"/>
      <c r="Z44" s="109"/>
      <c r="AA44" s="109"/>
      <c r="AB44" s="109"/>
      <c r="AC44" s="109"/>
    </row>
    <row r="45" spans="2:29" ht="21.75" customHeight="1" x14ac:dyDescent="0.2">
      <c r="G45" s="112"/>
      <c r="K45" s="101"/>
      <c r="L45" s="113"/>
      <c r="M45" s="101"/>
      <c r="N45" s="101"/>
      <c r="O45" s="101"/>
    </row>
    <row r="46" spans="2:29" ht="21.75" customHeight="1" x14ac:dyDescent="0.2">
      <c r="G46" s="114"/>
      <c r="H46" s="108"/>
      <c r="L46" s="103"/>
      <c r="M46" s="54"/>
      <c r="N46" s="54"/>
      <c r="O46" s="54"/>
    </row>
    <row r="47" spans="2:29" x14ac:dyDescent="0.2">
      <c r="H47" s="108"/>
      <c r="L47" s="115"/>
      <c r="N47" s="113"/>
      <c r="O47" s="113"/>
    </row>
    <row r="48" spans="2:29" x14ac:dyDescent="0.2">
      <c r="F48" s="20" t="s">
        <v>97</v>
      </c>
      <c r="L48" s="116"/>
      <c r="N48" s="117"/>
      <c r="O48" s="117"/>
    </row>
    <row r="49" spans="12:38" x14ac:dyDescent="0.2">
      <c r="L49" s="116"/>
      <c r="M49" s="118"/>
      <c r="AD49" s="119"/>
      <c r="AE49" s="3" t="s">
        <v>98</v>
      </c>
      <c r="AF49" s="3" t="s">
        <v>99</v>
      </c>
      <c r="AG49" s="3" t="s">
        <v>100</v>
      </c>
      <c r="AH49" s="120" t="s">
        <v>0</v>
      </c>
      <c r="AI49" s="3" t="s">
        <v>101</v>
      </c>
      <c r="AJ49" s="3" t="s">
        <v>102</v>
      </c>
      <c r="AK49" s="3" t="s">
        <v>103</v>
      </c>
      <c r="AL49" s="3" t="s">
        <v>104</v>
      </c>
    </row>
    <row r="50" spans="12:38" x14ac:dyDescent="0.2">
      <c r="L50" s="116"/>
      <c r="M50" s="118"/>
      <c r="N50" s="113"/>
      <c r="O50" s="113"/>
      <c r="AD50" s="32"/>
      <c r="AE50" t="s">
        <v>105</v>
      </c>
      <c r="AH50" s="32">
        <v>0</v>
      </c>
      <c r="AL50" t="s">
        <v>106</v>
      </c>
    </row>
    <row r="51" spans="12:38" x14ac:dyDescent="0.2">
      <c r="L51" s="116"/>
      <c r="M51" s="118"/>
      <c r="N51" s="54"/>
      <c r="O51" s="54"/>
      <c r="AD51" s="32"/>
      <c r="AE51" t="s">
        <v>105</v>
      </c>
      <c r="AH51" s="32">
        <v>0</v>
      </c>
      <c r="AL51" t="s">
        <v>107</v>
      </c>
    </row>
    <row r="52" spans="12:38" x14ac:dyDescent="0.2">
      <c r="L52" s="116"/>
      <c r="M52" s="118"/>
      <c r="N52" s="54"/>
      <c r="O52" s="54"/>
      <c r="AD52" s="32"/>
      <c r="AE52" t="s">
        <v>105</v>
      </c>
      <c r="AH52" s="32">
        <v>0</v>
      </c>
      <c r="AL52" t="s">
        <v>107</v>
      </c>
    </row>
    <row r="53" spans="12:38" x14ac:dyDescent="0.2">
      <c r="L53" s="116"/>
      <c r="M53" s="54"/>
      <c r="N53" s="118"/>
      <c r="O53" s="118"/>
      <c r="AD53" s="32"/>
      <c r="AE53" t="s">
        <v>105</v>
      </c>
      <c r="AH53" s="32">
        <v>0</v>
      </c>
      <c r="AL53" t="s">
        <v>107</v>
      </c>
    </row>
    <row r="54" spans="12:38" x14ac:dyDescent="0.2">
      <c r="L54" s="121"/>
      <c r="N54" s="122"/>
      <c r="O54" s="122"/>
      <c r="AD54" s="32"/>
      <c r="AH54" s="32"/>
    </row>
    <row r="55" spans="12:38" x14ac:dyDescent="0.2">
      <c r="L55" s="115"/>
      <c r="N55" s="123"/>
      <c r="O55" s="123"/>
      <c r="AD55" s="32"/>
      <c r="AE55" t="s">
        <v>105</v>
      </c>
      <c r="AH55" s="32">
        <v>0</v>
      </c>
      <c r="AL55" t="s">
        <v>108</v>
      </c>
    </row>
    <row r="56" spans="12:38" x14ac:dyDescent="0.2">
      <c r="AD56" s="32"/>
      <c r="AE56" t="s">
        <v>105</v>
      </c>
      <c r="AH56" s="32">
        <v>0</v>
      </c>
      <c r="AL56" t="s">
        <v>108</v>
      </c>
    </row>
    <row r="57" spans="12:38" x14ac:dyDescent="0.2">
      <c r="AD57" s="32"/>
      <c r="AE57" t="s">
        <v>105</v>
      </c>
      <c r="AH57" s="32">
        <v>0</v>
      </c>
      <c r="AL57" t="s">
        <v>108</v>
      </c>
    </row>
    <row r="58" spans="12:38" x14ac:dyDescent="0.2">
      <c r="AD58" s="32"/>
      <c r="AH58" s="32"/>
    </row>
    <row r="59" spans="12:38" x14ac:dyDescent="0.2">
      <c r="AD59" s="32"/>
      <c r="AE59" t="s">
        <v>105</v>
      </c>
      <c r="AH59" s="32">
        <v>0</v>
      </c>
      <c r="AL59" t="s">
        <v>109</v>
      </c>
    </row>
    <row r="60" spans="12:38" x14ac:dyDescent="0.2">
      <c r="AD60" s="124"/>
      <c r="AE60" t="s">
        <v>105</v>
      </c>
      <c r="AH60" s="32">
        <v>0</v>
      </c>
      <c r="AL60" t="s">
        <v>110</v>
      </c>
    </row>
    <row r="61" spans="12:38" x14ac:dyDescent="0.2">
      <c r="AD61" s="124"/>
      <c r="AE61" t="s">
        <v>105</v>
      </c>
      <c r="AH61" s="32">
        <v>0</v>
      </c>
      <c r="AL61" t="s">
        <v>111</v>
      </c>
    </row>
    <row r="62" spans="12:38" x14ac:dyDescent="0.2">
      <c r="AD62" s="32"/>
      <c r="AE62" t="s">
        <v>105</v>
      </c>
      <c r="AH62" s="32">
        <v>0</v>
      </c>
      <c r="AL62" t="s">
        <v>109</v>
      </c>
    </row>
    <row r="63" spans="12:38" x14ac:dyDescent="0.2">
      <c r="AD63" s="32"/>
      <c r="AH63" s="32"/>
    </row>
    <row r="64" spans="12:38" x14ac:dyDescent="0.2">
      <c r="AD64" s="125"/>
      <c r="AE64" t="s">
        <v>105</v>
      </c>
      <c r="AH64" s="32">
        <v>0</v>
      </c>
      <c r="AL64" t="s">
        <v>109</v>
      </c>
    </row>
    <row r="65" spans="2:38" x14ac:dyDescent="0.2">
      <c r="AD65" s="125"/>
      <c r="AE65" t="s">
        <v>105</v>
      </c>
      <c r="AH65" s="32">
        <v>0</v>
      </c>
      <c r="AL65" t="s">
        <v>109</v>
      </c>
    </row>
    <row r="66" spans="2:38" x14ac:dyDescent="0.2">
      <c r="AD66" s="125"/>
      <c r="AH66" s="32"/>
    </row>
    <row r="67" spans="2:38" s="88" customFormat="1" x14ac:dyDescent="0.2">
      <c r="B67" s="4"/>
      <c r="C67" s="25"/>
      <c r="D67" s="20"/>
      <c r="E67" s="20"/>
      <c r="F67" s="20"/>
      <c r="G67" s="87"/>
      <c r="P67"/>
      <c r="Q67"/>
      <c r="R67"/>
      <c r="S67"/>
      <c r="T67"/>
      <c r="U67"/>
      <c r="V67"/>
      <c r="W67"/>
      <c r="X67" s="18"/>
      <c r="Y67" s="8"/>
      <c r="Z67"/>
      <c r="AA67"/>
      <c r="AB67"/>
      <c r="AC67"/>
      <c r="AD67" s="124"/>
      <c r="AE67" t="s">
        <v>105</v>
      </c>
      <c r="AF67"/>
      <c r="AG67"/>
      <c r="AH67" s="32">
        <v>0</v>
      </c>
      <c r="AI67"/>
      <c r="AJ67"/>
      <c r="AK67"/>
      <c r="AL67" t="s">
        <v>112</v>
      </c>
    </row>
    <row r="68" spans="2:38" x14ac:dyDescent="0.2">
      <c r="AD68" s="124"/>
      <c r="AE68" t="s">
        <v>105</v>
      </c>
      <c r="AH68" s="32">
        <v>0</v>
      </c>
      <c r="AL68" t="s">
        <v>113</v>
      </c>
    </row>
    <row r="69" spans="2:38" x14ac:dyDescent="0.2">
      <c r="AD69" s="32"/>
      <c r="AE69" t="s">
        <v>105</v>
      </c>
      <c r="AH69" s="32">
        <v>0</v>
      </c>
      <c r="AL69" t="s">
        <v>114</v>
      </c>
    </row>
    <row r="70" spans="2:38" x14ac:dyDescent="0.2">
      <c r="AD70" s="32"/>
      <c r="AH70" s="32"/>
    </row>
    <row r="71" spans="2:38" x14ac:dyDescent="0.2">
      <c r="AD71" s="124"/>
      <c r="AE71" t="s">
        <v>105</v>
      </c>
      <c r="AH71" s="32">
        <v>0</v>
      </c>
      <c r="AL71" t="s">
        <v>112</v>
      </c>
    </row>
    <row r="72" spans="2:38" x14ac:dyDescent="0.2">
      <c r="AD72" s="125"/>
      <c r="AE72" t="s">
        <v>105</v>
      </c>
      <c r="AH72" s="32">
        <v>0</v>
      </c>
      <c r="AL72" t="s">
        <v>112</v>
      </c>
    </row>
    <row r="73" spans="2:38" x14ac:dyDescent="0.2">
      <c r="AD73" s="125"/>
      <c r="AE73" t="s">
        <v>105</v>
      </c>
      <c r="AH73" s="32">
        <v>0</v>
      </c>
      <c r="AL73" t="s">
        <v>112</v>
      </c>
    </row>
    <row r="74" spans="2:38" x14ac:dyDescent="0.2">
      <c r="AD74" s="124"/>
      <c r="AH74" s="32"/>
    </row>
    <row r="75" spans="2:38" x14ac:dyDescent="0.2">
      <c r="AD75" s="32"/>
      <c r="AE75" t="s">
        <v>105</v>
      </c>
      <c r="AH75" s="32">
        <v>0</v>
      </c>
      <c r="AL75" t="s">
        <v>115</v>
      </c>
    </row>
    <row r="76" spans="2:38" x14ac:dyDescent="0.2">
      <c r="AD76" s="125"/>
      <c r="AE76" t="s">
        <v>105</v>
      </c>
      <c r="AH76" s="32">
        <v>0</v>
      </c>
      <c r="AL76" t="s">
        <v>116</v>
      </c>
    </row>
    <row r="77" spans="2:38" x14ac:dyDescent="0.2">
      <c r="AD77" s="125"/>
      <c r="AE77" t="s">
        <v>105</v>
      </c>
      <c r="AH77" s="32">
        <v>0</v>
      </c>
      <c r="AL77" t="s">
        <v>116</v>
      </c>
    </row>
    <row r="78" spans="2:38" x14ac:dyDescent="0.2">
      <c r="AD78" s="32"/>
      <c r="AH78" s="32"/>
    </row>
    <row r="79" spans="2:38" x14ac:dyDescent="0.2">
      <c r="AD79" s="32"/>
      <c r="AE79" t="s">
        <v>105</v>
      </c>
      <c r="AH79" s="32">
        <v>0</v>
      </c>
      <c r="AL79" t="s">
        <v>116</v>
      </c>
    </row>
    <row r="80" spans="2:38" x14ac:dyDescent="0.2">
      <c r="AD80" s="125"/>
      <c r="AE80" t="s">
        <v>105</v>
      </c>
      <c r="AH80" s="32">
        <v>0</v>
      </c>
      <c r="AL80" t="s">
        <v>115</v>
      </c>
    </row>
    <row r="81" spans="30:38" x14ac:dyDescent="0.2">
      <c r="AD81" s="125"/>
      <c r="AE81" t="s">
        <v>105</v>
      </c>
      <c r="AH81" s="32">
        <v>0</v>
      </c>
      <c r="AL81" t="s">
        <v>115</v>
      </c>
    </row>
    <row r="82" spans="30:38" x14ac:dyDescent="0.2">
      <c r="AD82" s="32"/>
      <c r="AE82" t="s">
        <v>105</v>
      </c>
      <c r="AH82" s="32">
        <v>0</v>
      </c>
      <c r="AL82" t="s">
        <v>117</v>
      </c>
    </row>
    <row r="83" spans="30:38" x14ac:dyDescent="0.2">
      <c r="AD83" s="125"/>
      <c r="AE83" t="s">
        <v>105</v>
      </c>
      <c r="AH83" s="32">
        <v>0</v>
      </c>
      <c r="AL83" t="s">
        <v>115</v>
      </c>
    </row>
    <row r="84" spans="30:38" x14ac:dyDescent="0.2">
      <c r="AD84" s="125"/>
      <c r="AE84" t="s">
        <v>105</v>
      </c>
      <c r="AH84" s="32">
        <v>0</v>
      </c>
      <c r="AL84" t="s">
        <v>115</v>
      </c>
    </row>
    <row r="85" spans="30:38" x14ac:dyDescent="0.2">
      <c r="AD85" s="125"/>
      <c r="AH85" s="32"/>
    </row>
    <row r="86" spans="30:38" x14ac:dyDescent="0.2">
      <c r="AD86" s="32"/>
      <c r="AE86" t="s">
        <v>105</v>
      </c>
      <c r="AH86" s="32">
        <v>0</v>
      </c>
      <c r="AL86" t="s">
        <v>118</v>
      </c>
    </row>
    <row r="87" spans="30:38" x14ac:dyDescent="0.2">
      <c r="AD87" s="32"/>
      <c r="AH87" s="32"/>
    </row>
    <row r="88" spans="30:38" x14ac:dyDescent="0.2">
      <c r="AD88" s="32"/>
      <c r="AH88" s="32"/>
    </row>
    <row r="89" spans="30:38" x14ac:dyDescent="0.2">
      <c r="AD89" s="4" t="s">
        <v>119</v>
      </c>
      <c r="AE89" t="s">
        <v>105</v>
      </c>
      <c r="AH89" s="32">
        <v>0</v>
      </c>
      <c r="AL89" t="s">
        <v>120</v>
      </c>
    </row>
    <row r="102" spans="2:29" x14ac:dyDescent="0.2">
      <c r="B102" s="11"/>
      <c r="D102" s="94"/>
    </row>
    <row r="103" spans="2:29" x14ac:dyDescent="0.2">
      <c r="B103" s="11"/>
      <c r="D103" s="94"/>
      <c r="Q103" s="115"/>
      <c r="R103" s="115"/>
      <c r="S103" s="115"/>
      <c r="T103" s="115"/>
      <c r="U103" s="115"/>
      <c r="V103" s="115"/>
      <c r="W103" s="115"/>
      <c r="X103" s="115"/>
      <c r="Y103" s="126"/>
      <c r="Z103" s="115"/>
      <c r="AA103" s="115"/>
      <c r="AB103" s="115"/>
      <c r="AC103" s="115"/>
    </row>
    <row r="104" spans="2:29" x14ac:dyDescent="0.2">
      <c r="Q104" s="115"/>
      <c r="R104" s="115"/>
      <c r="S104" s="115"/>
      <c r="T104" s="115"/>
      <c r="U104" s="115"/>
      <c r="V104" s="115"/>
      <c r="W104" s="115"/>
      <c r="X104" s="115"/>
      <c r="Y104" s="126"/>
      <c r="Z104" s="115"/>
      <c r="AA104" s="115"/>
      <c r="AB104" s="115"/>
      <c r="AC104" s="115"/>
    </row>
    <row r="105" spans="2:29" x14ac:dyDescent="0.2">
      <c r="D105" s="94"/>
    </row>
    <row r="106" spans="2:29" x14ac:dyDescent="0.2">
      <c r="D106" s="94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24F1-1A1F-4588-8572-330AB3829514}">
  <sheetPr>
    <tabColor rgb="FFFFFF00"/>
  </sheetPr>
  <dimension ref="B1:AK105"/>
  <sheetViews>
    <sheetView showGridLines="0" tabSelected="1" topLeftCell="A10" zoomScaleNormal="100" workbookViewId="0">
      <selection activeCell="C30" sqref="C30"/>
    </sheetView>
  </sheetViews>
  <sheetFormatPr defaultRowHeight="15" x14ac:dyDescent="0.2"/>
  <cols>
    <col min="1" max="1" width="1.7109375" style="129" customWidth="1"/>
    <col min="2" max="2" width="21.7109375" style="129" customWidth="1"/>
    <col min="3" max="3" width="26.140625" style="25" customWidth="1"/>
    <col min="4" max="4" width="3.5703125" style="383" hidden="1" customWidth="1"/>
    <col min="5" max="5" width="4" style="383" bestFit="1" customWidth="1"/>
    <col min="6" max="6" width="13.7109375" style="383" customWidth="1"/>
    <col min="7" max="7" width="15" style="87" bestFit="1" customWidth="1"/>
    <col min="8" max="8" width="12.5703125" style="88" customWidth="1"/>
    <col min="9" max="9" width="15" style="88" bestFit="1" customWidth="1"/>
    <col min="10" max="10" width="14" style="88" bestFit="1" customWidth="1"/>
    <col min="11" max="12" width="16.140625" style="88" bestFit="1" customWidth="1"/>
    <col min="13" max="13" width="14.5703125" style="88" bestFit="1" customWidth="1"/>
    <col min="14" max="14" width="16.85546875" style="88" bestFit="1" customWidth="1"/>
    <col min="15" max="15" width="8.28515625" style="88" hidden="1" customWidth="1"/>
    <col min="16" max="16" width="1.7109375" style="129" customWidth="1"/>
    <col min="17" max="17" width="16.42578125" style="129" hidden="1" customWidth="1"/>
    <col min="18" max="18" width="14.7109375" style="129" hidden="1" customWidth="1"/>
    <col min="19" max="19" width="9.7109375" style="129" hidden="1" customWidth="1"/>
    <col min="20" max="20" width="13.85546875" style="129" hidden="1" customWidth="1"/>
    <col min="21" max="21" width="12.85546875" style="129" hidden="1" customWidth="1"/>
    <col min="22" max="22" width="7.140625" style="129" customWidth="1"/>
    <col min="23" max="23" width="5.28515625" style="382" bestFit="1" customWidth="1"/>
    <col min="24" max="24" width="14.7109375" style="361" bestFit="1" customWidth="1"/>
    <col min="25" max="25" width="6.140625" style="129" bestFit="1" customWidth="1"/>
    <col min="26" max="26" width="8" style="129" bestFit="1" customWidth="1"/>
    <col min="27" max="28" width="9.7109375" style="129" customWidth="1"/>
    <col min="29" max="29" width="25.28515625" style="129" customWidth="1"/>
    <col min="30" max="30" width="19.28515625" style="129" bestFit="1" customWidth="1"/>
    <col min="31" max="31" width="11.42578125" style="129" bestFit="1" customWidth="1"/>
    <col min="32" max="32" width="17" style="129" bestFit="1" customWidth="1"/>
    <col min="33" max="33" width="14.7109375" style="129" customWidth="1"/>
    <col min="34" max="34" width="9.140625" style="129"/>
    <col min="35" max="35" width="17" style="129" bestFit="1" customWidth="1"/>
    <col min="36" max="36" width="13.85546875" style="129" bestFit="1" customWidth="1"/>
    <col min="37" max="37" width="31.7109375" style="129" customWidth="1"/>
    <col min="38" max="16384" width="9.140625" style="129"/>
  </cols>
  <sheetData>
    <row r="1" spans="2:30" ht="14.25" customHeight="1" x14ac:dyDescent="0.2">
      <c r="B1" s="326" t="s">
        <v>25</v>
      </c>
      <c r="C1" s="19"/>
      <c r="E1" s="427" t="s">
        <v>202</v>
      </c>
      <c r="F1" s="427"/>
      <c r="G1" s="427"/>
      <c r="H1" s="427"/>
      <c r="I1" s="427"/>
      <c r="J1" s="427"/>
      <c r="K1" s="427"/>
      <c r="L1" s="422"/>
      <c r="M1" s="422"/>
      <c r="N1" s="422"/>
      <c r="O1" s="422"/>
      <c r="P1" s="422"/>
      <c r="Q1" s="419"/>
      <c r="R1" s="419"/>
      <c r="S1" s="419"/>
      <c r="T1" s="419"/>
      <c r="U1" s="419"/>
      <c r="V1" s="419"/>
      <c r="W1" s="421"/>
      <c r="X1" s="420"/>
      <c r="Y1" s="419"/>
      <c r="Z1" s="419"/>
      <c r="AA1" s="419"/>
      <c r="AB1" s="419"/>
    </row>
    <row r="2" spans="2:30" ht="14.25" customHeight="1" x14ac:dyDescent="0.25">
      <c r="B2" s="326" t="s">
        <v>27</v>
      </c>
      <c r="C2" s="19"/>
      <c r="D2" s="419"/>
      <c r="E2" s="427"/>
      <c r="F2" s="427"/>
      <c r="G2" s="427"/>
      <c r="H2" s="427"/>
      <c r="I2" s="427"/>
      <c r="J2" s="427"/>
      <c r="K2" s="427"/>
      <c r="L2" s="366" t="s">
        <v>28</v>
      </c>
      <c r="M2" s="366"/>
      <c r="N2" s="366"/>
      <c r="O2" s="366"/>
      <c r="P2" s="366"/>
    </row>
    <row r="3" spans="2:30" ht="14.25" customHeight="1" x14ac:dyDescent="0.25">
      <c r="B3" s="425" t="s">
        <v>29</v>
      </c>
      <c r="C3" s="425"/>
      <c r="D3" s="419"/>
      <c r="E3" s="423"/>
      <c r="F3" s="424">
        <f>'[4]Core Cost Incurred'!B2</f>
        <v>44525</v>
      </c>
      <c r="G3" s="424"/>
      <c r="H3" s="424"/>
      <c r="I3" s="424"/>
      <c r="J3" s="424"/>
      <c r="K3" s="424"/>
      <c r="L3" s="426" t="s">
        <v>30</v>
      </c>
      <c r="M3" s="426"/>
      <c r="N3" s="426"/>
      <c r="O3" s="426"/>
      <c r="P3" s="426"/>
    </row>
    <row r="4" spans="2:30" ht="14.25" customHeight="1" x14ac:dyDescent="0.25">
      <c r="B4" s="425" t="s">
        <v>31</v>
      </c>
      <c r="C4" s="425"/>
      <c r="D4" s="419"/>
      <c r="E4" s="423"/>
      <c r="F4" s="424"/>
      <c r="G4" s="424"/>
      <c r="H4" s="424"/>
      <c r="I4" s="424"/>
      <c r="J4" s="424"/>
      <c r="K4" s="424"/>
      <c r="L4" s="370" t="s">
        <v>32</v>
      </c>
      <c r="M4" s="370"/>
      <c r="N4" s="370"/>
      <c r="O4" s="370"/>
      <c r="P4" s="370"/>
    </row>
    <row r="5" spans="2:30" ht="14.25" customHeight="1" x14ac:dyDescent="0.2">
      <c r="D5" s="419"/>
      <c r="E5" s="423"/>
      <c r="F5" s="423"/>
      <c r="G5" s="423"/>
      <c r="H5" s="423"/>
      <c r="I5" s="423"/>
      <c r="J5" s="423"/>
      <c r="K5" s="423"/>
      <c r="L5" s="422"/>
      <c r="M5" s="422"/>
      <c r="N5" s="422"/>
      <c r="O5" s="422"/>
      <c r="P5" s="422"/>
      <c r="Q5" s="419"/>
      <c r="R5" s="419"/>
      <c r="S5" s="419"/>
      <c r="T5" s="419"/>
      <c r="U5" s="419"/>
      <c r="V5" s="419"/>
      <c r="W5" s="421"/>
      <c r="X5" s="420"/>
      <c r="Y5" s="419"/>
      <c r="Z5" s="419"/>
      <c r="AA5" s="419"/>
      <c r="AB5" s="419"/>
    </row>
    <row r="6" spans="2:30" x14ac:dyDescent="0.25">
      <c r="B6" s="418"/>
      <c r="C6" s="27"/>
      <c r="D6" s="417"/>
      <c r="E6" s="417"/>
      <c r="F6" s="417"/>
      <c r="G6" s="29" t="s">
        <v>33</v>
      </c>
      <c r="H6" s="30" t="s">
        <v>3</v>
      </c>
      <c r="I6" s="30" t="s">
        <v>5</v>
      </c>
      <c r="J6" s="30" t="s">
        <v>34</v>
      </c>
      <c r="K6" s="30" t="s">
        <v>3</v>
      </c>
      <c r="L6" s="30" t="s">
        <v>5</v>
      </c>
      <c r="M6" s="30"/>
      <c r="N6" s="30" t="s">
        <v>10</v>
      </c>
      <c r="O6" s="31"/>
      <c r="Q6" s="385"/>
      <c r="R6" s="412">
        <v>200294.94</v>
      </c>
      <c r="S6" s="385"/>
      <c r="T6" s="385"/>
      <c r="U6" s="412">
        <v>140046.39000000001</v>
      </c>
      <c r="V6" s="385"/>
      <c r="W6" s="411"/>
      <c r="X6" s="50"/>
      <c r="Y6" s="385"/>
      <c r="Z6" s="385"/>
      <c r="AA6" s="385"/>
      <c r="AB6" s="385"/>
      <c r="AC6" s="416"/>
    </row>
    <row r="7" spans="2:30" x14ac:dyDescent="0.25">
      <c r="B7" s="415"/>
      <c r="C7" s="38"/>
      <c r="D7" s="414"/>
      <c r="E7" s="414"/>
      <c r="F7" s="413" t="s">
        <v>35</v>
      </c>
      <c r="G7" s="29" t="s">
        <v>36</v>
      </c>
      <c r="H7" s="30" t="s">
        <v>37</v>
      </c>
      <c r="I7" s="30" t="s">
        <v>37</v>
      </c>
      <c r="J7" s="30" t="s">
        <v>9</v>
      </c>
      <c r="K7" s="30" t="s">
        <v>38</v>
      </c>
      <c r="L7" s="30" t="s">
        <v>38</v>
      </c>
      <c r="M7" s="30" t="s">
        <v>34</v>
      </c>
      <c r="N7" s="30" t="s">
        <v>34</v>
      </c>
      <c r="O7" s="31"/>
      <c r="Q7" s="412">
        <v>11214374</v>
      </c>
      <c r="R7" s="412">
        <f>2345597.06+78799.97+56688.77</f>
        <v>2481085.8000000003</v>
      </c>
      <c r="S7" s="385"/>
      <c r="T7" s="412">
        <v>2845776</v>
      </c>
      <c r="U7" s="412">
        <v>459339.89</v>
      </c>
      <c r="V7" s="385"/>
      <c r="W7" s="411"/>
      <c r="X7" s="50"/>
      <c r="Y7" s="385"/>
      <c r="Z7" s="385"/>
      <c r="AA7" s="385"/>
      <c r="AB7" s="385"/>
      <c r="AC7" s="410"/>
      <c r="AD7" s="356"/>
    </row>
    <row r="8" spans="2:30" s="406" customFormat="1" x14ac:dyDescent="0.2">
      <c r="B8" s="409"/>
      <c r="C8" s="43"/>
      <c r="D8" s="409" t="s">
        <v>39</v>
      </c>
      <c r="E8" s="408" t="s">
        <v>40</v>
      </c>
      <c r="F8" s="408" t="s">
        <v>40</v>
      </c>
      <c r="G8" s="45" t="s">
        <v>41</v>
      </c>
      <c r="H8" s="46" t="s">
        <v>42</v>
      </c>
      <c r="I8" s="46" t="str">
        <f>+H8</f>
        <v>Nov 1 2020</v>
      </c>
      <c r="J8" s="46" t="str">
        <f>I8</f>
        <v>Nov 1 2020</v>
      </c>
      <c r="K8" s="47" t="s">
        <v>43</v>
      </c>
      <c r="L8" s="47" t="s">
        <v>43</v>
      </c>
      <c r="M8" s="47" t="s">
        <v>9</v>
      </c>
      <c r="N8" s="47" t="s">
        <v>43</v>
      </c>
      <c r="O8" s="31"/>
      <c r="P8" s="129"/>
      <c r="W8" s="407"/>
      <c r="X8" s="50">
        <v>1501</v>
      </c>
      <c r="Y8" s="385"/>
      <c r="Z8" s="385"/>
      <c r="AA8" s="385"/>
      <c r="AB8" s="385"/>
    </row>
    <row r="9" spans="2:30" ht="15.75" hidden="1" x14ac:dyDescent="0.25">
      <c r="B9" s="397" t="s">
        <v>44</v>
      </c>
      <c r="C9" s="25" t="s">
        <v>45</v>
      </c>
      <c r="D9" s="396">
        <v>1</v>
      </c>
      <c r="E9" s="383" t="s">
        <v>46</v>
      </c>
      <c r="F9" s="383" t="s">
        <v>47</v>
      </c>
      <c r="G9" s="52">
        <v>0</v>
      </c>
      <c r="H9" s="53"/>
      <c r="I9" s="53"/>
      <c r="J9" s="53"/>
      <c r="K9" s="54">
        <f>ROUND(H9*G9,2)</f>
        <v>0</v>
      </c>
      <c r="L9" s="54">
        <f>ROUND(G9*I9,2)</f>
        <v>0</v>
      </c>
      <c r="M9" s="55">
        <f>ROUND(G9*J9,2)</f>
        <v>0</v>
      </c>
      <c r="N9" s="54">
        <f>SUM(K9:M9)</f>
        <v>0</v>
      </c>
      <c r="O9" s="56"/>
      <c r="Q9" s="405">
        <f>+-1529533-194708</f>
        <v>-1724241</v>
      </c>
      <c r="R9" s="405">
        <f>+-304369.99-70364.48</f>
        <v>-374734.47</v>
      </c>
      <c r="S9" s="318"/>
      <c r="T9" s="395">
        <f>+-505447-64182</f>
        <v>-569629</v>
      </c>
      <c r="U9" s="395">
        <f>+-100581.61-23194.4</f>
        <v>-123776.01000000001</v>
      </c>
      <c r="X9" s="60"/>
      <c r="Y9" s="318"/>
      <c r="Z9" s="318"/>
      <c r="AA9" s="318"/>
      <c r="AB9" s="318"/>
    </row>
    <row r="10" spans="2:30" ht="15.75" x14ac:dyDescent="0.25">
      <c r="B10" s="397" t="s">
        <v>44</v>
      </c>
      <c r="C10" s="25" t="s">
        <v>48</v>
      </c>
      <c r="D10" s="396">
        <v>1</v>
      </c>
      <c r="E10" s="383" t="s">
        <v>49</v>
      </c>
      <c r="F10" s="383" t="s">
        <v>50</v>
      </c>
      <c r="G10" s="61">
        <f>+X10</f>
        <v>3055417</v>
      </c>
      <c r="H10" s="400">
        <v>0.31553999999999999</v>
      </c>
      <c r="I10" s="400">
        <v>0.17981</v>
      </c>
      <c r="J10" s="404">
        <f>0.12954+0.07276</f>
        <v>0.20229999999999998</v>
      </c>
      <c r="K10" s="54">
        <f>ROUND(H10*G10,2)</f>
        <v>964106.28</v>
      </c>
      <c r="L10" s="54">
        <f>ROUND(G10*I10,2)</f>
        <v>549394.53</v>
      </c>
      <c r="M10" s="63">
        <f>ROUND(G10*J10,2)</f>
        <v>618110.86</v>
      </c>
      <c r="N10" s="64">
        <f>SUM(K10:M10)</f>
        <v>2131611.67</v>
      </c>
      <c r="O10" s="56"/>
      <c r="Q10" s="395"/>
      <c r="R10" s="395"/>
      <c r="S10" s="395"/>
      <c r="T10" s="395"/>
      <c r="U10" s="395"/>
      <c r="V10" s="65">
        <v>4800</v>
      </c>
      <c r="W10" s="66">
        <v>503</v>
      </c>
      <c r="X10" s="403">
        <v>3055417</v>
      </c>
      <c r="Y10" s="318"/>
      <c r="Z10" s="318"/>
      <c r="AA10" s="318"/>
      <c r="AB10" s="318"/>
    </row>
    <row r="11" spans="2:30" ht="15.75" x14ac:dyDescent="0.25">
      <c r="B11" s="397" t="s">
        <v>51</v>
      </c>
      <c r="C11" s="25" t="s">
        <v>52</v>
      </c>
      <c r="D11" s="396">
        <v>1</v>
      </c>
      <c r="E11" s="383" t="s">
        <v>49</v>
      </c>
      <c r="F11" s="383" t="s">
        <v>50</v>
      </c>
      <c r="G11" s="72"/>
      <c r="H11" s="70">
        <f>$H$10</f>
        <v>0.31553999999999999</v>
      </c>
      <c r="I11" s="70">
        <f>$I$10</f>
        <v>0.17981</v>
      </c>
      <c r="J11" s="399">
        <f>+$J$10</f>
        <v>0.20229999999999998</v>
      </c>
      <c r="K11" s="54">
        <f>ROUND(H11*G11,2)</f>
        <v>0</v>
      </c>
      <c r="L11" s="54">
        <f>ROUND(G11*I11,2)</f>
        <v>0</v>
      </c>
      <c r="M11" s="63"/>
      <c r="N11" s="64">
        <f>SUM(K11:M11)</f>
        <v>0</v>
      </c>
      <c r="O11" s="56"/>
      <c r="Q11" s="395"/>
      <c r="R11" s="395"/>
      <c r="S11" s="395"/>
      <c r="T11" s="395"/>
      <c r="U11" s="395"/>
      <c r="V11" s="65">
        <v>4809</v>
      </c>
      <c r="W11" s="66">
        <v>505</v>
      </c>
      <c r="X11" s="402">
        <v>241794</v>
      </c>
      <c r="Y11" s="318"/>
      <c r="Z11" s="318"/>
      <c r="AA11" s="318"/>
      <c r="AB11" s="318"/>
    </row>
    <row r="12" spans="2:30" ht="15.75" x14ac:dyDescent="0.25">
      <c r="B12" s="397" t="s">
        <v>51</v>
      </c>
      <c r="C12" s="25" t="s">
        <v>53</v>
      </c>
      <c r="D12" s="396">
        <v>1</v>
      </c>
      <c r="E12" s="383" t="s">
        <v>49</v>
      </c>
      <c r="F12" s="383" t="s">
        <v>50</v>
      </c>
      <c r="G12" s="69">
        <f>+X21</f>
        <v>11107830</v>
      </c>
      <c r="H12" s="70">
        <f>$H$10</f>
        <v>0.31553999999999999</v>
      </c>
      <c r="I12" s="70">
        <f>$I$10</f>
        <v>0.17981</v>
      </c>
      <c r="J12" s="399">
        <f>+$J$10</f>
        <v>0.20229999999999998</v>
      </c>
      <c r="K12" s="54">
        <f>ROUND(H12*G12,2)</f>
        <v>3504964.68</v>
      </c>
      <c r="L12" s="54">
        <f>ROUND(G12*I12,2)</f>
        <v>1997298.91</v>
      </c>
      <c r="M12" s="63"/>
      <c r="N12" s="64">
        <f>SUM(K12:M12)</f>
        <v>5502263.5899999999</v>
      </c>
      <c r="O12" s="56"/>
      <c r="Q12" s="395"/>
      <c r="R12" s="395"/>
      <c r="S12" s="395"/>
      <c r="T12" s="395"/>
      <c r="U12" s="395"/>
      <c r="V12" s="65">
        <v>4809</v>
      </c>
      <c r="W12" s="66">
        <v>511</v>
      </c>
      <c r="X12" s="402">
        <v>98046</v>
      </c>
      <c r="Z12" s="318"/>
      <c r="AA12" s="318"/>
      <c r="AB12" s="318"/>
    </row>
    <row r="13" spans="2:30" ht="15" customHeight="1" x14ac:dyDescent="0.2">
      <c r="B13" s="397"/>
      <c r="D13" s="396"/>
      <c r="G13" s="52"/>
      <c r="H13" s="70"/>
      <c r="I13" s="70"/>
      <c r="J13" s="399"/>
      <c r="K13" s="54"/>
      <c r="L13" s="54"/>
      <c r="M13" s="63"/>
      <c r="N13" s="64"/>
      <c r="O13" s="56"/>
      <c r="Q13" s="318"/>
      <c r="R13" s="318"/>
      <c r="S13" s="318"/>
      <c r="T13" s="318"/>
      <c r="U13" s="318"/>
      <c r="V13" s="65">
        <v>4810</v>
      </c>
      <c r="W13" s="66" t="s">
        <v>54</v>
      </c>
      <c r="X13" s="402"/>
      <c r="Y13" s="318"/>
      <c r="Z13" s="318"/>
      <c r="AA13" s="318"/>
      <c r="AB13" s="318"/>
    </row>
    <row r="14" spans="2:30" ht="15.75" x14ac:dyDescent="0.25">
      <c r="B14" s="397" t="s">
        <v>55</v>
      </c>
      <c r="C14" s="25" t="s">
        <v>56</v>
      </c>
      <c r="D14" s="396">
        <v>2</v>
      </c>
      <c r="E14" s="383" t="s">
        <v>57</v>
      </c>
      <c r="F14" s="383" t="s">
        <v>58</v>
      </c>
      <c r="G14" s="61">
        <f>+X15</f>
        <v>1834948</v>
      </c>
      <c r="H14" s="70">
        <f>$H$10</f>
        <v>0.31553999999999999</v>
      </c>
      <c r="I14" s="400">
        <v>0.17710999999999999</v>
      </c>
      <c r="J14" s="399">
        <f>+$J$10</f>
        <v>0.20229999999999998</v>
      </c>
      <c r="K14" s="54">
        <f>ROUND(H14*G14,2)</f>
        <v>578999.49</v>
      </c>
      <c r="L14" s="54">
        <f>ROUND(G14*I14,2)</f>
        <v>324987.64</v>
      </c>
      <c r="M14" s="63">
        <f>ROUND(G14*J14,2)</f>
        <v>371209.98</v>
      </c>
      <c r="N14" s="64">
        <f>SUM(K14:M14)</f>
        <v>1275197.1099999999</v>
      </c>
      <c r="O14" s="74">
        <v>-0.02</v>
      </c>
      <c r="Q14" s="318" t="s">
        <v>59</v>
      </c>
      <c r="R14" s="318"/>
      <c r="S14" s="318"/>
      <c r="T14" s="318"/>
      <c r="U14" s="318"/>
      <c r="V14" s="65">
        <v>4810</v>
      </c>
      <c r="W14" s="66" t="s">
        <v>60</v>
      </c>
      <c r="X14" s="402"/>
      <c r="Y14" s="318"/>
      <c r="AA14" s="318"/>
      <c r="AB14" s="318"/>
    </row>
    <row r="15" spans="2:30" ht="15.75" x14ac:dyDescent="0.25">
      <c r="B15" s="397" t="s">
        <v>61</v>
      </c>
      <c r="C15" s="25" t="s">
        <v>62</v>
      </c>
      <c r="D15" s="396">
        <v>2</v>
      </c>
      <c r="E15" s="383" t="s">
        <v>57</v>
      </c>
      <c r="F15" s="383" t="s">
        <v>58</v>
      </c>
      <c r="G15" s="72"/>
      <c r="H15" s="70">
        <f>$H$10</f>
        <v>0.31553999999999999</v>
      </c>
      <c r="I15" s="70">
        <f>+$I$14</f>
        <v>0.17710999999999999</v>
      </c>
      <c r="J15" s="399">
        <f>+$J$10</f>
        <v>0.20229999999999998</v>
      </c>
      <c r="K15" s="54">
        <f>ROUND(H15*G15,2)</f>
        <v>0</v>
      </c>
      <c r="L15" s="54">
        <f>ROUND(G15*I15,2)</f>
        <v>0</v>
      </c>
      <c r="M15" s="63"/>
      <c r="N15" s="64">
        <f>SUM(K15:M15)</f>
        <v>0</v>
      </c>
      <c r="O15" s="74"/>
      <c r="Q15" s="318" t="s">
        <v>63</v>
      </c>
      <c r="R15" s="318">
        <f>101807.82+3135667.8</f>
        <v>3237475.6199999996</v>
      </c>
      <c r="S15" s="318"/>
      <c r="T15" s="318"/>
      <c r="U15" s="395">
        <f>242253.38+412186.68</f>
        <v>654440.06000000006</v>
      </c>
      <c r="V15" s="65">
        <v>4810</v>
      </c>
      <c r="W15" s="66">
        <v>504</v>
      </c>
      <c r="X15" s="402">
        <v>1834948</v>
      </c>
      <c r="Y15" s="318"/>
      <c r="AA15" s="318"/>
      <c r="AB15" s="318"/>
    </row>
    <row r="16" spans="2:30" ht="15.75" x14ac:dyDescent="0.25">
      <c r="B16" s="397" t="s">
        <v>61</v>
      </c>
      <c r="C16" s="25" t="s">
        <v>64</v>
      </c>
      <c r="D16" s="396">
        <v>2</v>
      </c>
      <c r="E16" s="383" t="s">
        <v>57</v>
      </c>
      <c r="F16" s="383" t="s">
        <v>58</v>
      </c>
      <c r="G16" s="69">
        <f>+X22</f>
        <v>8093139</v>
      </c>
      <c r="H16" s="70">
        <f>$H$10</f>
        <v>0.31553999999999999</v>
      </c>
      <c r="I16" s="70">
        <f>+$I$14</f>
        <v>0.17710999999999999</v>
      </c>
      <c r="J16" s="399">
        <f>+$J$10</f>
        <v>0.20229999999999998</v>
      </c>
      <c r="K16" s="54">
        <f>ROUND(H16*G16,2)</f>
        <v>2553709.08</v>
      </c>
      <c r="L16" s="54">
        <f>ROUND(G16*I16,2)</f>
        <v>1433375.85</v>
      </c>
      <c r="M16" s="63"/>
      <c r="N16" s="64">
        <f>SUM(K16:M16)</f>
        <v>3987084.93</v>
      </c>
      <c r="O16" s="56"/>
      <c r="Q16" s="318" t="s">
        <v>63</v>
      </c>
      <c r="R16" s="318">
        <v>55387.57</v>
      </c>
      <c r="S16" s="318"/>
      <c r="T16" s="318"/>
      <c r="U16" s="395">
        <v>7182.43</v>
      </c>
      <c r="V16" s="65">
        <v>4810</v>
      </c>
      <c r="W16" s="66">
        <v>511</v>
      </c>
      <c r="X16" s="402">
        <v>233326</v>
      </c>
      <c r="Y16" s="318"/>
      <c r="Z16" s="318"/>
      <c r="AA16" s="318"/>
      <c r="AB16" s="318"/>
    </row>
    <row r="17" spans="2:28" ht="15.75" x14ac:dyDescent="0.25">
      <c r="B17" s="397"/>
      <c r="D17" s="396"/>
      <c r="G17" s="383"/>
      <c r="H17" s="70"/>
      <c r="I17" s="70"/>
      <c r="J17" s="399"/>
      <c r="K17" s="54"/>
      <c r="L17" s="54"/>
      <c r="M17" s="63"/>
      <c r="N17" s="64"/>
      <c r="O17" s="56"/>
      <c r="Q17" s="318"/>
      <c r="R17" s="318"/>
      <c r="S17" s="318"/>
      <c r="T17" s="318"/>
      <c r="U17" s="395"/>
      <c r="V17" s="65">
        <v>4811</v>
      </c>
      <c r="W17" s="66" t="s">
        <v>65</v>
      </c>
      <c r="X17" s="71"/>
      <c r="Y17" s="318"/>
      <c r="Z17" s="318"/>
      <c r="AA17" s="318"/>
      <c r="AB17" s="318"/>
    </row>
    <row r="18" spans="2:28" ht="15.75" x14ac:dyDescent="0.25">
      <c r="B18" s="397" t="s">
        <v>75</v>
      </c>
      <c r="C18" s="25" t="s">
        <v>76</v>
      </c>
      <c r="D18" s="396">
        <v>3</v>
      </c>
      <c r="E18" s="383" t="s">
        <v>77</v>
      </c>
      <c r="F18" s="383" t="s">
        <v>78</v>
      </c>
      <c r="G18" s="61">
        <f>+X11</f>
        <v>241794</v>
      </c>
      <c r="H18" s="70">
        <f>$H$10</f>
        <v>0.31553999999999999</v>
      </c>
      <c r="I18" s="400">
        <v>0.16378000000000001</v>
      </c>
      <c r="J18" s="399">
        <f>+$J$10</f>
        <v>0.20229999999999998</v>
      </c>
      <c r="K18" s="54">
        <f>ROUND(H18*G18,2)</f>
        <v>76295.679999999993</v>
      </c>
      <c r="L18" s="54">
        <f>ROUND(G18*I18,2)</f>
        <v>39601.019999999997</v>
      </c>
      <c r="M18" s="63">
        <f>ROUND(G18*J18,2)</f>
        <v>48914.93</v>
      </c>
      <c r="N18" s="64">
        <f>SUM(K18:M18)</f>
        <v>164811.62999999998</v>
      </c>
      <c r="O18" s="56"/>
      <c r="Q18" s="318"/>
      <c r="R18" s="318"/>
      <c r="S18" s="318"/>
      <c r="T18" s="318"/>
      <c r="U18" s="395"/>
      <c r="V18" s="65">
        <v>4813</v>
      </c>
      <c r="W18" s="66">
        <v>570</v>
      </c>
      <c r="X18" s="402"/>
      <c r="Y18" s="318"/>
      <c r="Z18" s="318"/>
      <c r="AA18" s="318"/>
      <c r="AB18" s="318"/>
    </row>
    <row r="19" spans="2:28" ht="15.75" x14ac:dyDescent="0.25">
      <c r="B19" s="397" t="s">
        <v>75</v>
      </c>
      <c r="C19" s="25" t="s">
        <v>80</v>
      </c>
      <c r="D19" s="396">
        <v>3</v>
      </c>
      <c r="E19" s="383" t="s">
        <v>67</v>
      </c>
      <c r="F19" s="383" t="s">
        <v>68</v>
      </c>
      <c r="G19" s="61">
        <f>+'WA Rates-NEW'!X12</f>
        <v>98046</v>
      </c>
      <c r="H19" s="70">
        <f>$H$10</f>
        <v>0.31553999999999999</v>
      </c>
      <c r="I19" s="70">
        <f>+I18</f>
        <v>0.16378000000000001</v>
      </c>
      <c r="J19" s="399">
        <f>+$J$10</f>
        <v>0.20229999999999998</v>
      </c>
      <c r="K19" s="54">
        <f>ROUND(H19*G19,2)</f>
        <v>30937.43</v>
      </c>
      <c r="L19" s="54">
        <f>ROUND(G19*I19,2)</f>
        <v>16057.97</v>
      </c>
      <c r="M19" s="63">
        <f>ROUND(G19*J19,2)</f>
        <v>19834.71</v>
      </c>
      <c r="N19" s="64">
        <f>SUM(K19:M19)</f>
        <v>66830.11</v>
      </c>
      <c r="O19" s="56"/>
      <c r="Q19" s="318"/>
      <c r="R19" s="318"/>
      <c r="S19" s="318"/>
      <c r="T19" s="318"/>
      <c r="U19" s="395"/>
      <c r="V19" s="65"/>
      <c r="W19" s="66"/>
      <c r="X19" s="71"/>
      <c r="Y19" s="318"/>
      <c r="Z19" s="318"/>
      <c r="AA19" s="318"/>
      <c r="AB19" s="318"/>
    </row>
    <row r="20" spans="2:28" ht="15.75" x14ac:dyDescent="0.25">
      <c r="B20" s="397" t="s">
        <v>55</v>
      </c>
      <c r="C20" s="25" t="s">
        <v>66</v>
      </c>
      <c r="D20" s="396">
        <v>2</v>
      </c>
      <c r="E20" s="383" t="s">
        <v>67</v>
      </c>
      <c r="F20" s="383" t="s">
        <v>68</v>
      </c>
      <c r="G20" s="61">
        <f>+X16</f>
        <v>233326</v>
      </c>
      <c r="H20" s="70">
        <f>$H$10</f>
        <v>0.31553999999999999</v>
      </c>
      <c r="I20" s="70">
        <f>+I18</f>
        <v>0.16378000000000001</v>
      </c>
      <c r="J20" s="399">
        <f>+$J$10</f>
        <v>0.20229999999999998</v>
      </c>
      <c r="K20" s="54">
        <f>ROUND(H20*G20,2)</f>
        <v>73623.69</v>
      </c>
      <c r="L20" s="54">
        <f>ROUND(G20*I20,2)</f>
        <v>38214.129999999997</v>
      </c>
      <c r="M20" s="63">
        <f>ROUND(G20*J20,2)</f>
        <v>47201.85</v>
      </c>
      <c r="N20" s="64">
        <f>SUM(K20:M20)</f>
        <v>159039.67000000001</v>
      </c>
      <c r="O20" s="56"/>
      <c r="Q20" s="318"/>
      <c r="R20" s="318"/>
      <c r="S20" s="318"/>
      <c r="T20" s="318"/>
      <c r="U20" s="395"/>
      <c r="V20" s="65"/>
      <c r="W20" s="66"/>
      <c r="X20" s="50" t="s">
        <v>71</v>
      </c>
      <c r="Y20" s="318"/>
      <c r="AA20" s="318"/>
      <c r="AB20" s="318"/>
    </row>
    <row r="21" spans="2:28" ht="15.75" x14ac:dyDescent="0.25">
      <c r="B21" s="397"/>
      <c r="D21" s="396"/>
      <c r="G21" s="383"/>
      <c r="H21" s="70"/>
      <c r="I21" s="70"/>
      <c r="J21" s="399"/>
      <c r="K21" s="54"/>
      <c r="L21" s="54"/>
      <c r="M21" s="63"/>
      <c r="N21" s="64"/>
      <c r="O21" s="56"/>
      <c r="Q21" s="318"/>
      <c r="R21" s="318"/>
      <c r="S21" s="318"/>
      <c r="T21" s="318"/>
      <c r="U21" s="395"/>
      <c r="V21" s="65"/>
      <c r="W21" s="66"/>
      <c r="X21" s="78">
        <v>11107830</v>
      </c>
      <c r="Y21" s="318"/>
      <c r="AA21" s="318"/>
      <c r="AB21" s="318"/>
    </row>
    <row r="22" spans="2:28" ht="15" customHeight="1" x14ac:dyDescent="0.25">
      <c r="B22" s="397" t="s">
        <v>55</v>
      </c>
      <c r="C22" s="25" t="s">
        <v>66</v>
      </c>
      <c r="D22" s="396">
        <v>2</v>
      </c>
      <c r="E22" s="383" t="s">
        <v>67</v>
      </c>
      <c r="F22" s="383" t="s">
        <v>69</v>
      </c>
      <c r="G22" s="61">
        <f>+X13</f>
        <v>0</v>
      </c>
      <c r="H22" s="70">
        <f>$H$10</f>
        <v>0.31553999999999999</v>
      </c>
      <c r="I22" s="70">
        <f>+I14</f>
        <v>0.17710999999999999</v>
      </c>
      <c r="J22" s="399">
        <f>+$J$10</f>
        <v>0.20229999999999998</v>
      </c>
      <c r="K22" s="54">
        <f>ROUND(H22*G22,2)</f>
        <v>0</v>
      </c>
      <c r="L22" s="54">
        <f>ROUND(G22*I22,2)</f>
        <v>0</v>
      </c>
      <c r="M22" s="63">
        <f>ROUND(G22*J22,2)</f>
        <v>0</v>
      </c>
      <c r="N22" s="64">
        <f>SUM(K22:M22)</f>
        <v>0</v>
      </c>
      <c r="O22" s="56"/>
      <c r="Q22" s="318"/>
      <c r="R22" s="318"/>
      <c r="S22" s="318"/>
      <c r="T22" s="318"/>
      <c r="U22" s="395"/>
      <c r="V22" s="65"/>
      <c r="W22" s="66"/>
      <c r="X22" s="69">
        <v>8093139</v>
      </c>
      <c r="Y22" s="318"/>
      <c r="AA22" s="318"/>
      <c r="AB22" s="318"/>
    </row>
    <row r="23" spans="2:28" ht="15.75" x14ac:dyDescent="0.25">
      <c r="B23" s="397" t="s">
        <v>61</v>
      </c>
      <c r="C23" s="25" t="s">
        <v>72</v>
      </c>
      <c r="D23" s="396">
        <v>2</v>
      </c>
      <c r="E23" s="383" t="s">
        <v>67</v>
      </c>
      <c r="F23" s="383" t="s">
        <v>69</v>
      </c>
      <c r="G23" s="79"/>
      <c r="H23" s="70">
        <f>$H$10</f>
        <v>0.31553999999999999</v>
      </c>
      <c r="I23" s="70">
        <f>+I14</f>
        <v>0.17710999999999999</v>
      </c>
      <c r="J23" s="399">
        <f>+$J$10</f>
        <v>0.20229999999999998</v>
      </c>
      <c r="K23" s="54">
        <f>ROUND(H23*G23,2)</f>
        <v>0</v>
      </c>
      <c r="L23" s="54">
        <f>ROUND(G23*I23,2)</f>
        <v>0</v>
      </c>
      <c r="M23" s="63">
        <f>ROUND(G23*J23,2)</f>
        <v>0</v>
      </c>
      <c r="N23" s="64">
        <f>SUM(K23:M23)</f>
        <v>0</v>
      </c>
      <c r="O23" s="74">
        <v>2.0699999999999998</v>
      </c>
      <c r="Q23" s="318" t="s">
        <v>59</v>
      </c>
      <c r="R23" s="318">
        <v>625208.07999999996</v>
      </c>
      <c r="S23" s="318"/>
      <c r="T23" s="318"/>
      <c r="U23" s="395">
        <f>44136.69+5300</f>
        <v>49436.69</v>
      </c>
      <c r="V23" s="65"/>
      <c r="W23" s="66"/>
      <c r="Y23" s="318"/>
      <c r="Z23" s="318"/>
      <c r="AA23" s="318"/>
      <c r="AB23" s="318"/>
    </row>
    <row r="24" spans="2:28" ht="15.75" x14ac:dyDescent="0.25">
      <c r="B24" s="397" t="s">
        <v>61</v>
      </c>
      <c r="C24" s="25" t="s">
        <v>73</v>
      </c>
      <c r="D24" s="396">
        <v>2</v>
      </c>
      <c r="E24" s="383" t="s">
        <v>67</v>
      </c>
      <c r="F24" s="383" t="s">
        <v>69</v>
      </c>
      <c r="G24" s="77">
        <f>+X25</f>
        <v>5052</v>
      </c>
      <c r="H24" s="70">
        <f>$H$10</f>
        <v>0.31553999999999999</v>
      </c>
      <c r="I24" s="70">
        <f>+I14</f>
        <v>0.17710999999999999</v>
      </c>
      <c r="J24" s="399">
        <f>+$J$10</f>
        <v>0.20229999999999998</v>
      </c>
      <c r="K24" s="54">
        <f>ROUND(H24*G24,2)</f>
        <v>1594.11</v>
      </c>
      <c r="L24" s="54">
        <f>ROUND(G24*I24,2)</f>
        <v>894.76</v>
      </c>
      <c r="M24" s="63">
        <f>ROUND(G24*J24,2)</f>
        <v>1022.02</v>
      </c>
      <c r="N24" s="64">
        <f>SUM(K24:M24)</f>
        <v>3510.89</v>
      </c>
      <c r="O24" s="74"/>
      <c r="Q24" s="318" t="s">
        <v>59</v>
      </c>
      <c r="R24" s="318"/>
      <c r="S24" s="318"/>
      <c r="T24" s="318"/>
      <c r="U24" s="318"/>
      <c r="V24" s="324"/>
      <c r="W24" s="401"/>
      <c r="X24" s="50" t="s">
        <v>74</v>
      </c>
      <c r="Y24" s="318"/>
      <c r="Z24" s="318"/>
      <c r="AA24" s="318"/>
      <c r="AB24" s="318"/>
    </row>
    <row r="25" spans="2:28" ht="15.75" x14ac:dyDescent="0.25">
      <c r="B25" s="397"/>
      <c r="D25" s="396"/>
      <c r="G25" s="61"/>
      <c r="H25" s="70"/>
      <c r="I25" s="70"/>
      <c r="J25" s="399"/>
      <c r="K25" s="54"/>
      <c r="L25" s="54"/>
      <c r="M25" s="63"/>
      <c r="N25" s="64"/>
      <c r="O25" s="74"/>
      <c r="Q25" s="318"/>
      <c r="R25" s="318">
        <v>57899.56</v>
      </c>
      <c r="S25" s="318"/>
      <c r="T25" s="318"/>
      <c r="U25" s="395">
        <v>8091.98</v>
      </c>
      <c r="V25" s="65">
        <v>4810</v>
      </c>
      <c r="W25" s="321" t="s">
        <v>79</v>
      </c>
      <c r="X25" s="77">
        <v>5052</v>
      </c>
      <c r="Y25" s="318" t="s">
        <v>201</v>
      </c>
      <c r="AA25" s="318"/>
      <c r="AB25" s="318"/>
    </row>
    <row r="26" spans="2:28" ht="15.75" x14ac:dyDescent="0.25">
      <c r="B26" s="397" t="s">
        <v>55</v>
      </c>
      <c r="C26" s="76" t="s">
        <v>66</v>
      </c>
      <c r="D26" s="396">
        <v>2</v>
      </c>
      <c r="E26" s="383" t="s">
        <v>67</v>
      </c>
      <c r="F26" s="383" t="s">
        <v>70</v>
      </c>
      <c r="G26" s="61">
        <f>+X14</f>
        <v>0</v>
      </c>
      <c r="H26" s="70">
        <f>$H$10</f>
        <v>0.31553999999999999</v>
      </c>
      <c r="I26" s="70">
        <f>+I18</f>
        <v>0.16378000000000001</v>
      </c>
      <c r="J26" s="399">
        <f>+$J$10</f>
        <v>0.20229999999999998</v>
      </c>
      <c r="K26" s="54">
        <f>ROUND(H26*G26,2)</f>
        <v>0</v>
      </c>
      <c r="L26" s="54">
        <f>ROUND(G26*I26,2)</f>
        <v>0</v>
      </c>
      <c r="M26" s="63">
        <f>ROUND(G26*J26,2)</f>
        <v>0</v>
      </c>
      <c r="N26" s="64">
        <f>SUM(K26:M26)</f>
        <v>0</v>
      </c>
      <c r="O26" s="74"/>
      <c r="Q26" s="318"/>
      <c r="R26" s="318"/>
      <c r="S26" s="318"/>
      <c r="T26" s="318"/>
      <c r="U26" s="395"/>
      <c r="V26" s="65">
        <v>4810</v>
      </c>
      <c r="W26" s="321" t="s">
        <v>60</v>
      </c>
      <c r="X26" s="77">
        <v>80816</v>
      </c>
      <c r="Y26" s="318" t="s">
        <v>199</v>
      </c>
      <c r="Z26" s="398">
        <f>+X26+X25</f>
        <v>85868</v>
      </c>
      <c r="AA26" s="318"/>
      <c r="AB26" s="318"/>
    </row>
    <row r="27" spans="2:28" ht="15.75" x14ac:dyDescent="0.25">
      <c r="B27" s="397" t="s">
        <v>61</v>
      </c>
      <c r="C27" s="25" t="s">
        <v>72</v>
      </c>
      <c r="D27" s="396">
        <v>2</v>
      </c>
      <c r="E27" s="383" t="s">
        <v>67</v>
      </c>
      <c r="F27" s="383" t="s">
        <v>70</v>
      </c>
      <c r="G27" s="79"/>
      <c r="H27" s="70">
        <f>$H$10</f>
        <v>0.31553999999999999</v>
      </c>
      <c r="I27" s="70">
        <f>+I18</f>
        <v>0.16378000000000001</v>
      </c>
      <c r="J27" s="399">
        <f>+$J$10</f>
        <v>0.20229999999999998</v>
      </c>
      <c r="K27" s="54">
        <f>ROUND(H27*G27,2)</f>
        <v>0</v>
      </c>
      <c r="L27" s="54">
        <f>ROUND(G27*I27,2)</f>
        <v>0</v>
      </c>
      <c r="M27" s="63">
        <f>ROUND(G27*J27,2)</f>
        <v>0</v>
      </c>
      <c r="N27" s="64">
        <f>SUM(K27:M27)</f>
        <v>0</v>
      </c>
      <c r="O27" s="74"/>
      <c r="Q27" s="318"/>
      <c r="R27" s="318"/>
      <c r="S27" s="318"/>
      <c r="T27" s="318"/>
      <c r="U27" s="395"/>
      <c r="X27" s="77">
        <v>0</v>
      </c>
      <c r="Y27" s="318"/>
      <c r="Z27" s="318"/>
      <c r="AA27" s="318"/>
      <c r="AB27" s="318"/>
    </row>
    <row r="28" spans="2:28" ht="15.75" x14ac:dyDescent="0.25">
      <c r="B28" s="397" t="s">
        <v>61</v>
      </c>
      <c r="C28" s="25" t="s">
        <v>73</v>
      </c>
      <c r="D28" s="396">
        <v>2</v>
      </c>
      <c r="E28" s="383" t="s">
        <v>67</v>
      </c>
      <c r="F28" s="383" t="s">
        <v>70</v>
      </c>
      <c r="G28" s="77">
        <f>+X26</f>
        <v>80816</v>
      </c>
      <c r="H28" s="70">
        <f>$H$10</f>
        <v>0.31553999999999999</v>
      </c>
      <c r="I28" s="70">
        <f>+I18</f>
        <v>0.16378000000000001</v>
      </c>
      <c r="J28" s="399">
        <f>+$J$10</f>
        <v>0.20229999999999998</v>
      </c>
      <c r="K28" s="54">
        <f>ROUND(H28*G28,2)</f>
        <v>25500.68</v>
      </c>
      <c r="L28" s="54">
        <f>ROUND(G28*I28,2)</f>
        <v>13236.04</v>
      </c>
      <c r="M28" s="63">
        <f>ROUND(G28*J28,2)</f>
        <v>16349.08</v>
      </c>
      <c r="N28" s="64">
        <f>SUM(K28:M28)</f>
        <v>55085.8</v>
      </c>
      <c r="O28" s="74"/>
      <c r="Q28" s="318"/>
      <c r="R28" s="318"/>
      <c r="S28" s="318"/>
      <c r="T28" s="318"/>
      <c r="U28" s="395"/>
      <c r="V28" s="318"/>
      <c r="W28" s="321" t="s">
        <v>82</v>
      </c>
      <c r="X28" s="77">
        <v>215369</v>
      </c>
      <c r="AA28" s="318"/>
      <c r="AB28" s="318"/>
    </row>
    <row r="29" spans="2:28" x14ac:dyDescent="0.2">
      <c r="H29" s="70"/>
      <c r="I29" s="70"/>
      <c r="J29" s="399"/>
      <c r="O29" s="74"/>
      <c r="Q29" s="318"/>
      <c r="R29" s="318"/>
      <c r="S29" s="318"/>
      <c r="T29" s="318"/>
      <c r="U29" s="395"/>
      <c r="AA29" s="318"/>
      <c r="AB29" s="318"/>
    </row>
    <row r="30" spans="2:28" ht="15.75" x14ac:dyDescent="0.25">
      <c r="B30" s="397" t="s">
        <v>91</v>
      </c>
      <c r="C30" s="25" t="s">
        <v>92</v>
      </c>
      <c r="D30" s="396" t="s">
        <v>24</v>
      </c>
      <c r="E30" s="383" t="s">
        <v>88</v>
      </c>
      <c r="F30" s="383" t="s">
        <v>89</v>
      </c>
      <c r="G30" s="61">
        <f>+X18</f>
        <v>0</v>
      </c>
      <c r="H30" s="70">
        <f>$H$10</f>
        <v>0.31553999999999999</v>
      </c>
      <c r="I30" s="400">
        <v>0.15049999999999999</v>
      </c>
      <c r="J30" s="399">
        <f>+$J$10</f>
        <v>0.20229999999999998</v>
      </c>
      <c r="K30" s="54">
        <f>ROUND(H30*G30,2)</f>
        <v>0</v>
      </c>
      <c r="L30" s="54">
        <f>ROUND(G30*I30,2)</f>
        <v>0</v>
      </c>
      <c r="M30" s="63">
        <f>ROUND(G30*J30,2)</f>
        <v>0</v>
      </c>
      <c r="N30" s="64">
        <f>SUM(K30:M30)</f>
        <v>0</v>
      </c>
      <c r="O30" s="74"/>
      <c r="Q30" s="318"/>
      <c r="R30" s="318"/>
      <c r="S30" s="318"/>
      <c r="T30" s="318"/>
      <c r="U30" s="395"/>
      <c r="AA30" s="318"/>
      <c r="AB30" s="318"/>
    </row>
    <row r="31" spans="2:28" ht="15.75" x14ac:dyDescent="0.25">
      <c r="B31" s="397" t="s">
        <v>91</v>
      </c>
      <c r="C31" s="25" t="s">
        <v>72</v>
      </c>
      <c r="D31" s="396">
        <v>5</v>
      </c>
      <c r="E31" s="383" t="s">
        <v>88</v>
      </c>
      <c r="F31" s="383" t="s">
        <v>89</v>
      </c>
      <c r="G31" s="79"/>
      <c r="H31" s="70">
        <f>$H$10</f>
        <v>0.31553999999999999</v>
      </c>
      <c r="I31" s="70">
        <f>+I30</f>
        <v>0.15049999999999999</v>
      </c>
      <c r="J31" s="399">
        <f>+$J$10</f>
        <v>0.20229999999999998</v>
      </c>
      <c r="K31" s="54">
        <f>ROUND(H31*G31,2)</f>
        <v>0</v>
      </c>
      <c r="L31" s="54">
        <f>ROUND(G31*I31,2)</f>
        <v>0</v>
      </c>
      <c r="M31" s="63">
        <f>ROUND(G31*J31,2)</f>
        <v>0</v>
      </c>
      <c r="N31" s="64">
        <f>SUM(K31:M31)</f>
        <v>0</v>
      </c>
      <c r="O31" s="74"/>
      <c r="Q31" s="318"/>
      <c r="R31" s="318"/>
      <c r="S31" s="318"/>
      <c r="T31" s="318"/>
      <c r="U31" s="395"/>
      <c r="AA31" s="318"/>
      <c r="AB31" s="318"/>
    </row>
    <row r="32" spans="2:28" ht="15.75" x14ac:dyDescent="0.25">
      <c r="B32" s="397" t="s">
        <v>91</v>
      </c>
      <c r="C32" s="25" t="s">
        <v>73</v>
      </c>
      <c r="D32" s="396">
        <v>5</v>
      </c>
      <c r="E32" s="383" t="s">
        <v>88</v>
      </c>
      <c r="F32" s="383" t="s">
        <v>89</v>
      </c>
      <c r="G32" s="77">
        <f>+X28</f>
        <v>215369</v>
      </c>
      <c r="H32" s="70">
        <f>$H$10</f>
        <v>0.31553999999999999</v>
      </c>
      <c r="I32" s="70">
        <f>+I30</f>
        <v>0.15049999999999999</v>
      </c>
      <c r="J32" s="399">
        <f>+$J$10</f>
        <v>0.20229999999999998</v>
      </c>
      <c r="K32" s="54">
        <f>ROUND(H32*G32,2)</f>
        <v>67957.53</v>
      </c>
      <c r="L32" s="54">
        <f>ROUND(G32*I32,2)</f>
        <v>32413.03</v>
      </c>
      <c r="M32" s="63">
        <f>ROUND(G32*J32,2)</f>
        <v>43569.15</v>
      </c>
      <c r="N32" s="64">
        <f>SUM(K32:M32)</f>
        <v>143939.71</v>
      </c>
      <c r="O32" s="56"/>
      <c r="Q32" s="318"/>
      <c r="R32" s="318">
        <v>61282.61</v>
      </c>
      <c r="S32" s="318"/>
      <c r="T32" s="318"/>
      <c r="U32" s="395">
        <v>6665.73</v>
      </c>
      <c r="AA32" s="318"/>
      <c r="AB32" s="318"/>
    </row>
    <row r="33" spans="2:37" x14ac:dyDescent="0.2">
      <c r="H33" s="87"/>
      <c r="I33" s="87"/>
      <c r="J33" s="87"/>
      <c r="O33" s="56"/>
      <c r="Q33" s="318"/>
      <c r="R33" s="318"/>
      <c r="S33" s="318"/>
      <c r="T33" s="318"/>
      <c r="U33" s="395"/>
      <c r="AA33" s="318"/>
      <c r="AB33" s="318"/>
    </row>
    <row r="34" spans="2:37" hidden="1" x14ac:dyDescent="0.2">
      <c r="B34" s="397" t="s">
        <v>83</v>
      </c>
      <c r="C34" s="25" t="s">
        <v>84</v>
      </c>
      <c r="D34" s="396">
        <v>3</v>
      </c>
      <c r="E34" s="383" t="s">
        <v>77</v>
      </c>
      <c r="F34" s="383" t="s">
        <v>85</v>
      </c>
      <c r="G34" s="52">
        <f>+X17</f>
        <v>0</v>
      </c>
      <c r="H34" s="70">
        <f>$H$10</f>
        <v>0.31553999999999999</v>
      </c>
      <c r="I34" s="70">
        <f>$I$20</f>
        <v>0.16378000000000001</v>
      </c>
      <c r="J34" s="70">
        <f>+$J$10</f>
        <v>0.20229999999999998</v>
      </c>
      <c r="K34" s="54">
        <f>ROUND(H34*G34,2)</f>
        <v>0</v>
      </c>
      <c r="L34" s="54">
        <f>ROUND(G34*I34,2)</f>
        <v>0</v>
      </c>
      <c r="M34" s="63">
        <f>ROUND(G34*J34,2)</f>
        <v>0</v>
      </c>
      <c r="N34" s="64">
        <f>SUM(K34:M34)</f>
        <v>0</v>
      </c>
      <c r="O34" s="56"/>
      <c r="Q34" s="318" t="s">
        <v>59</v>
      </c>
      <c r="R34" s="318"/>
      <c r="S34" s="318"/>
      <c r="T34" s="318"/>
      <c r="U34" s="395"/>
      <c r="Y34" s="318"/>
      <c r="Z34" s="398"/>
      <c r="AA34" s="318"/>
      <c r="AB34" s="318"/>
    </row>
    <row r="35" spans="2:37" ht="15.75" hidden="1" x14ac:dyDescent="0.25">
      <c r="B35" s="397" t="s">
        <v>86</v>
      </c>
      <c r="C35" s="25" t="s">
        <v>72</v>
      </c>
      <c r="D35" s="396">
        <v>3</v>
      </c>
      <c r="E35" s="383" t="s">
        <v>77</v>
      </c>
      <c r="F35" s="383" t="s">
        <v>85</v>
      </c>
      <c r="G35" s="79">
        <v>0</v>
      </c>
      <c r="H35" s="70">
        <f>$H$10</f>
        <v>0.31553999999999999</v>
      </c>
      <c r="I35" s="70">
        <f>$I$20</f>
        <v>0.16378000000000001</v>
      </c>
      <c r="J35" s="70">
        <f>+$J$10</f>
        <v>0.20229999999999998</v>
      </c>
      <c r="K35" s="54">
        <f>ROUND(H35*G35,2)</f>
        <v>0</v>
      </c>
      <c r="L35" s="54">
        <f>ROUND(G35*I35,2)</f>
        <v>0</v>
      </c>
      <c r="M35" s="63">
        <f>ROUND(G35*J35,2)</f>
        <v>0</v>
      </c>
      <c r="N35" s="64">
        <f>SUM(K35:M35)</f>
        <v>0</v>
      </c>
      <c r="O35" s="56"/>
      <c r="Q35" s="318"/>
      <c r="R35" s="318">
        <v>128505.68</v>
      </c>
      <c r="S35" s="318"/>
      <c r="T35" s="318"/>
      <c r="U35" s="395">
        <v>17959.87</v>
      </c>
      <c r="AA35" s="318"/>
      <c r="AB35" s="318"/>
    </row>
    <row r="36" spans="2:37" hidden="1" x14ac:dyDescent="0.2">
      <c r="B36" s="397" t="s">
        <v>86</v>
      </c>
      <c r="C36" s="25" t="s">
        <v>73</v>
      </c>
      <c r="D36" s="396">
        <v>3</v>
      </c>
      <c r="E36" s="383" t="s">
        <v>77</v>
      </c>
      <c r="F36" s="383" t="s">
        <v>85</v>
      </c>
      <c r="G36" s="89">
        <f>+X27</f>
        <v>0</v>
      </c>
      <c r="H36" s="70">
        <f>$H$10</f>
        <v>0.31553999999999999</v>
      </c>
      <c r="I36" s="70">
        <f>$I$20</f>
        <v>0.16378000000000001</v>
      </c>
      <c r="J36" s="70">
        <f>+$J$10</f>
        <v>0.20229999999999998</v>
      </c>
      <c r="K36" s="54">
        <f>ROUND(H36*G36,2)</f>
        <v>0</v>
      </c>
      <c r="L36" s="54">
        <f>ROUND(G36*I36,2)</f>
        <v>0</v>
      </c>
      <c r="M36" s="63">
        <f>ROUND(G36*J36,2)</f>
        <v>0</v>
      </c>
      <c r="N36" s="64">
        <f>SUM(K36:M36)</f>
        <v>0</v>
      </c>
      <c r="O36" s="54"/>
      <c r="Q36" s="318"/>
      <c r="R36" s="318">
        <v>97.86</v>
      </c>
      <c r="S36" s="318"/>
      <c r="T36" s="318"/>
      <c r="U36" s="395">
        <v>10.64</v>
      </c>
      <c r="AA36" s="318"/>
      <c r="AB36" s="318"/>
    </row>
    <row r="37" spans="2:37" ht="12.2" hidden="1" customHeight="1" x14ac:dyDescent="0.2">
      <c r="B37" s="397"/>
      <c r="D37" s="396"/>
      <c r="H37" s="70"/>
      <c r="I37" s="70"/>
      <c r="J37" s="70"/>
      <c r="K37" s="54"/>
      <c r="L37" s="54"/>
      <c r="M37" s="63"/>
      <c r="N37" s="64"/>
      <c r="O37" s="54"/>
      <c r="Q37" s="318"/>
      <c r="R37" s="318"/>
      <c r="S37" s="318"/>
      <c r="T37" s="318"/>
      <c r="U37" s="395"/>
      <c r="AA37" s="318"/>
      <c r="AB37" s="318"/>
    </row>
    <row r="38" spans="2:37" hidden="1" x14ac:dyDescent="0.2">
      <c r="B38" s="397" t="s">
        <v>83</v>
      </c>
      <c r="C38" s="25" t="s">
        <v>87</v>
      </c>
      <c r="D38" s="396" t="s">
        <v>13</v>
      </c>
      <c r="E38" s="383" t="s">
        <v>88</v>
      </c>
      <c r="F38" s="383" t="s">
        <v>89</v>
      </c>
      <c r="G38" s="52">
        <v>0</v>
      </c>
      <c r="H38" s="70">
        <f>$H$10</f>
        <v>0.31553999999999999</v>
      </c>
      <c r="I38" s="70">
        <f>+I30</f>
        <v>0.15049999999999999</v>
      </c>
      <c r="J38" s="70">
        <f>+$J$10</f>
        <v>0.20229999999999998</v>
      </c>
      <c r="K38" s="54">
        <f>ROUND(H38*G38,2)</f>
        <v>0</v>
      </c>
      <c r="L38" s="54">
        <f>ROUND(G38*I38,2)</f>
        <v>0</v>
      </c>
      <c r="M38" s="63">
        <f>ROUND(G38*J38,2)</f>
        <v>0</v>
      </c>
      <c r="N38" s="64">
        <f>SUM(K38:M38)</f>
        <v>0</v>
      </c>
      <c r="Q38" s="318"/>
      <c r="R38" s="318"/>
      <c r="S38" s="318"/>
      <c r="T38" s="318"/>
      <c r="U38" s="395"/>
      <c r="V38" s="318"/>
      <c r="W38" s="341"/>
      <c r="X38" s="394"/>
      <c r="Y38" s="318"/>
      <c r="Z38" s="318"/>
      <c r="AA38" s="318"/>
      <c r="AB38" s="318"/>
    </row>
    <row r="39" spans="2:37" hidden="1" x14ac:dyDescent="0.2">
      <c r="B39" s="397" t="s">
        <v>86</v>
      </c>
      <c r="C39" s="25" t="s">
        <v>72</v>
      </c>
      <c r="D39" s="396">
        <v>4</v>
      </c>
      <c r="E39" s="383" t="s">
        <v>88</v>
      </c>
      <c r="F39" s="383" t="s">
        <v>89</v>
      </c>
      <c r="G39" s="85">
        <v>0</v>
      </c>
      <c r="H39" s="70">
        <f>$H$10</f>
        <v>0.31553999999999999</v>
      </c>
      <c r="I39" s="70">
        <f>+I30</f>
        <v>0.15049999999999999</v>
      </c>
      <c r="J39" s="70">
        <f>+$J$10</f>
        <v>0.20229999999999998</v>
      </c>
      <c r="K39" s="54">
        <f>ROUND(H39*G39,2)</f>
        <v>0</v>
      </c>
      <c r="L39" s="54">
        <f>ROUND(G39*I39,2)</f>
        <v>0</v>
      </c>
      <c r="M39" s="63">
        <f>ROUND(G39*J39,2)</f>
        <v>0</v>
      </c>
      <c r="N39" s="64">
        <f>SUM(K39:M39)</f>
        <v>0</v>
      </c>
      <c r="O39" s="54">
        <f>-N39-80.06</f>
        <v>-80.06</v>
      </c>
      <c r="Q39" s="318"/>
      <c r="R39" s="318">
        <v>18307.25</v>
      </c>
      <c r="S39" s="318"/>
      <c r="T39" s="318"/>
      <c r="U39" s="395">
        <v>1859.59</v>
      </c>
      <c r="V39" s="318"/>
      <c r="W39" s="341"/>
      <c r="X39" s="394"/>
      <c r="Y39" s="318"/>
      <c r="Z39" s="318"/>
      <c r="AA39" s="318"/>
      <c r="AB39" s="318"/>
    </row>
    <row r="40" spans="2:37" hidden="1" x14ac:dyDescent="0.2">
      <c r="B40" s="397" t="s">
        <v>86</v>
      </c>
      <c r="C40" s="25" t="s">
        <v>90</v>
      </c>
      <c r="D40" s="396">
        <v>4</v>
      </c>
      <c r="E40" s="383" t="s">
        <v>88</v>
      </c>
      <c r="F40" s="383" t="s">
        <v>89</v>
      </c>
      <c r="G40" s="89">
        <v>0</v>
      </c>
      <c r="H40" s="70">
        <f>$H$10</f>
        <v>0.31553999999999999</v>
      </c>
      <c r="I40" s="70">
        <f>+I30</f>
        <v>0.15049999999999999</v>
      </c>
      <c r="J40" s="70">
        <f>+$J$10</f>
        <v>0.20229999999999998</v>
      </c>
      <c r="K40" s="54">
        <f>ROUND(H40*G40,2)</f>
        <v>0</v>
      </c>
      <c r="L40" s="54">
        <f>ROUND(G40*I40,2)</f>
        <v>0</v>
      </c>
      <c r="M40" s="63">
        <f>ROUND(G40*J40,2)</f>
        <v>0</v>
      </c>
      <c r="N40" s="64">
        <f>SUM(K40:M40)</f>
        <v>0</v>
      </c>
      <c r="O40" s="54"/>
      <c r="Q40" s="318"/>
      <c r="R40" s="318"/>
      <c r="S40" s="318"/>
      <c r="T40" s="318"/>
      <c r="U40" s="395"/>
      <c r="V40" s="318"/>
      <c r="W40" s="341"/>
      <c r="X40" s="394"/>
      <c r="Y40" s="318"/>
      <c r="Z40" s="318"/>
      <c r="AA40" s="318"/>
      <c r="AB40" s="318"/>
    </row>
    <row r="41" spans="2:37" ht="15.75" x14ac:dyDescent="0.25">
      <c r="B41" s="393"/>
      <c r="D41" s="384"/>
      <c r="E41" s="392"/>
      <c r="F41" s="383" t="s">
        <v>200</v>
      </c>
      <c r="G41" s="96">
        <f>SUM(G9:G40)</f>
        <v>24965737</v>
      </c>
      <c r="H41" s="97" t="s">
        <v>94</v>
      </c>
      <c r="K41" s="391">
        <f>SUM(K9:K40)</f>
        <v>7877688.6500000004</v>
      </c>
      <c r="L41" s="390">
        <f>SUM(L9:L40)</f>
        <v>4445473.879999999</v>
      </c>
      <c r="M41" s="100">
        <f>SUM(M9:M40)</f>
        <v>1166212.58</v>
      </c>
      <c r="N41" s="101">
        <f>SUM(N9:N40)</f>
        <v>13489375.110000001</v>
      </c>
      <c r="O41" s="102">
        <v>0.03</v>
      </c>
      <c r="Q41" s="101"/>
      <c r="R41" s="101"/>
      <c r="S41" s="101"/>
      <c r="T41" s="101"/>
      <c r="U41" s="101"/>
      <c r="AA41" s="101"/>
      <c r="AB41" s="101"/>
    </row>
    <row r="42" spans="2:37" ht="15.75" x14ac:dyDescent="0.25">
      <c r="C42" s="129"/>
      <c r="D42" s="384"/>
      <c r="F42" s="383" t="s">
        <v>93</v>
      </c>
      <c r="G42" s="96">
        <f>'WA Rates - OLD'!G42</f>
        <v>1965067</v>
      </c>
      <c r="K42" s="101" t="s">
        <v>95</v>
      </c>
      <c r="L42" s="101" t="s">
        <v>95</v>
      </c>
      <c r="M42" s="105"/>
      <c r="N42" s="101"/>
      <c r="O42" s="101"/>
      <c r="Q42" s="101">
        <f>-N41</f>
        <v>-13489375.110000001</v>
      </c>
      <c r="R42" s="101"/>
      <c r="S42" s="101"/>
      <c r="T42" s="101"/>
      <c r="U42" s="101"/>
      <c r="V42" s="101"/>
      <c r="W42" s="103"/>
      <c r="X42" s="104"/>
      <c r="Y42" s="101"/>
      <c r="Z42" s="101"/>
      <c r="AA42" s="101"/>
      <c r="AB42" s="101"/>
    </row>
    <row r="43" spans="2:37" ht="15.75" x14ac:dyDescent="0.25">
      <c r="F43" s="389" t="s">
        <v>96</v>
      </c>
      <c r="G43" s="107">
        <f>+G41+G42</f>
        <v>26930804</v>
      </c>
      <c r="H43" s="108"/>
      <c r="I43" s="108"/>
      <c r="K43" s="101">
        <f>SUM(K41:K42)</f>
        <v>7877688.6500000004</v>
      </c>
      <c r="L43" s="101">
        <f>SUM(L41:L42)</f>
        <v>4445473.879999999</v>
      </c>
      <c r="M43" s="101">
        <f>SUM(M41:M42)</f>
        <v>1166212.58</v>
      </c>
      <c r="N43" s="101">
        <f>SUM(N41:N42)</f>
        <v>13489375.110000001</v>
      </c>
      <c r="O43" s="101"/>
      <c r="P43" s="54"/>
      <c r="Q43" s="109"/>
      <c r="R43" s="109"/>
      <c r="S43" s="109"/>
      <c r="T43" s="109"/>
      <c r="U43" s="109"/>
      <c r="V43" s="109"/>
      <c r="W43" s="110"/>
      <c r="X43" s="111"/>
      <c r="Y43" s="109"/>
      <c r="Z43" s="109"/>
      <c r="AA43" s="109"/>
      <c r="AB43" s="109"/>
    </row>
    <row r="44" spans="2:37" ht="21.75" customHeight="1" x14ac:dyDescent="0.2">
      <c r="G44" s="112" t="s">
        <v>199</v>
      </c>
      <c r="K44" s="105"/>
      <c r="L44" s="113"/>
      <c r="M44" s="101"/>
      <c r="N44" s="101"/>
      <c r="O44" s="101"/>
    </row>
    <row r="45" spans="2:37" ht="21.75" customHeight="1" x14ac:dyDescent="0.2">
      <c r="G45" s="114" t="s">
        <v>198</v>
      </c>
      <c r="H45" s="108"/>
      <c r="K45" s="388"/>
      <c r="L45" s="103"/>
      <c r="M45" s="54"/>
      <c r="N45" s="54"/>
      <c r="O45" s="54"/>
    </row>
    <row r="46" spans="2:37" x14ac:dyDescent="0.2">
      <c r="H46" s="108"/>
      <c r="L46" s="115"/>
      <c r="N46" s="113"/>
      <c r="O46" s="113"/>
    </row>
    <row r="47" spans="2:37" x14ac:dyDescent="0.2">
      <c r="F47" s="383" t="s">
        <v>97</v>
      </c>
      <c r="L47" s="116"/>
      <c r="N47" s="117"/>
      <c r="O47" s="117"/>
    </row>
    <row r="48" spans="2:37" x14ac:dyDescent="0.2">
      <c r="L48" s="116"/>
      <c r="M48" s="118"/>
      <c r="AC48" s="387"/>
      <c r="AD48" s="356" t="s">
        <v>98</v>
      </c>
      <c r="AE48" s="356" t="s">
        <v>99</v>
      </c>
      <c r="AF48" s="356" t="s">
        <v>100</v>
      </c>
      <c r="AG48" s="386" t="s">
        <v>0</v>
      </c>
      <c r="AH48" s="356" t="s">
        <v>101</v>
      </c>
      <c r="AI48" s="356" t="s">
        <v>102</v>
      </c>
      <c r="AJ48" s="356" t="s">
        <v>103</v>
      </c>
      <c r="AK48" s="356" t="s">
        <v>104</v>
      </c>
    </row>
    <row r="49" spans="12:37" x14ac:dyDescent="0.2">
      <c r="L49" s="116"/>
      <c r="M49" s="118"/>
      <c r="N49" s="113"/>
      <c r="O49" s="113"/>
      <c r="AC49" s="385"/>
      <c r="AD49" s="129" t="s">
        <v>105</v>
      </c>
      <c r="AG49" s="385">
        <v>0</v>
      </c>
      <c r="AK49" s="129" t="s">
        <v>106</v>
      </c>
    </row>
    <row r="50" spans="12:37" x14ac:dyDescent="0.2">
      <c r="L50" s="116"/>
      <c r="M50" s="118"/>
      <c r="N50" s="54"/>
      <c r="O50" s="54"/>
      <c r="AC50" s="385"/>
      <c r="AD50" s="129" t="s">
        <v>105</v>
      </c>
      <c r="AG50" s="385">
        <v>0</v>
      </c>
      <c r="AK50" s="129" t="s">
        <v>107</v>
      </c>
    </row>
    <row r="51" spans="12:37" x14ac:dyDescent="0.2">
      <c r="L51" s="116"/>
      <c r="M51" s="118"/>
      <c r="N51" s="54"/>
      <c r="O51" s="54"/>
      <c r="AC51" s="385"/>
      <c r="AD51" s="129" t="s">
        <v>105</v>
      </c>
      <c r="AG51" s="385">
        <v>0</v>
      </c>
      <c r="AK51" s="129" t="s">
        <v>107</v>
      </c>
    </row>
    <row r="52" spans="12:37" x14ac:dyDescent="0.2">
      <c r="L52" s="116"/>
      <c r="M52" s="54"/>
      <c r="N52" s="118"/>
      <c r="O52" s="118"/>
      <c r="AC52" s="385"/>
      <c r="AD52" s="129" t="s">
        <v>105</v>
      </c>
      <c r="AG52" s="385">
        <v>0</v>
      </c>
      <c r="AK52" s="129" t="s">
        <v>107</v>
      </c>
    </row>
    <row r="53" spans="12:37" x14ac:dyDescent="0.2">
      <c r="L53" s="121"/>
      <c r="N53" s="122"/>
      <c r="O53" s="122"/>
      <c r="AC53" s="385"/>
      <c r="AG53" s="385"/>
    </row>
    <row r="54" spans="12:37" x14ac:dyDescent="0.2">
      <c r="L54" s="115"/>
      <c r="N54" s="123"/>
      <c r="O54" s="123"/>
      <c r="AC54" s="385"/>
      <c r="AD54" s="129" t="s">
        <v>105</v>
      </c>
      <c r="AG54" s="385">
        <v>0</v>
      </c>
      <c r="AK54" s="129" t="s">
        <v>108</v>
      </c>
    </row>
    <row r="55" spans="12:37" x14ac:dyDescent="0.2">
      <c r="AC55" s="385"/>
      <c r="AD55" s="129" t="s">
        <v>105</v>
      </c>
      <c r="AG55" s="385">
        <v>0</v>
      </c>
      <c r="AK55" s="129" t="s">
        <v>108</v>
      </c>
    </row>
    <row r="56" spans="12:37" x14ac:dyDescent="0.2">
      <c r="AC56" s="385"/>
      <c r="AD56" s="129" t="s">
        <v>105</v>
      </c>
      <c r="AG56" s="385">
        <v>0</v>
      </c>
      <c r="AK56" s="129" t="s">
        <v>108</v>
      </c>
    </row>
    <row r="57" spans="12:37" x14ac:dyDescent="0.2">
      <c r="AC57" s="385"/>
      <c r="AG57" s="385"/>
    </row>
    <row r="58" spans="12:37" x14ac:dyDescent="0.2">
      <c r="AC58" s="385"/>
      <c r="AD58" s="129" t="s">
        <v>105</v>
      </c>
      <c r="AG58" s="385">
        <v>0</v>
      </c>
      <c r="AK58" s="129" t="s">
        <v>109</v>
      </c>
    </row>
    <row r="59" spans="12:37" x14ac:dyDescent="0.2">
      <c r="AC59" s="124"/>
      <c r="AD59" s="129" t="s">
        <v>105</v>
      </c>
      <c r="AG59" s="385">
        <v>0</v>
      </c>
      <c r="AK59" s="129" t="s">
        <v>110</v>
      </c>
    </row>
    <row r="60" spans="12:37" x14ac:dyDescent="0.2">
      <c r="AC60" s="124"/>
      <c r="AD60" s="129" t="s">
        <v>105</v>
      </c>
      <c r="AG60" s="385">
        <v>0</v>
      </c>
      <c r="AK60" s="129" t="s">
        <v>111</v>
      </c>
    </row>
    <row r="61" spans="12:37" x14ac:dyDescent="0.2">
      <c r="AC61" s="385"/>
      <c r="AD61" s="129" t="s">
        <v>105</v>
      </c>
      <c r="AG61" s="385">
        <v>0</v>
      </c>
      <c r="AK61" s="129" t="s">
        <v>109</v>
      </c>
    </row>
    <row r="62" spans="12:37" x14ac:dyDescent="0.2">
      <c r="AC62" s="385"/>
      <c r="AG62" s="385"/>
    </row>
    <row r="63" spans="12:37" x14ac:dyDescent="0.2">
      <c r="AC63" s="125"/>
      <c r="AD63" s="129" t="s">
        <v>105</v>
      </c>
      <c r="AG63" s="385">
        <v>0</v>
      </c>
      <c r="AK63" s="129" t="s">
        <v>109</v>
      </c>
    </row>
    <row r="64" spans="12:37" x14ac:dyDescent="0.2">
      <c r="AC64" s="125"/>
      <c r="AD64" s="129" t="s">
        <v>105</v>
      </c>
      <c r="AG64" s="385">
        <v>0</v>
      </c>
      <c r="AK64" s="129" t="s">
        <v>109</v>
      </c>
    </row>
    <row r="65" spans="2:37" x14ac:dyDescent="0.2">
      <c r="AC65" s="125"/>
      <c r="AG65" s="385"/>
    </row>
    <row r="66" spans="2:37" s="88" customFormat="1" x14ac:dyDescent="0.2">
      <c r="B66" s="129"/>
      <c r="C66" s="25"/>
      <c r="D66" s="383"/>
      <c r="E66" s="383"/>
      <c r="F66" s="383"/>
      <c r="G66" s="87"/>
      <c r="P66" s="129"/>
      <c r="Q66" s="129"/>
      <c r="R66" s="129"/>
      <c r="S66" s="129"/>
      <c r="T66" s="129"/>
      <c r="U66" s="129"/>
      <c r="V66" s="129"/>
      <c r="W66" s="382"/>
      <c r="X66" s="361"/>
      <c r="Y66" s="129"/>
      <c r="Z66" s="129"/>
      <c r="AA66" s="129"/>
      <c r="AB66" s="129"/>
      <c r="AC66" s="124"/>
      <c r="AD66" s="129" t="s">
        <v>105</v>
      </c>
      <c r="AE66" s="129"/>
      <c r="AF66" s="129"/>
      <c r="AG66" s="385">
        <v>0</v>
      </c>
      <c r="AH66" s="129"/>
      <c r="AI66" s="129"/>
      <c r="AJ66" s="129"/>
      <c r="AK66" s="129" t="s">
        <v>112</v>
      </c>
    </row>
    <row r="67" spans="2:37" x14ac:dyDescent="0.2">
      <c r="AC67" s="124"/>
      <c r="AD67" s="129" t="s">
        <v>105</v>
      </c>
      <c r="AG67" s="385">
        <v>0</v>
      </c>
      <c r="AK67" s="129" t="s">
        <v>113</v>
      </c>
    </row>
    <row r="68" spans="2:37" x14ac:dyDescent="0.2">
      <c r="AC68" s="385"/>
      <c r="AD68" s="129" t="s">
        <v>105</v>
      </c>
      <c r="AG68" s="385">
        <v>0</v>
      </c>
      <c r="AK68" s="129" t="s">
        <v>114</v>
      </c>
    </row>
    <row r="69" spans="2:37" x14ac:dyDescent="0.2">
      <c r="AC69" s="385"/>
      <c r="AG69" s="385"/>
    </row>
    <row r="70" spans="2:37" x14ac:dyDescent="0.2">
      <c r="AC70" s="124"/>
      <c r="AD70" s="129" t="s">
        <v>105</v>
      </c>
      <c r="AG70" s="385">
        <v>0</v>
      </c>
      <c r="AK70" s="129" t="s">
        <v>112</v>
      </c>
    </row>
    <row r="71" spans="2:37" x14ac:dyDescent="0.2">
      <c r="AC71" s="125"/>
      <c r="AD71" s="129" t="s">
        <v>105</v>
      </c>
      <c r="AG71" s="385">
        <v>0</v>
      </c>
      <c r="AK71" s="129" t="s">
        <v>112</v>
      </c>
    </row>
    <row r="72" spans="2:37" x14ac:dyDescent="0.2">
      <c r="AC72" s="125"/>
      <c r="AD72" s="129" t="s">
        <v>105</v>
      </c>
      <c r="AG72" s="385">
        <v>0</v>
      </c>
      <c r="AK72" s="129" t="s">
        <v>112</v>
      </c>
    </row>
    <row r="73" spans="2:37" x14ac:dyDescent="0.2">
      <c r="AC73" s="124"/>
      <c r="AG73" s="385"/>
    </row>
    <row r="74" spans="2:37" x14ac:dyDescent="0.2">
      <c r="AC74" s="385"/>
      <c r="AD74" s="129" t="s">
        <v>105</v>
      </c>
      <c r="AG74" s="385">
        <v>0</v>
      </c>
      <c r="AK74" s="129" t="s">
        <v>115</v>
      </c>
    </row>
    <row r="75" spans="2:37" x14ac:dyDescent="0.2">
      <c r="AC75" s="125"/>
      <c r="AD75" s="129" t="s">
        <v>105</v>
      </c>
      <c r="AG75" s="385">
        <v>0</v>
      </c>
      <c r="AK75" s="129" t="s">
        <v>116</v>
      </c>
    </row>
    <row r="76" spans="2:37" x14ac:dyDescent="0.2">
      <c r="AC76" s="125"/>
      <c r="AD76" s="129" t="s">
        <v>105</v>
      </c>
      <c r="AG76" s="385">
        <v>0</v>
      </c>
      <c r="AK76" s="129" t="s">
        <v>116</v>
      </c>
    </row>
    <row r="77" spans="2:37" x14ac:dyDescent="0.2">
      <c r="AC77" s="385"/>
      <c r="AG77" s="385"/>
    </row>
    <row r="78" spans="2:37" x14ac:dyDescent="0.2">
      <c r="AC78" s="385"/>
      <c r="AD78" s="129" t="s">
        <v>105</v>
      </c>
      <c r="AG78" s="385">
        <v>0</v>
      </c>
      <c r="AK78" s="129" t="s">
        <v>116</v>
      </c>
    </row>
    <row r="79" spans="2:37" x14ac:dyDescent="0.2">
      <c r="AC79" s="125"/>
      <c r="AD79" s="129" t="s">
        <v>105</v>
      </c>
      <c r="AG79" s="385">
        <v>0</v>
      </c>
      <c r="AK79" s="129" t="s">
        <v>115</v>
      </c>
    </row>
    <row r="80" spans="2:37" x14ac:dyDescent="0.2">
      <c r="AC80" s="125"/>
      <c r="AD80" s="129" t="s">
        <v>105</v>
      </c>
      <c r="AG80" s="385">
        <v>0</v>
      </c>
      <c r="AK80" s="129" t="s">
        <v>115</v>
      </c>
    </row>
    <row r="81" spans="29:37" x14ac:dyDescent="0.2">
      <c r="AC81" s="385"/>
      <c r="AD81" s="129" t="s">
        <v>105</v>
      </c>
      <c r="AG81" s="385">
        <v>0</v>
      </c>
      <c r="AK81" s="129" t="s">
        <v>117</v>
      </c>
    </row>
    <row r="82" spans="29:37" x14ac:dyDescent="0.2">
      <c r="AC82" s="125"/>
      <c r="AD82" s="129" t="s">
        <v>105</v>
      </c>
      <c r="AG82" s="385">
        <v>0</v>
      </c>
      <c r="AK82" s="129" t="s">
        <v>115</v>
      </c>
    </row>
    <row r="83" spans="29:37" x14ac:dyDescent="0.2">
      <c r="AC83" s="125"/>
      <c r="AD83" s="129" t="s">
        <v>105</v>
      </c>
      <c r="AG83" s="385">
        <v>0</v>
      </c>
      <c r="AK83" s="129" t="s">
        <v>115</v>
      </c>
    </row>
    <row r="84" spans="29:37" x14ac:dyDescent="0.2">
      <c r="AC84" s="125"/>
      <c r="AG84" s="385"/>
    </row>
    <row r="85" spans="29:37" x14ac:dyDescent="0.2">
      <c r="AC85" s="385"/>
      <c r="AD85" s="129" t="s">
        <v>105</v>
      </c>
      <c r="AG85" s="385">
        <v>0</v>
      </c>
      <c r="AK85" s="129" t="s">
        <v>118</v>
      </c>
    </row>
    <row r="86" spans="29:37" x14ac:dyDescent="0.2">
      <c r="AC86" s="385"/>
      <c r="AG86" s="385"/>
    </row>
    <row r="87" spans="29:37" x14ac:dyDescent="0.2">
      <c r="AC87" s="385"/>
      <c r="AG87" s="385"/>
    </row>
    <row r="88" spans="29:37" x14ac:dyDescent="0.2">
      <c r="AC88" s="129" t="s">
        <v>119</v>
      </c>
      <c r="AD88" s="129" t="s">
        <v>105</v>
      </c>
      <c r="AG88" s="385">
        <v>0</v>
      </c>
      <c r="AK88" s="129" t="s">
        <v>120</v>
      </c>
    </row>
    <row r="101" spans="2:28" x14ac:dyDescent="0.2">
      <c r="B101" s="11"/>
      <c r="D101" s="384"/>
    </row>
    <row r="102" spans="2:28" x14ac:dyDescent="0.2">
      <c r="B102" s="11"/>
      <c r="D102" s="384"/>
      <c r="Q102" s="115"/>
      <c r="R102" s="115"/>
      <c r="S102" s="115"/>
      <c r="T102" s="115"/>
      <c r="U102" s="115"/>
      <c r="V102" s="115"/>
      <c r="W102" s="115"/>
      <c r="X102" s="126"/>
      <c r="Y102" s="115"/>
      <c r="Z102" s="115"/>
      <c r="AA102" s="115"/>
      <c r="AB102" s="115"/>
    </row>
    <row r="103" spans="2:28" x14ac:dyDescent="0.2">
      <c r="Q103" s="115"/>
      <c r="R103" s="115"/>
      <c r="S103" s="115"/>
      <c r="T103" s="115"/>
      <c r="U103" s="115"/>
      <c r="V103" s="115"/>
      <c r="W103" s="115"/>
      <c r="X103" s="126"/>
      <c r="Y103" s="115"/>
      <c r="Z103" s="115"/>
      <c r="AA103" s="115"/>
      <c r="AB103" s="115"/>
    </row>
    <row r="104" spans="2:28" x14ac:dyDescent="0.2">
      <c r="D104" s="384"/>
    </row>
    <row r="105" spans="2:28" x14ac:dyDescent="0.2">
      <c r="D105" s="384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6868-0B74-4697-94BA-DD08ABDE9305}">
  <dimension ref="B1:AG76"/>
  <sheetViews>
    <sheetView showGridLines="0" topLeftCell="F1" zoomScaleNormal="100" zoomScaleSheetLayoutView="100" workbookViewId="0">
      <selection activeCell="C15" sqref="C15"/>
    </sheetView>
  </sheetViews>
  <sheetFormatPr defaultColWidth="9.140625" defaultRowHeight="14.1" customHeight="1" x14ac:dyDescent="0.25"/>
  <cols>
    <col min="1" max="1" width="1.7109375" style="13" customWidth="1"/>
    <col min="2" max="2" width="3.42578125" style="131" customWidth="1"/>
    <col min="3" max="3" width="5.5703125" style="131" customWidth="1"/>
    <col min="4" max="4" width="6.42578125" style="131" customWidth="1"/>
    <col min="5" max="5" width="8.85546875" style="253" customWidth="1"/>
    <col min="6" max="6" width="29.42578125" style="13" customWidth="1"/>
    <col min="7" max="7" width="12.140625" style="13" bestFit="1" customWidth="1"/>
    <col min="8" max="8" width="15.5703125" style="133" bestFit="1" customWidth="1"/>
    <col min="9" max="9" width="2.7109375" style="13" customWidth="1"/>
    <col min="10" max="10" width="13.42578125" style="13" bestFit="1" customWidth="1"/>
    <col min="11" max="11" width="19" style="133" customWidth="1"/>
    <col min="12" max="12" width="2.7109375" style="13" customWidth="1"/>
    <col min="13" max="13" width="16.85546875" style="13" bestFit="1" customWidth="1"/>
    <col min="14" max="14" width="16.5703125" style="133" bestFit="1" customWidth="1"/>
    <col min="15" max="15" width="3" style="13" customWidth="1"/>
    <col min="16" max="16" width="13.5703125" style="139" bestFit="1" customWidth="1"/>
    <col min="17" max="17" width="17.42578125" style="139" customWidth="1"/>
    <col min="18" max="18" width="3.7109375" style="139" customWidth="1"/>
    <col min="19" max="19" width="15.28515625" style="139" customWidth="1"/>
    <col min="20" max="20" width="16.85546875" style="139" customWidth="1"/>
    <col min="21" max="21" width="3.5703125" style="13" customWidth="1"/>
    <col min="22" max="22" width="7.5703125" style="13" customWidth="1"/>
    <col min="23" max="23" width="16" style="13" bestFit="1" customWidth="1"/>
    <col min="24" max="24" width="1.7109375" style="13" hidden="1" customWidth="1"/>
    <col min="25" max="25" width="8.42578125" style="13" customWidth="1"/>
    <col min="26" max="26" width="14.7109375" style="13" bestFit="1" customWidth="1"/>
    <col min="27" max="27" width="1.7109375" style="13" hidden="1" customWidth="1"/>
    <col min="28" max="29" width="15.7109375" style="13" hidden="1" customWidth="1"/>
    <col min="30" max="30" width="2.140625" style="13" customWidth="1"/>
    <col min="31" max="31" width="14.42578125" style="13" customWidth="1"/>
    <col min="32" max="32" width="10.7109375" style="13" bestFit="1" customWidth="1"/>
    <col min="33" max="33" width="13.7109375" style="13" bestFit="1" customWidth="1"/>
    <col min="34" max="16384" width="9.140625" style="13"/>
  </cols>
  <sheetData>
    <row r="1" spans="2:33" ht="17.45" customHeight="1" x14ac:dyDescent="0.25">
      <c r="B1" s="130" t="s">
        <v>122</v>
      </c>
      <c r="D1" s="132"/>
      <c r="E1" s="132"/>
      <c r="F1" s="132"/>
      <c r="I1" s="134"/>
      <c r="K1" s="135"/>
      <c r="O1" s="134"/>
      <c r="P1" s="136"/>
      <c r="Q1" s="137"/>
      <c r="R1" s="136"/>
      <c r="S1" s="136"/>
      <c r="T1" s="136"/>
      <c r="U1" s="134"/>
      <c r="V1" s="376">
        <f>B2-31</f>
        <v>44494</v>
      </c>
      <c r="W1" s="376"/>
      <c r="X1" s="376"/>
      <c r="Y1" s="376"/>
      <c r="Z1" s="376"/>
    </row>
    <row r="2" spans="2:33" ht="15" customHeight="1" x14ac:dyDescent="0.25">
      <c r="B2" s="377">
        <v>44525</v>
      </c>
      <c r="C2" s="377"/>
      <c r="D2" s="377"/>
      <c r="E2" s="377"/>
      <c r="I2" s="134"/>
      <c r="J2" s="378" t="s">
        <v>123</v>
      </c>
      <c r="K2" s="378"/>
      <c r="L2" s="378"/>
      <c r="M2" s="378"/>
      <c r="N2" s="378"/>
      <c r="O2" s="134"/>
      <c r="P2" s="379" t="s">
        <v>124</v>
      </c>
      <c r="Q2" s="379"/>
      <c r="R2" s="379"/>
      <c r="S2" s="379"/>
      <c r="T2" s="379"/>
      <c r="U2" s="134"/>
      <c r="V2" s="380" t="s">
        <v>125</v>
      </c>
      <c r="W2" s="380"/>
      <c r="X2" s="380"/>
      <c r="Y2" s="380"/>
      <c r="Z2" s="380"/>
    </row>
    <row r="3" spans="2:33" ht="15.75" x14ac:dyDescent="0.25">
      <c r="E3" s="138"/>
      <c r="F3" s="13" t="s">
        <v>97</v>
      </c>
      <c r="I3" s="134"/>
      <c r="K3" s="135"/>
      <c r="O3" s="134"/>
      <c r="U3" s="140"/>
      <c r="V3" s="376">
        <f>B2</f>
        <v>44525</v>
      </c>
      <c r="W3" s="376"/>
      <c r="X3" s="376"/>
      <c r="Y3" s="376"/>
      <c r="Z3" s="376"/>
      <c r="AB3" s="372" t="s">
        <v>126</v>
      </c>
      <c r="AC3" s="372"/>
      <c r="AD3" s="141"/>
    </row>
    <row r="4" spans="2:33" ht="16.5" customHeight="1" x14ac:dyDescent="0.25">
      <c r="B4" s="142"/>
      <c r="C4" s="142"/>
      <c r="D4" s="142"/>
      <c r="E4" s="143"/>
      <c r="F4" s="144"/>
      <c r="G4" s="373" t="s">
        <v>10</v>
      </c>
      <c r="H4" s="373"/>
      <c r="I4" s="134"/>
      <c r="J4" s="374" t="s">
        <v>127</v>
      </c>
      <c r="K4" s="374"/>
      <c r="L4" s="145"/>
      <c r="M4" s="374" t="s">
        <v>128</v>
      </c>
      <c r="N4" s="374"/>
      <c r="O4" s="146"/>
      <c r="P4" s="375" t="s">
        <v>127</v>
      </c>
      <c r="Q4" s="375"/>
      <c r="R4" s="147"/>
      <c r="S4" s="375" t="s">
        <v>128</v>
      </c>
      <c r="T4" s="375"/>
      <c r="U4" s="146"/>
      <c r="V4" s="374" t="s">
        <v>127</v>
      </c>
      <c r="W4" s="374"/>
      <c r="X4" s="145"/>
      <c r="Y4" s="374" t="s">
        <v>128</v>
      </c>
      <c r="Z4" s="374"/>
      <c r="AB4" s="148" t="s">
        <v>2</v>
      </c>
      <c r="AC4" s="148" t="s">
        <v>6</v>
      </c>
      <c r="AD4" s="148"/>
    </row>
    <row r="5" spans="2:33" s="11" customFormat="1" ht="17.25" customHeight="1" x14ac:dyDescent="0.25">
      <c r="B5" s="371" t="s">
        <v>129</v>
      </c>
      <c r="C5" s="371"/>
      <c r="D5" s="371"/>
      <c r="E5" s="371"/>
      <c r="F5" s="149"/>
      <c r="G5" s="150" t="s">
        <v>36</v>
      </c>
      <c r="H5" s="151" t="s">
        <v>130</v>
      </c>
      <c r="I5" s="146"/>
      <c r="J5" s="152" t="s">
        <v>36</v>
      </c>
      <c r="K5" s="153" t="s">
        <v>130</v>
      </c>
      <c r="L5" s="154"/>
      <c r="M5" s="152" t="s">
        <v>36</v>
      </c>
      <c r="N5" s="153" t="s">
        <v>130</v>
      </c>
      <c r="O5" s="146"/>
      <c r="P5" s="155" t="s">
        <v>36</v>
      </c>
      <c r="Q5" s="156" t="s">
        <v>130</v>
      </c>
      <c r="R5" s="154"/>
      <c r="S5" s="154" t="s">
        <v>36</v>
      </c>
      <c r="T5" s="157" t="s">
        <v>130</v>
      </c>
      <c r="U5" s="146"/>
      <c r="V5" s="152" t="s">
        <v>131</v>
      </c>
      <c r="W5" s="157" t="s">
        <v>130</v>
      </c>
      <c r="X5" s="154"/>
      <c r="Y5" s="154" t="s">
        <v>131</v>
      </c>
      <c r="Z5" s="157" t="s">
        <v>130</v>
      </c>
      <c r="AB5" s="158" t="s">
        <v>130</v>
      </c>
      <c r="AC5" s="158" t="s">
        <v>130</v>
      </c>
      <c r="AD5" s="158"/>
    </row>
    <row r="6" spans="2:33" ht="14.25" customHeight="1" x14ac:dyDescent="0.25">
      <c r="B6" s="159" t="s">
        <v>132</v>
      </c>
      <c r="C6" s="160">
        <v>6011</v>
      </c>
      <c r="D6" s="160">
        <v>28040</v>
      </c>
      <c r="E6" s="161">
        <v>671010</v>
      </c>
      <c r="F6" s="96" t="s">
        <v>133</v>
      </c>
      <c r="G6" s="162" t="s">
        <v>134</v>
      </c>
      <c r="H6" s="113">
        <f>K6+N6</f>
        <v>342142.5</v>
      </c>
      <c r="I6" s="134"/>
      <c r="J6" s="163"/>
      <c r="K6" s="164">
        <f>+Q6+W6</f>
        <v>38388.39</v>
      </c>
      <c r="L6" s="165" t="s">
        <v>135</v>
      </c>
      <c r="M6" s="163"/>
      <c r="N6" s="164">
        <f>+T6+Z6</f>
        <v>303754.11</v>
      </c>
      <c r="O6" s="166" t="s">
        <v>135</v>
      </c>
      <c r="P6" s="167"/>
      <c r="Q6" s="168">
        <v>38388.39</v>
      </c>
      <c r="R6" s="169"/>
      <c r="S6" s="167"/>
      <c r="T6" s="168">
        <v>303754.11</v>
      </c>
      <c r="U6" s="170"/>
      <c r="V6" s="171"/>
      <c r="W6" s="172"/>
      <c r="Y6" s="173"/>
      <c r="Z6" s="172"/>
      <c r="AE6" s="174">
        <v>671010</v>
      </c>
    </row>
    <row r="7" spans="2:33" ht="14.25" customHeight="1" x14ac:dyDescent="0.25">
      <c r="B7" s="159" t="s">
        <v>132</v>
      </c>
      <c r="C7" s="160">
        <v>6011</v>
      </c>
      <c r="D7" s="160">
        <v>28040</v>
      </c>
      <c r="E7" s="161">
        <v>671030</v>
      </c>
      <c r="F7" s="96" t="s">
        <v>136</v>
      </c>
      <c r="G7" s="162" t="s">
        <v>134</v>
      </c>
      <c r="H7" s="113">
        <f t="shared" ref="H7:H13" si="0">+K7+N7</f>
        <v>423656.12</v>
      </c>
      <c r="I7" s="134"/>
      <c r="J7" s="163"/>
      <c r="K7" s="164">
        <f>+Q7+W7</f>
        <v>269574.18</v>
      </c>
      <c r="L7" s="165" t="s">
        <v>135</v>
      </c>
      <c r="M7" s="163"/>
      <c r="N7" s="164">
        <f>+T7+Z7</f>
        <v>154081.94</v>
      </c>
      <c r="O7" s="166" t="s">
        <v>135</v>
      </c>
      <c r="P7" s="163"/>
      <c r="Q7" s="168">
        <v>269342.56</v>
      </c>
      <c r="R7" s="11"/>
      <c r="S7" s="163"/>
      <c r="T7" s="168">
        <v>154051.26999999999</v>
      </c>
      <c r="U7" s="134"/>
      <c r="V7" s="175"/>
      <c r="W7" s="168">
        <v>231.62</v>
      </c>
      <c r="X7" s="139"/>
      <c r="Y7" s="176"/>
      <c r="Z7" s="168">
        <v>30.67</v>
      </c>
      <c r="AE7" s="174">
        <v>671030</v>
      </c>
    </row>
    <row r="8" spans="2:33" ht="14.25" customHeight="1" x14ac:dyDescent="0.25">
      <c r="B8" s="159" t="s">
        <v>132</v>
      </c>
      <c r="C8" s="160">
        <v>6011</v>
      </c>
      <c r="D8" s="160">
        <v>28040</v>
      </c>
      <c r="E8" s="161">
        <v>671050</v>
      </c>
      <c r="F8" s="96" t="s">
        <v>137</v>
      </c>
      <c r="G8" s="11">
        <f t="shared" ref="G8:G14" si="1">+J8+M8</f>
        <v>37335930</v>
      </c>
      <c r="H8" s="113">
        <f t="shared" si="0"/>
        <v>16749289.700000001</v>
      </c>
      <c r="I8" s="134"/>
      <c r="J8" s="177">
        <f>+P8+V8</f>
        <v>27207688</v>
      </c>
      <c r="K8" s="178">
        <f>+Q8+W8</f>
        <v>12890534.9</v>
      </c>
      <c r="L8" s="165" t="s">
        <v>138</v>
      </c>
      <c r="M8" s="11">
        <f>+S8+Y8</f>
        <v>10128242</v>
      </c>
      <c r="N8" s="178">
        <f>+T8+Z8</f>
        <v>3858754.8000000003</v>
      </c>
      <c r="O8" s="166" t="s">
        <v>138</v>
      </c>
      <c r="P8" s="179">
        <v>27208811</v>
      </c>
      <c r="Q8" s="180">
        <v>12911552.73</v>
      </c>
      <c r="R8" s="11"/>
      <c r="S8" s="179">
        <v>10127119</v>
      </c>
      <c r="T8" s="180">
        <v>3860836.97</v>
      </c>
      <c r="U8" s="134"/>
      <c r="V8" s="181">
        <v>-1123</v>
      </c>
      <c r="W8" s="180">
        <v>-21017.83</v>
      </c>
      <c r="X8" s="139"/>
      <c r="Y8" s="182">
        <v>1123</v>
      </c>
      <c r="Z8" s="180">
        <v>-2082.17</v>
      </c>
      <c r="AB8" s="183">
        <v>0</v>
      </c>
      <c r="AC8" s="183">
        <v>0</v>
      </c>
      <c r="AE8" s="184">
        <v>671050</v>
      </c>
    </row>
    <row r="9" spans="2:33" ht="14.25" customHeight="1" x14ac:dyDescent="0.25">
      <c r="B9" s="159" t="s">
        <v>132</v>
      </c>
      <c r="C9" s="160">
        <v>6011</v>
      </c>
      <c r="D9" s="160">
        <v>28040</v>
      </c>
      <c r="E9" s="161">
        <v>671051</v>
      </c>
      <c r="F9" s="96" t="s">
        <v>139</v>
      </c>
      <c r="G9" s="162" t="s">
        <v>134</v>
      </c>
      <c r="H9" s="113">
        <f t="shared" si="0"/>
        <v>-276000</v>
      </c>
      <c r="I9" s="134"/>
      <c r="J9" s="185"/>
      <c r="K9" s="178">
        <f t="shared" ref="J9:K14" si="2">+Q9+W9</f>
        <v>-206414.88</v>
      </c>
      <c r="L9" s="165" t="s">
        <v>138</v>
      </c>
      <c r="M9" s="186"/>
      <c r="N9" s="178">
        <f>+T9+Z9</f>
        <v>-69585.119999999995</v>
      </c>
      <c r="O9" s="166" t="s">
        <v>138</v>
      </c>
      <c r="P9" s="163"/>
      <c r="Q9" s="180">
        <v>-206414.88</v>
      </c>
      <c r="R9" s="11"/>
      <c r="S9" s="163"/>
      <c r="T9" s="180">
        <v>-69585.119999999995</v>
      </c>
      <c r="U9" s="134"/>
      <c r="V9" s="187"/>
      <c r="W9" s="180"/>
      <c r="X9" s="176"/>
      <c r="Y9" s="188"/>
      <c r="Z9" s="180"/>
      <c r="AE9" s="184">
        <v>671051</v>
      </c>
    </row>
    <row r="10" spans="2:33" ht="14.25" customHeight="1" x14ac:dyDescent="0.25">
      <c r="B10" s="159" t="s">
        <v>132</v>
      </c>
      <c r="C10" s="160">
        <v>6011</v>
      </c>
      <c r="D10" s="160">
        <v>28040</v>
      </c>
      <c r="E10" s="161">
        <v>671070</v>
      </c>
      <c r="F10" s="96" t="s">
        <v>140</v>
      </c>
      <c r="G10" s="11">
        <f t="shared" si="1"/>
        <v>-1911110</v>
      </c>
      <c r="H10" s="113">
        <f>+K10+N10</f>
        <v>-790926.60000000009</v>
      </c>
      <c r="I10" s="134"/>
      <c r="J10" s="177">
        <f t="shared" si="2"/>
        <v>-1421283</v>
      </c>
      <c r="K10" s="178">
        <f t="shared" si="2"/>
        <v>-588343.71000000008</v>
      </c>
      <c r="L10" s="165" t="s">
        <v>138</v>
      </c>
      <c r="M10" s="11">
        <f>+S10+Y10</f>
        <v>-489827</v>
      </c>
      <c r="N10" s="178">
        <f>+T10+Z10</f>
        <v>-202582.88999999998</v>
      </c>
      <c r="O10" s="189" t="s">
        <v>138</v>
      </c>
      <c r="P10" s="179">
        <f>+-87246-1334037</f>
        <v>-1421283</v>
      </c>
      <c r="Q10" s="180">
        <f>+-28861.93-559481.78</f>
        <v>-588343.71000000008</v>
      </c>
      <c r="R10" s="11"/>
      <c r="S10" s="179">
        <f>+-32124-457703</f>
        <v>-489827</v>
      </c>
      <c r="T10" s="180">
        <v>-202582.88999999998</v>
      </c>
      <c r="U10" s="134"/>
      <c r="V10" s="187"/>
      <c r="W10" s="180"/>
      <c r="X10" s="176">
        <v>0</v>
      </c>
      <c r="Y10" s="188"/>
      <c r="Z10" s="180"/>
      <c r="AE10" s="184">
        <v>671070</v>
      </c>
    </row>
    <row r="11" spans="2:33" ht="14.25" customHeight="1" x14ac:dyDescent="0.25">
      <c r="B11" s="190" t="s">
        <v>132</v>
      </c>
      <c r="C11" s="191">
        <v>6011</v>
      </c>
      <c r="D11" s="191">
        <v>28081</v>
      </c>
      <c r="E11" s="192">
        <v>671050</v>
      </c>
      <c r="F11" s="193" t="s">
        <v>141</v>
      </c>
      <c r="G11" s="11">
        <f t="shared" si="1"/>
        <v>1883659</v>
      </c>
      <c r="H11" s="113">
        <f t="shared" si="0"/>
        <v>548665.43999999994</v>
      </c>
      <c r="I11" s="134"/>
      <c r="J11" s="177">
        <f t="shared" si="2"/>
        <v>1672312</v>
      </c>
      <c r="K11" s="178">
        <f t="shared" si="2"/>
        <v>487105.18</v>
      </c>
      <c r="L11" s="165" t="s">
        <v>138</v>
      </c>
      <c r="M11" s="11">
        <f t="shared" ref="M11:N14" si="3">+S11+Y11</f>
        <v>211347</v>
      </c>
      <c r="N11" s="178">
        <f t="shared" si="3"/>
        <v>61560.26</v>
      </c>
      <c r="O11" s="166" t="s">
        <v>138</v>
      </c>
      <c r="P11" s="179">
        <v>1672312</v>
      </c>
      <c r="Q11" s="194">
        <v>487105.18</v>
      </c>
      <c r="R11" s="195">
        <v>-1</v>
      </c>
      <c r="S11" s="179">
        <v>211347</v>
      </c>
      <c r="T11" s="194">
        <v>61560.26</v>
      </c>
      <c r="U11" s="196">
        <v>-4</v>
      </c>
      <c r="V11" s="187"/>
      <c r="W11" s="180"/>
      <c r="X11" s="176"/>
      <c r="Y11" s="188"/>
      <c r="Z11" s="180"/>
      <c r="AE11" s="192">
        <v>671050</v>
      </c>
      <c r="AF11" s="139"/>
    </row>
    <row r="12" spans="2:33" ht="14.25" customHeight="1" x14ac:dyDescent="0.25">
      <c r="B12" s="190" t="s">
        <v>132</v>
      </c>
      <c r="C12" s="191">
        <v>6011</v>
      </c>
      <c r="D12" s="191">
        <v>28082</v>
      </c>
      <c r="E12" s="192">
        <v>671050</v>
      </c>
      <c r="F12" s="193" t="s">
        <v>142</v>
      </c>
      <c r="G12" s="11">
        <f t="shared" si="1"/>
        <v>-741200</v>
      </c>
      <c r="H12" s="113">
        <f t="shared" si="0"/>
        <v>-335168.46000000002</v>
      </c>
      <c r="I12" s="134"/>
      <c r="J12" s="177">
        <f t="shared" si="2"/>
        <v>-741200</v>
      </c>
      <c r="K12" s="178">
        <f t="shared" si="2"/>
        <v>-335168.46000000002</v>
      </c>
      <c r="L12" s="165" t="s">
        <v>138</v>
      </c>
      <c r="M12" s="87">
        <f t="shared" si="3"/>
        <v>0</v>
      </c>
      <c r="N12" s="178">
        <f t="shared" si="3"/>
        <v>0</v>
      </c>
      <c r="O12" s="166" t="s">
        <v>138</v>
      </c>
      <c r="P12" s="179">
        <v>-741200</v>
      </c>
      <c r="Q12" s="194">
        <v>-335168.46000000002</v>
      </c>
      <c r="R12" s="195">
        <v>-2</v>
      </c>
      <c r="S12" s="197"/>
      <c r="T12" s="194"/>
      <c r="U12" s="196"/>
      <c r="V12" s="181"/>
      <c r="W12" s="180"/>
      <c r="X12" s="176"/>
      <c r="Y12" s="188"/>
      <c r="Z12" s="180"/>
      <c r="AE12" s="192">
        <v>671050</v>
      </c>
      <c r="AF12" s="139"/>
      <c r="AG12" s="179"/>
    </row>
    <row r="13" spans="2:33" ht="14.25" customHeight="1" x14ac:dyDescent="0.25">
      <c r="B13" s="190" t="s">
        <v>132</v>
      </c>
      <c r="C13" s="191">
        <v>6011</v>
      </c>
      <c r="D13" s="191">
        <v>28120</v>
      </c>
      <c r="E13" s="192">
        <v>671070</v>
      </c>
      <c r="F13" s="193" t="s">
        <v>143</v>
      </c>
      <c r="G13" s="11">
        <f t="shared" si="1"/>
        <v>-33572</v>
      </c>
      <c r="H13" s="113">
        <f t="shared" si="0"/>
        <v>-10225.290000000001</v>
      </c>
      <c r="I13" s="134"/>
      <c r="J13" s="177">
        <f>+P13+V13</f>
        <v>-24970</v>
      </c>
      <c r="K13" s="178">
        <f>+Q13+W13</f>
        <v>-7879.02</v>
      </c>
      <c r="L13" s="165" t="s">
        <v>138</v>
      </c>
      <c r="M13" s="11">
        <f t="shared" si="3"/>
        <v>-8602</v>
      </c>
      <c r="N13" s="178">
        <f t="shared" si="3"/>
        <v>-2346.27</v>
      </c>
      <c r="O13" s="166" t="s">
        <v>138</v>
      </c>
      <c r="P13" s="179">
        <v>-24970</v>
      </c>
      <c r="Q13" s="194">
        <v>-7879.02</v>
      </c>
      <c r="R13" s="195">
        <v>-3</v>
      </c>
      <c r="S13" s="198">
        <v>-8602</v>
      </c>
      <c r="T13" s="194">
        <v>-2346.27</v>
      </c>
      <c r="U13" s="196">
        <v>-5</v>
      </c>
      <c r="V13" s="187"/>
      <c r="W13" s="180"/>
      <c r="X13" s="176"/>
      <c r="Y13" s="188"/>
      <c r="Z13" s="180"/>
      <c r="AE13" s="192">
        <v>671070</v>
      </c>
    </row>
    <row r="14" spans="2:33" ht="14.25" customHeight="1" x14ac:dyDescent="0.25">
      <c r="B14" s="159" t="s">
        <v>132</v>
      </c>
      <c r="C14" s="160">
        <v>6011</v>
      </c>
      <c r="D14" s="160">
        <v>28040</v>
      </c>
      <c r="E14" s="161">
        <v>671100</v>
      </c>
      <c r="F14" s="96" t="s">
        <v>144</v>
      </c>
      <c r="G14" s="11">
        <f t="shared" si="1"/>
        <v>0</v>
      </c>
      <c r="H14" s="113">
        <f>+K14+N14</f>
        <v>0</v>
      </c>
      <c r="I14" s="134"/>
      <c r="J14" s="177">
        <f>+P14+V14</f>
        <v>0</v>
      </c>
      <c r="K14" s="178">
        <f t="shared" si="2"/>
        <v>0</v>
      </c>
      <c r="L14" s="165" t="s">
        <v>138</v>
      </c>
      <c r="M14" s="199">
        <f t="shared" si="3"/>
        <v>0</v>
      </c>
      <c r="N14" s="200">
        <f t="shared" si="3"/>
        <v>0</v>
      </c>
      <c r="O14" s="166" t="s">
        <v>138</v>
      </c>
      <c r="P14" s="201"/>
      <c r="Q14" s="202"/>
      <c r="R14" s="169"/>
      <c r="S14" s="201"/>
      <c r="T14" s="180"/>
      <c r="U14" s="134"/>
      <c r="V14" s="187"/>
      <c r="W14" s="180"/>
      <c r="X14" s="176"/>
      <c r="Y14" s="188"/>
      <c r="Z14" s="203"/>
      <c r="AE14" s="184">
        <v>671100</v>
      </c>
    </row>
    <row r="15" spans="2:33" ht="14.25" customHeight="1" x14ac:dyDescent="0.25">
      <c r="B15" s="159"/>
      <c r="C15" s="204"/>
      <c r="D15" s="204"/>
      <c r="E15" s="205"/>
      <c r="F15" s="206" t="s">
        <v>145</v>
      </c>
      <c r="G15" s="207">
        <f>SUM(G6:G14)</f>
        <v>36533707</v>
      </c>
      <c r="H15" s="208">
        <f>SUM(H6:H14)</f>
        <v>16651433.41</v>
      </c>
      <c r="I15" s="134"/>
      <c r="J15" s="207">
        <f>SUM(J6:J14)</f>
        <v>26692547</v>
      </c>
      <c r="K15" s="208">
        <f>SUM(K6:K14)</f>
        <v>12547796.579999998</v>
      </c>
      <c r="L15" s="165"/>
      <c r="M15" s="11">
        <f>SUM(M6:M14)</f>
        <v>9841160</v>
      </c>
      <c r="N15" s="209">
        <f>SUM(N6:N14)</f>
        <v>4103636.83</v>
      </c>
      <c r="O15" s="166"/>
      <c r="P15" s="11">
        <f>SUM(P6:P14)</f>
        <v>26693670</v>
      </c>
      <c r="Q15" s="210">
        <f>SUM(Q6:Q14)</f>
        <v>12568582.789999997</v>
      </c>
      <c r="R15" s="11"/>
      <c r="S15" s="11">
        <f>SUM(S6:S14)</f>
        <v>9840037</v>
      </c>
      <c r="T15" s="210">
        <f>SUM(T6:T14)</f>
        <v>4105688.33</v>
      </c>
      <c r="U15" s="134"/>
      <c r="V15" s="211">
        <f>+SUM(V6:V14)</f>
        <v>-1123</v>
      </c>
      <c r="W15" s="212">
        <f>SUM(W6:W14)</f>
        <v>-20786.210000000003</v>
      </c>
      <c r="X15" s="176"/>
      <c r="Y15" s="211">
        <f>SUM(Y6:Y14)</f>
        <v>1123</v>
      </c>
      <c r="Z15" s="212">
        <f>SUM(Z6:Z14)</f>
        <v>-2051.5</v>
      </c>
      <c r="AB15" s="213">
        <f>SUM(AB6:AB14)</f>
        <v>0</v>
      </c>
      <c r="AC15" s="213">
        <f>SUM(AC6:AC14)</f>
        <v>0</v>
      </c>
      <c r="AD15" s="213"/>
      <c r="AE15" s="205"/>
    </row>
    <row r="16" spans="2:33" ht="14.25" customHeight="1" x14ac:dyDescent="0.25">
      <c r="B16" s="159"/>
      <c r="C16" s="204"/>
      <c r="D16" s="204"/>
      <c r="E16" s="205"/>
      <c r="F16" s="96"/>
      <c r="G16" s="207"/>
      <c r="H16" s="214"/>
      <c r="I16" s="134"/>
      <c r="J16" s="215"/>
      <c r="K16" s="216"/>
      <c r="L16" s="217"/>
      <c r="M16" s="218"/>
      <c r="N16" s="219"/>
      <c r="O16" s="166"/>
      <c r="P16" s="207"/>
      <c r="Q16" s="113"/>
      <c r="R16" s="11"/>
      <c r="S16" s="207"/>
      <c r="T16" s="113"/>
      <c r="U16" s="134"/>
      <c r="V16" s="220"/>
      <c r="W16" s="101"/>
      <c r="X16" s="176"/>
      <c r="Y16" s="176"/>
      <c r="Z16" s="101"/>
      <c r="AE16" s="205"/>
    </row>
    <row r="17" spans="2:33" ht="14.25" customHeight="1" x14ac:dyDescent="0.25">
      <c r="B17" s="159" t="s">
        <v>132</v>
      </c>
      <c r="C17" s="160">
        <v>6011</v>
      </c>
      <c r="D17" s="160">
        <v>28040</v>
      </c>
      <c r="E17" s="161">
        <v>672010</v>
      </c>
      <c r="F17" s="96" t="s">
        <v>146</v>
      </c>
      <c r="G17" s="162"/>
      <c r="H17" s="113">
        <f>K17+N17</f>
        <v>4268322.6899999995</v>
      </c>
      <c r="I17" s="134"/>
      <c r="K17" s="164">
        <f>+Q17+W17</f>
        <v>3392795.9299999997</v>
      </c>
      <c r="L17" s="165" t="s">
        <v>135</v>
      </c>
      <c r="M17" s="163"/>
      <c r="N17" s="164">
        <f>+T17+Z17</f>
        <v>875526.76</v>
      </c>
      <c r="O17" s="166" t="s">
        <v>135</v>
      </c>
      <c r="P17" s="163"/>
      <c r="Q17" s="168">
        <f>3268500.09+124449.11</f>
        <v>3392949.1999999997</v>
      </c>
      <c r="R17" s="11"/>
      <c r="S17" s="13"/>
      <c r="T17" s="168">
        <f>527305.66+348241.4</f>
        <v>875547.06</v>
      </c>
      <c r="U17" s="134"/>
      <c r="V17" s="221"/>
      <c r="W17" s="168">
        <v>-153.27000000000001</v>
      </c>
      <c r="X17" s="176"/>
      <c r="Y17" s="175"/>
      <c r="Z17" s="222">
        <v>-20.3</v>
      </c>
      <c r="AE17" s="174">
        <v>672010</v>
      </c>
    </row>
    <row r="18" spans="2:33" ht="14.25" customHeight="1" x14ac:dyDescent="0.25">
      <c r="B18" s="159" t="s">
        <v>132</v>
      </c>
      <c r="C18" s="160">
        <v>6011</v>
      </c>
      <c r="D18" s="160">
        <v>28040</v>
      </c>
      <c r="E18" s="161">
        <v>672020</v>
      </c>
      <c r="F18" s="96" t="s">
        <v>147</v>
      </c>
      <c r="G18" s="162"/>
      <c r="H18" s="113">
        <f>K18+N18</f>
        <v>89844.66</v>
      </c>
      <c r="I18" s="134"/>
      <c r="J18" s="215"/>
      <c r="K18" s="178">
        <f>+Q18+W18</f>
        <v>71506.11</v>
      </c>
      <c r="L18" s="165" t="s">
        <v>138</v>
      </c>
      <c r="M18" s="163"/>
      <c r="N18" s="178">
        <f>+T18+Z18</f>
        <v>18338.55</v>
      </c>
      <c r="O18" s="166" t="s">
        <v>138</v>
      </c>
      <c r="P18" s="163"/>
      <c r="Q18" s="180">
        <v>71392.66</v>
      </c>
      <c r="R18" s="11"/>
      <c r="S18" s="13"/>
      <c r="T18" s="180">
        <v>18004.34</v>
      </c>
      <c r="U18" s="134"/>
      <c r="V18" s="221"/>
      <c r="W18" s="180">
        <v>113.45</v>
      </c>
      <c r="X18" s="176"/>
      <c r="Y18" s="175"/>
      <c r="Z18" s="180">
        <v>334.21</v>
      </c>
      <c r="AE18" s="184">
        <v>672020</v>
      </c>
      <c r="AF18" s="223"/>
    </row>
    <row r="19" spans="2:33" ht="14.25" customHeight="1" x14ac:dyDescent="0.25">
      <c r="B19" s="159" t="s">
        <v>132</v>
      </c>
      <c r="C19" s="160">
        <v>6011</v>
      </c>
      <c r="D19" s="160">
        <v>28040</v>
      </c>
      <c r="E19" s="161">
        <v>672030</v>
      </c>
      <c r="F19" s="96" t="s">
        <v>148</v>
      </c>
      <c r="G19" s="162"/>
      <c r="H19" s="113">
        <f>K19+N19</f>
        <v>0</v>
      </c>
      <c r="I19" s="134"/>
      <c r="J19" s="215"/>
      <c r="K19" s="164">
        <f>+Q19+W19</f>
        <v>0</v>
      </c>
      <c r="L19" s="165" t="s">
        <v>135</v>
      </c>
      <c r="N19" s="164">
        <f>+T19+Z19</f>
        <v>0</v>
      </c>
      <c r="O19" s="166" t="s">
        <v>135</v>
      </c>
      <c r="P19" s="163"/>
      <c r="Q19" s="172"/>
      <c r="R19" s="11"/>
      <c r="S19" s="163"/>
      <c r="T19" s="172"/>
      <c r="U19" s="134"/>
      <c r="V19" s="221"/>
      <c r="W19" s="168"/>
      <c r="X19" s="176"/>
      <c r="Y19" s="175"/>
      <c r="Z19" s="168"/>
      <c r="AE19" s="174">
        <v>672030</v>
      </c>
      <c r="AF19" s="223"/>
    </row>
    <row r="20" spans="2:33" ht="14.25" customHeight="1" x14ac:dyDescent="0.25">
      <c r="B20" s="159" t="s">
        <v>132</v>
      </c>
      <c r="C20" s="160">
        <v>6011</v>
      </c>
      <c r="D20" s="160">
        <v>28040</v>
      </c>
      <c r="E20" s="161">
        <v>672040</v>
      </c>
      <c r="F20" s="96" t="s">
        <v>149</v>
      </c>
      <c r="G20" s="162"/>
      <c r="H20" s="113">
        <f>K20+N20</f>
        <v>0</v>
      </c>
      <c r="I20" s="134"/>
      <c r="J20" s="215"/>
      <c r="K20" s="164">
        <f>+Q20+W20</f>
        <v>0</v>
      </c>
      <c r="L20" s="165" t="s">
        <v>135</v>
      </c>
      <c r="M20" s="163"/>
      <c r="N20" s="164">
        <f>+T20+Z20</f>
        <v>0</v>
      </c>
      <c r="O20" s="166" t="s">
        <v>135</v>
      </c>
      <c r="P20" s="163"/>
      <c r="Q20" s="172"/>
      <c r="R20" s="11"/>
      <c r="S20" s="163"/>
      <c r="T20" s="172"/>
      <c r="U20" s="134"/>
      <c r="V20" s="221"/>
      <c r="W20" s="168"/>
      <c r="X20" s="176"/>
      <c r="Y20" s="175"/>
      <c r="Z20" s="168"/>
      <c r="AE20" s="174">
        <v>672040</v>
      </c>
      <c r="AF20" s="223"/>
      <c r="AG20" s="223"/>
    </row>
    <row r="21" spans="2:33" ht="14.25" customHeight="1" x14ac:dyDescent="0.25">
      <c r="B21" s="159" t="s">
        <v>132</v>
      </c>
      <c r="C21" s="160">
        <v>6011</v>
      </c>
      <c r="D21" s="160">
        <v>28040</v>
      </c>
      <c r="E21" s="161">
        <v>672050</v>
      </c>
      <c r="F21" s="96" t="s">
        <v>150</v>
      </c>
      <c r="G21" s="162"/>
      <c r="H21" s="113">
        <f>K21+N21</f>
        <v>0</v>
      </c>
      <c r="I21" s="134"/>
      <c r="J21" s="224"/>
      <c r="K21" s="164">
        <f>+Q21+W21</f>
        <v>0</v>
      </c>
      <c r="L21" s="165" t="s">
        <v>135</v>
      </c>
      <c r="M21" s="163"/>
      <c r="N21" s="225">
        <f>+T21+Z21</f>
        <v>0</v>
      </c>
      <c r="O21" s="166" t="s">
        <v>135</v>
      </c>
      <c r="P21" s="163"/>
      <c r="Q21" s="172"/>
      <c r="R21" s="162"/>
      <c r="S21" s="226"/>
      <c r="T21" s="227"/>
      <c r="U21" s="134"/>
      <c r="V21" s="221"/>
      <c r="W21" s="168"/>
      <c r="X21" s="176"/>
      <c r="Y21" s="175"/>
      <c r="Z21" s="168"/>
      <c r="AE21" s="174">
        <v>672050</v>
      </c>
      <c r="AF21" s="223"/>
      <c r="AG21" s="223"/>
    </row>
    <row r="22" spans="2:33" ht="14.25" customHeight="1" x14ac:dyDescent="0.25">
      <c r="B22" s="159"/>
      <c r="C22" s="204"/>
      <c r="D22" s="204"/>
      <c r="E22" s="205"/>
      <c r="F22" s="228" t="s">
        <v>151</v>
      </c>
      <c r="G22" s="229"/>
      <c r="H22" s="209">
        <f>SUM(H17:H21)</f>
        <v>4358167.3499999996</v>
      </c>
      <c r="I22" s="134"/>
      <c r="J22" s="230"/>
      <c r="K22" s="209">
        <f>SUM(K17:K21)</f>
        <v>3464302.0399999996</v>
      </c>
      <c r="L22" s="165"/>
      <c r="M22" s="231"/>
      <c r="N22" s="209">
        <f>SUM(N17:N21)</f>
        <v>893865.31</v>
      </c>
      <c r="O22" s="166"/>
      <c r="P22" s="207"/>
      <c r="Q22" s="210">
        <f>SUM(Q17:Q21)</f>
        <v>3464341.86</v>
      </c>
      <c r="R22" s="165"/>
      <c r="S22" s="229"/>
      <c r="T22" s="210">
        <f>SUM(T17:T21)</f>
        <v>893551.4</v>
      </c>
      <c r="U22" s="134"/>
      <c r="V22" s="232"/>
      <c r="W22" s="233">
        <f>SUM(W17:W21)</f>
        <v>-39.820000000000007</v>
      </c>
      <c r="X22" s="176"/>
      <c r="Y22" s="234"/>
      <c r="Z22" s="212">
        <f>SUM(Z17:Z21)</f>
        <v>313.90999999999997</v>
      </c>
      <c r="AB22" s="213">
        <f>SUM(AB17:AB21)</f>
        <v>0</v>
      </c>
      <c r="AC22" s="213">
        <f>SUM(AC17:AC21)</f>
        <v>0</v>
      </c>
      <c r="AD22" s="213"/>
      <c r="AE22" s="205"/>
    </row>
    <row r="23" spans="2:33" ht="14.25" customHeight="1" x14ac:dyDescent="0.25">
      <c r="B23" s="159"/>
      <c r="C23" s="204"/>
      <c r="D23" s="204"/>
      <c r="E23" s="205"/>
      <c r="F23" s="228"/>
      <c r="G23" s="11"/>
      <c r="H23" s="214"/>
      <c r="I23" s="134"/>
      <c r="J23" s="215"/>
      <c r="K23" s="219"/>
      <c r="L23" s="217"/>
      <c r="M23" s="235"/>
      <c r="N23" s="219"/>
      <c r="O23" s="166"/>
      <c r="P23" s="207"/>
      <c r="Q23" s="113"/>
      <c r="R23" s="11"/>
      <c r="S23" s="11"/>
      <c r="T23" s="113"/>
      <c r="U23" s="134"/>
      <c r="V23" s="236"/>
      <c r="W23" s="127"/>
      <c r="X23" s="176"/>
      <c r="Y23" s="234"/>
      <c r="Z23" s="101"/>
      <c r="AE23" s="205"/>
    </row>
    <row r="24" spans="2:33" ht="14.25" customHeight="1" x14ac:dyDescent="0.25">
      <c r="B24" s="159" t="s">
        <v>132</v>
      </c>
      <c r="C24" s="160">
        <v>6011</v>
      </c>
      <c r="D24" s="160">
        <v>28040</v>
      </c>
      <c r="E24" s="161">
        <v>673020</v>
      </c>
      <c r="F24" s="96" t="s">
        <v>152</v>
      </c>
      <c r="G24" s="162"/>
      <c r="H24" s="113">
        <f>K24+N24</f>
        <v>147805.47</v>
      </c>
      <c r="I24" s="134"/>
      <c r="J24" s="215"/>
      <c r="K24" s="164">
        <f t="shared" ref="K24:K38" si="4">+Q24+W24</f>
        <v>132511.97</v>
      </c>
      <c r="L24" s="165" t="s">
        <v>135</v>
      </c>
      <c r="M24" s="163"/>
      <c r="N24" s="164">
        <f t="shared" ref="N24:N33" si="5">+T24+Z24</f>
        <v>15293.5</v>
      </c>
      <c r="O24" s="166" t="s">
        <v>135</v>
      </c>
      <c r="P24" s="163"/>
      <c r="Q24" s="168">
        <v>132354.65</v>
      </c>
      <c r="R24" s="11"/>
      <c r="S24" s="163"/>
      <c r="T24" s="168">
        <v>15276.38</v>
      </c>
      <c r="U24" s="134"/>
      <c r="V24" s="221"/>
      <c r="W24" s="168">
        <v>157.32</v>
      </c>
      <c r="X24" s="237"/>
      <c r="Y24" s="237"/>
      <c r="Z24" s="168">
        <v>17.12</v>
      </c>
      <c r="AE24" s="174">
        <v>673020</v>
      </c>
    </row>
    <row r="25" spans="2:33" ht="14.25" customHeight="1" x14ac:dyDescent="0.25">
      <c r="B25" s="159" t="s">
        <v>132</v>
      </c>
      <c r="C25" s="160">
        <v>6011</v>
      </c>
      <c r="D25" s="160">
        <v>28040</v>
      </c>
      <c r="E25" s="161">
        <v>673030</v>
      </c>
      <c r="F25" s="96" t="s">
        <v>153</v>
      </c>
      <c r="G25" s="162"/>
      <c r="H25" s="113">
        <f t="shared" ref="H25:H38" si="6">K25+N25</f>
        <v>299395</v>
      </c>
      <c r="I25" s="134"/>
      <c r="J25" s="215"/>
      <c r="K25" s="164">
        <f t="shared" si="4"/>
        <v>265802.88</v>
      </c>
      <c r="L25" s="165" t="s">
        <v>135</v>
      </c>
      <c r="M25" s="163"/>
      <c r="N25" s="164">
        <f t="shared" si="5"/>
        <v>33592.120000000003</v>
      </c>
      <c r="O25" s="166" t="s">
        <v>135</v>
      </c>
      <c r="P25" s="163"/>
      <c r="Q25" s="168">
        <v>265802.88</v>
      </c>
      <c r="R25" s="11"/>
      <c r="S25" s="163"/>
      <c r="T25" s="168">
        <v>33592.120000000003</v>
      </c>
      <c r="U25" s="134"/>
      <c r="V25" s="221"/>
      <c r="W25" s="168"/>
      <c r="X25" s="237"/>
      <c r="Y25" s="139"/>
      <c r="Z25" s="168"/>
      <c r="AE25" s="174">
        <v>673030</v>
      </c>
    </row>
    <row r="26" spans="2:33" ht="14.25" customHeight="1" x14ac:dyDescent="0.25">
      <c r="B26" s="159" t="s">
        <v>132</v>
      </c>
      <c r="C26" s="160">
        <v>6011</v>
      </c>
      <c r="D26" s="160">
        <v>28040</v>
      </c>
      <c r="E26" s="161">
        <v>673040</v>
      </c>
      <c r="F26" s="96" t="s">
        <v>154</v>
      </c>
      <c r="G26" s="162"/>
      <c r="H26" s="113">
        <f t="shared" si="6"/>
        <v>0</v>
      </c>
      <c r="I26" s="134"/>
      <c r="J26" s="215"/>
      <c r="K26" s="178">
        <f t="shared" si="4"/>
        <v>0</v>
      </c>
      <c r="L26" s="165" t="s">
        <v>138</v>
      </c>
      <c r="M26" s="163"/>
      <c r="N26" s="178">
        <f>+T26+Z26</f>
        <v>0</v>
      </c>
      <c r="O26" s="166" t="s">
        <v>138</v>
      </c>
      <c r="P26" s="163"/>
      <c r="Q26" s="238"/>
      <c r="R26" s="11"/>
      <c r="S26" s="163"/>
      <c r="T26" s="238"/>
      <c r="U26" s="134"/>
      <c r="V26" s="221"/>
      <c r="W26" s="180"/>
      <c r="X26" s="237"/>
      <c r="Y26" s="237"/>
      <c r="Z26" s="180"/>
      <c r="AE26" s="184">
        <v>673040</v>
      </c>
    </row>
    <row r="27" spans="2:33" ht="14.25" customHeight="1" x14ac:dyDescent="0.25">
      <c r="B27" s="159" t="s">
        <v>132</v>
      </c>
      <c r="C27" s="160">
        <v>6011</v>
      </c>
      <c r="D27" s="160">
        <v>28040</v>
      </c>
      <c r="E27" s="161">
        <v>673050</v>
      </c>
      <c r="F27" s="96" t="s">
        <v>155</v>
      </c>
      <c r="G27" s="162"/>
      <c r="H27" s="113">
        <f t="shared" si="6"/>
        <v>0</v>
      </c>
      <c r="I27" s="134"/>
      <c r="J27" s="215" t="s">
        <v>97</v>
      </c>
      <c r="K27" s="178">
        <f t="shared" si="4"/>
        <v>0</v>
      </c>
      <c r="L27" s="165" t="s">
        <v>138</v>
      </c>
      <c r="M27" s="163"/>
      <c r="N27" s="178">
        <f t="shared" si="5"/>
        <v>0</v>
      </c>
      <c r="O27" s="166" t="s">
        <v>135</v>
      </c>
      <c r="P27" s="163"/>
      <c r="Q27" s="238"/>
      <c r="R27" s="11"/>
      <c r="S27" s="163"/>
      <c r="T27" s="238"/>
      <c r="U27" s="134"/>
      <c r="V27" s="221"/>
      <c r="W27" s="180"/>
      <c r="X27" s="237"/>
      <c r="Y27" s="237"/>
      <c r="Z27" s="180"/>
      <c r="AE27" s="184">
        <v>673050</v>
      </c>
    </row>
    <row r="28" spans="2:33" ht="14.25" customHeight="1" x14ac:dyDescent="0.25">
      <c r="B28" s="159" t="s">
        <v>132</v>
      </c>
      <c r="C28" s="160">
        <v>6011</v>
      </c>
      <c r="D28" s="160">
        <v>28040</v>
      </c>
      <c r="E28" s="161">
        <v>673060</v>
      </c>
      <c r="F28" s="96" t="s">
        <v>156</v>
      </c>
      <c r="G28" s="162"/>
      <c r="H28" s="113">
        <f t="shared" si="6"/>
        <v>0</v>
      </c>
      <c r="I28" s="134"/>
      <c r="J28" s="215"/>
      <c r="K28" s="178">
        <f>+Q28+W28</f>
        <v>0</v>
      </c>
      <c r="L28" s="165" t="s">
        <v>138</v>
      </c>
      <c r="M28" s="163"/>
      <c r="N28" s="178">
        <f t="shared" si="5"/>
        <v>0</v>
      </c>
      <c r="O28" s="166" t="s">
        <v>135</v>
      </c>
      <c r="P28" s="163"/>
      <c r="Q28" s="238"/>
      <c r="R28" s="11"/>
      <c r="S28" s="13"/>
      <c r="T28" s="238"/>
      <c r="U28" s="134"/>
      <c r="V28" s="221"/>
      <c r="W28" s="180"/>
      <c r="X28" s="237"/>
      <c r="Y28" s="237"/>
      <c r="Z28" s="180"/>
      <c r="AE28" s="184">
        <v>673060</v>
      </c>
    </row>
    <row r="29" spans="2:33" ht="14.25" customHeight="1" x14ac:dyDescent="0.25">
      <c r="B29" s="159" t="s">
        <v>132</v>
      </c>
      <c r="C29" s="160">
        <v>6011</v>
      </c>
      <c r="D29" s="160">
        <v>28040</v>
      </c>
      <c r="E29" s="161">
        <v>673070</v>
      </c>
      <c r="F29" s="96" t="s">
        <v>157</v>
      </c>
      <c r="G29" s="162"/>
      <c r="H29" s="113">
        <f t="shared" si="6"/>
        <v>0</v>
      </c>
      <c r="I29" s="134"/>
      <c r="J29" s="215"/>
      <c r="K29" s="164">
        <f t="shared" si="4"/>
        <v>0</v>
      </c>
      <c r="L29" s="165" t="s">
        <v>138</v>
      </c>
      <c r="M29" s="163"/>
      <c r="N29" s="164">
        <f t="shared" si="5"/>
        <v>0</v>
      </c>
      <c r="O29" s="166" t="s">
        <v>135</v>
      </c>
      <c r="P29" s="163"/>
      <c r="Q29" s="172"/>
      <c r="R29" s="11"/>
      <c r="S29" s="163"/>
      <c r="T29" s="172"/>
      <c r="U29" s="134"/>
      <c r="V29" s="221"/>
      <c r="W29" s="168"/>
      <c r="X29" s="237"/>
      <c r="Y29" s="237"/>
      <c r="Z29" s="168"/>
      <c r="AE29" s="174">
        <v>673070</v>
      </c>
    </row>
    <row r="30" spans="2:33" ht="14.25" customHeight="1" x14ac:dyDescent="0.25">
      <c r="B30" s="159" t="s">
        <v>132</v>
      </c>
      <c r="C30" s="160">
        <v>6011</v>
      </c>
      <c r="D30" s="160">
        <v>28040</v>
      </c>
      <c r="E30" s="161">
        <v>673080</v>
      </c>
      <c r="F30" s="96" t="s">
        <v>158</v>
      </c>
      <c r="G30" s="162"/>
      <c r="H30" s="113">
        <f t="shared" si="6"/>
        <v>0</v>
      </c>
      <c r="I30" s="134"/>
      <c r="J30" s="215"/>
      <c r="K30" s="164">
        <f t="shared" si="4"/>
        <v>0</v>
      </c>
      <c r="L30" s="165" t="s">
        <v>135</v>
      </c>
      <c r="M30" s="163"/>
      <c r="N30" s="164">
        <f t="shared" si="5"/>
        <v>0</v>
      </c>
      <c r="O30" s="166" t="s">
        <v>135</v>
      </c>
      <c r="P30" s="163"/>
      <c r="Q30" s="172"/>
      <c r="R30" s="11"/>
      <c r="S30" s="163"/>
      <c r="T30" s="172"/>
      <c r="U30" s="134"/>
      <c r="V30" s="221"/>
      <c r="W30" s="168"/>
      <c r="X30" s="237"/>
      <c r="Y30" s="237"/>
      <c r="Z30" s="168"/>
      <c r="AE30" s="174">
        <v>673080</v>
      </c>
    </row>
    <row r="31" spans="2:33" ht="14.25" customHeight="1" x14ac:dyDescent="0.25">
      <c r="B31" s="159" t="s">
        <v>132</v>
      </c>
      <c r="C31" s="160">
        <v>6011</v>
      </c>
      <c r="D31" s="160">
        <v>28040</v>
      </c>
      <c r="E31" s="161">
        <v>673090</v>
      </c>
      <c r="F31" s="96" t="s">
        <v>159</v>
      </c>
      <c r="G31" s="162"/>
      <c r="H31" s="113">
        <f t="shared" si="6"/>
        <v>0</v>
      </c>
      <c r="I31" s="134"/>
      <c r="J31" s="215"/>
      <c r="K31" s="178">
        <f>+Q31+W31</f>
        <v>0</v>
      </c>
      <c r="L31" s="165" t="s">
        <v>138</v>
      </c>
      <c r="M31" s="163"/>
      <c r="N31" s="178">
        <f>+T31+Z31</f>
        <v>0</v>
      </c>
      <c r="O31" s="166" t="s">
        <v>138</v>
      </c>
      <c r="P31" s="163"/>
      <c r="Q31" s="238"/>
      <c r="R31" s="11"/>
      <c r="S31" s="163"/>
      <c r="T31" s="238"/>
      <c r="U31" s="134"/>
      <c r="V31" s="221"/>
      <c r="W31" s="180"/>
      <c r="X31" s="237"/>
      <c r="Y31" s="237"/>
      <c r="Z31" s="180"/>
      <c r="AE31" s="184">
        <v>673090</v>
      </c>
    </row>
    <row r="32" spans="2:33" ht="14.25" customHeight="1" x14ac:dyDescent="0.25">
      <c r="B32" s="159" t="s">
        <v>132</v>
      </c>
      <c r="C32" s="160">
        <v>6011</v>
      </c>
      <c r="D32" s="160">
        <v>28040</v>
      </c>
      <c r="E32" s="161">
        <v>673120</v>
      </c>
      <c r="F32" s="96" t="s">
        <v>160</v>
      </c>
      <c r="G32" s="162"/>
      <c r="H32" s="113">
        <f t="shared" si="6"/>
        <v>166812.18</v>
      </c>
      <c r="I32" s="134"/>
      <c r="J32" s="215"/>
      <c r="K32" s="164">
        <f>+Q32+W32</f>
        <v>148765.91</v>
      </c>
      <c r="L32" s="165" t="s">
        <v>135</v>
      </c>
      <c r="M32" s="163"/>
      <c r="N32" s="164">
        <f>+T32+Z32</f>
        <v>18046.27</v>
      </c>
      <c r="O32" s="166" t="s">
        <v>135</v>
      </c>
      <c r="P32" s="163"/>
      <c r="Q32" s="168">
        <v>148766.68</v>
      </c>
      <c r="R32" s="11"/>
      <c r="S32" s="163"/>
      <c r="T32" s="168">
        <v>18046.37</v>
      </c>
      <c r="U32" s="134"/>
      <c r="V32" s="221"/>
      <c r="W32" s="168">
        <v>-0.77</v>
      </c>
      <c r="X32" s="237"/>
      <c r="Y32" s="237"/>
      <c r="Z32" s="168">
        <v>-0.1</v>
      </c>
      <c r="AD32" s="139"/>
      <c r="AE32" s="174">
        <v>673120</v>
      </c>
    </row>
    <row r="33" spans="2:32" ht="14.25" customHeight="1" x14ac:dyDescent="0.25">
      <c r="B33" s="159" t="s">
        <v>132</v>
      </c>
      <c r="C33" s="160">
        <v>6011</v>
      </c>
      <c r="D33" s="160">
        <v>28040</v>
      </c>
      <c r="E33" s="161">
        <v>673130</v>
      </c>
      <c r="F33" s="96" t="s">
        <v>161</v>
      </c>
      <c r="G33" s="162"/>
      <c r="H33" s="113">
        <f t="shared" si="6"/>
        <v>0</v>
      </c>
      <c r="I33" s="134"/>
      <c r="J33" s="215"/>
      <c r="K33" s="164">
        <f t="shared" si="4"/>
        <v>0</v>
      </c>
      <c r="L33" s="165" t="s">
        <v>135</v>
      </c>
      <c r="M33" s="163"/>
      <c r="N33" s="164">
        <f t="shared" si="5"/>
        <v>0</v>
      </c>
      <c r="O33" s="166" t="s">
        <v>135</v>
      </c>
      <c r="P33" s="163"/>
      <c r="Q33" s="168"/>
      <c r="R33" s="11"/>
      <c r="S33" s="163"/>
      <c r="T33" s="172"/>
      <c r="U33" s="134"/>
      <c r="V33" s="221"/>
      <c r="W33" s="168"/>
      <c r="X33" s="176"/>
      <c r="Y33" s="175"/>
      <c r="Z33" s="168"/>
      <c r="AE33" s="174">
        <v>673130</v>
      </c>
    </row>
    <row r="34" spans="2:32" ht="14.25" customHeight="1" x14ac:dyDescent="0.25">
      <c r="B34" s="159" t="s">
        <v>132</v>
      </c>
      <c r="C34" s="160">
        <v>6011</v>
      </c>
      <c r="D34" s="160">
        <v>28040</v>
      </c>
      <c r="E34" s="161">
        <v>673140</v>
      </c>
      <c r="F34" s="96" t="s">
        <v>162</v>
      </c>
      <c r="G34" s="162"/>
      <c r="H34" s="113">
        <f t="shared" si="6"/>
        <v>0</v>
      </c>
      <c r="I34" s="134"/>
      <c r="J34" s="215"/>
      <c r="K34" s="178">
        <f t="shared" si="4"/>
        <v>0</v>
      </c>
      <c r="L34" s="165" t="s">
        <v>138</v>
      </c>
      <c r="M34" s="163"/>
      <c r="N34" s="178">
        <f>+T34+Z34</f>
        <v>0</v>
      </c>
      <c r="O34" s="166" t="s">
        <v>138</v>
      </c>
      <c r="P34" s="163"/>
      <c r="Q34" s="238"/>
      <c r="R34" s="11"/>
      <c r="S34" s="163"/>
      <c r="T34" s="238"/>
      <c r="U34" s="134"/>
      <c r="V34" s="221"/>
      <c r="W34" s="180"/>
      <c r="X34" s="176"/>
      <c r="Y34" s="175"/>
      <c r="Z34" s="180"/>
      <c r="AE34" s="184">
        <v>673140</v>
      </c>
    </row>
    <row r="35" spans="2:32" ht="14.25" customHeight="1" x14ac:dyDescent="0.25">
      <c r="B35" s="159" t="s">
        <v>132</v>
      </c>
      <c r="C35" s="160">
        <v>6011</v>
      </c>
      <c r="D35" s="160">
        <v>28040</v>
      </c>
      <c r="E35" s="161">
        <v>673160</v>
      </c>
      <c r="F35" s="96" t="s">
        <v>163</v>
      </c>
      <c r="G35" s="162"/>
      <c r="H35" s="113">
        <f t="shared" si="6"/>
        <v>0</v>
      </c>
      <c r="I35" s="134"/>
      <c r="J35" s="215"/>
      <c r="K35" s="178">
        <f t="shared" si="4"/>
        <v>0</v>
      </c>
      <c r="L35" s="165" t="s">
        <v>138</v>
      </c>
      <c r="M35" s="163"/>
      <c r="N35" s="178">
        <f>+T35+Z35</f>
        <v>0</v>
      </c>
      <c r="O35" s="166" t="s">
        <v>138</v>
      </c>
      <c r="P35" s="163"/>
      <c r="Q35" s="238"/>
      <c r="R35" s="11"/>
      <c r="S35" s="163"/>
      <c r="T35" s="238"/>
      <c r="U35" s="134"/>
      <c r="V35" s="239"/>
      <c r="W35" s="238"/>
      <c r="X35" s="173"/>
      <c r="Y35" s="171"/>
      <c r="Z35" s="238"/>
      <c r="AE35" s="184">
        <v>673160</v>
      </c>
    </row>
    <row r="36" spans="2:32" ht="14.25" customHeight="1" x14ac:dyDescent="0.25">
      <c r="B36" s="159" t="s">
        <v>132</v>
      </c>
      <c r="C36" s="160">
        <v>6011</v>
      </c>
      <c r="D36" s="160">
        <v>28040</v>
      </c>
      <c r="E36" s="161">
        <v>673180</v>
      </c>
      <c r="F36" s="96" t="s">
        <v>164</v>
      </c>
      <c r="G36" s="162"/>
      <c r="H36" s="113">
        <f t="shared" si="6"/>
        <v>0</v>
      </c>
      <c r="I36" s="134"/>
      <c r="J36" s="215"/>
      <c r="K36" s="164">
        <f>+Q36+W36</f>
        <v>0</v>
      </c>
      <c r="L36" s="165" t="s">
        <v>135</v>
      </c>
      <c r="M36" s="163"/>
      <c r="N36" s="164">
        <f>+T36+Z36</f>
        <v>0</v>
      </c>
      <c r="O36" s="166" t="s">
        <v>135</v>
      </c>
      <c r="P36" s="163"/>
      <c r="Q36" s="172"/>
      <c r="R36" s="11"/>
      <c r="S36" s="163"/>
      <c r="T36" s="172"/>
      <c r="U36" s="134"/>
      <c r="V36" s="239"/>
      <c r="W36" s="172"/>
      <c r="X36" s="240"/>
      <c r="Y36" s="240"/>
      <c r="Z36" s="172"/>
      <c r="AE36" s="174">
        <v>673180</v>
      </c>
    </row>
    <row r="37" spans="2:32" ht="14.25" customHeight="1" x14ac:dyDescent="0.25">
      <c r="B37" s="159" t="s">
        <v>132</v>
      </c>
      <c r="C37" s="160">
        <v>6011</v>
      </c>
      <c r="D37" s="160">
        <v>28040</v>
      </c>
      <c r="E37" s="161">
        <v>673200</v>
      </c>
      <c r="F37" s="241" t="s">
        <v>165</v>
      </c>
      <c r="G37" s="162"/>
      <c r="H37" s="128">
        <f t="shared" si="6"/>
        <v>0</v>
      </c>
      <c r="I37" s="134"/>
      <c r="J37" s="215"/>
      <c r="K37" s="178">
        <f t="shared" si="4"/>
        <v>0</v>
      </c>
      <c r="L37" s="165" t="s">
        <v>138</v>
      </c>
      <c r="M37" s="242"/>
      <c r="N37" s="178">
        <f>+T37+Z37</f>
        <v>0</v>
      </c>
      <c r="O37" s="166" t="s">
        <v>138</v>
      </c>
      <c r="P37" s="242"/>
      <c r="Q37" s="238"/>
      <c r="R37" s="11"/>
      <c r="S37" s="242"/>
      <c r="T37" s="243"/>
      <c r="U37" s="134"/>
      <c r="V37" s="244"/>
      <c r="W37" s="238"/>
      <c r="X37" s="173"/>
      <c r="Y37" s="171"/>
      <c r="Z37" s="238"/>
      <c r="AE37" s="184">
        <v>673200</v>
      </c>
    </row>
    <row r="38" spans="2:32" ht="14.25" customHeight="1" x14ac:dyDescent="0.25">
      <c r="B38" s="159" t="s">
        <v>132</v>
      </c>
      <c r="C38" s="160">
        <v>6011</v>
      </c>
      <c r="D38" s="160">
        <v>28040</v>
      </c>
      <c r="E38" s="161">
        <v>673210</v>
      </c>
      <c r="F38" s="245" t="s">
        <v>166</v>
      </c>
      <c r="G38" s="246"/>
      <c r="H38" s="247">
        <f t="shared" si="6"/>
        <v>0</v>
      </c>
      <c r="I38" s="248"/>
      <c r="J38" s="224"/>
      <c r="K38" s="178">
        <f t="shared" si="4"/>
        <v>0</v>
      </c>
      <c r="L38" s="249"/>
      <c r="M38" s="226"/>
      <c r="N38" s="178">
        <f t="shared" ref="N38" si="7">+T38+Z38</f>
        <v>0</v>
      </c>
      <c r="O38" s="250"/>
      <c r="P38" s="226"/>
      <c r="Q38" s="251"/>
      <c r="R38" s="252"/>
      <c r="S38" s="226"/>
      <c r="T38" s="251"/>
      <c r="U38" s="134"/>
      <c r="V38" s="244"/>
      <c r="W38" s="238"/>
      <c r="X38" s="173"/>
      <c r="Y38" s="171"/>
      <c r="Z38" s="238"/>
      <c r="AE38" s="184">
        <v>673210</v>
      </c>
    </row>
    <row r="39" spans="2:32" ht="15" x14ac:dyDescent="0.25">
      <c r="F39" s="96" t="s">
        <v>167</v>
      </c>
      <c r="G39" s="199"/>
      <c r="H39" s="113">
        <f>SUM(H24:H37)</f>
        <v>614012.64999999991</v>
      </c>
      <c r="I39" s="248"/>
      <c r="J39" s="254"/>
      <c r="K39" s="209">
        <f>SUM(K24:K37)</f>
        <v>547080.76</v>
      </c>
      <c r="L39" s="249"/>
      <c r="M39" s="11"/>
      <c r="N39" s="247">
        <f>SUM(N24:N37)</f>
        <v>66931.89</v>
      </c>
      <c r="O39" s="134"/>
      <c r="P39" s="11"/>
      <c r="Q39" s="17">
        <f>SUM(Q24:Q37)</f>
        <v>546924.21</v>
      </c>
      <c r="R39" s="165"/>
      <c r="S39" s="199"/>
      <c r="T39" s="17">
        <f>SUM(T24:T37)</f>
        <v>66914.87</v>
      </c>
      <c r="U39" s="134"/>
      <c r="W39" s="210">
        <f>SUM(W24:W37)</f>
        <v>156.54999999999998</v>
      </c>
      <c r="Y39" s="255"/>
      <c r="Z39" s="210">
        <f>SUM(Z24:Z37)</f>
        <v>17.02</v>
      </c>
      <c r="AB39" s="213">
        <f>SUM(AB24:AB37)</f>
        <v>0</v>
      </c>
      <c r="AC39" s="213">
        <f>SUM(AC24:AC37)</f>
        <v>0</v>
      </c>
      <c r="AD39" s="213"/>
    </row>
    <row r="40" spans="2:32" ht="14.1" customHeight="1" x14ac:dyDescent="0.25">
      <c r="F40" s="228"/>
      <c r="G40" s="11"/>
      <c r="H40" s="256"/>
      <c r="I40" s="134"/>
      <c r="J40" s="257"/>
      <c r="K40" s="258"/>
      <c r="L40" s="259"/>
      <c r="M40" s="257"/>
      <c r="N40" s="258"/>
      <c r="O40" s="134"/>
      <c r="P40" s="260"/>
      <c r="Q40" s="261"/>
      <c r="R40" s="169"/>
      <c r="S40" s="260"/>
      <c r="T40" s="261"/>
      <c r="U40" s="134"/>
      <c r="V40" s="262"/>
      <c r="W40" s="256"/>
      <c r="Y40" s="263"/>
      <c r="Z40" s="264"/>
      <c r="AB40" s="133"/>
      <c r="AC40" s="133"/>
      <c r="AD40" s="133"/>
    </row>
    <row r="41" spans="2:32" ht="15.75" customHeight="1" x14ac:dyDescent="0.25">
      <c r="F41" s="265" t="s">
        <v>168</v>
      </c>
      <c r="G41" s="229">
        <f>+G39+G22+G15</f>
        <v>36533707</v>
      </c>
      <c r="H41" s="113">
        <f>+H39+H22+H15</f>
        <v>21623613.41</v>
      </c>
      <c r="I41" s="134"/>
      <c r="J41" s="265">
        <f>+J39+J22+J15</f>
        <v>26692547</v>
      </c>
      <c r="K41" s="210">
        <f>+K39+K22+K15</f>
        <v>16559179.379999999</v>
      </c>
      <c r="L41" s="266"/>
      <c r="M41" s="265">
        <f>+M39+M22+M15</f>
        <v>9841160</v>
      </c>
      <c r="N41" s="210">
        <f>+N39+N22+N15</f>
        <v>5064434.03</v>
      </c>
      <c r="O41" s="146"/>
      <c r="P41" s="267">
        <f>+P39+P22+P15</f>
        <v>26693670</v>
      </c>
      <c r="Q41" s="212">
        <f>+Q39+Q22+Q15</f>
        <v>16579848.859999998</v>
      </c>
      <c r="R41" s="97"/>
      <c r="S41" s="267">
        <f>+S39+S22+S15</f>
        <v>9840037</v>
      </c>
      <c r="T41" s="212">
        <f>+T39+T22+T15</f>
        <v>5066154.5999999996</v>
      </c>
      <c r="U41" s="134"/>
      <c r="V41" s="13">
        <f>+V39+V22+V15</f>
        <v>-1123</v>
      </c>
      <c r="W41" s="210">
        <f>+W39+W22+W15</f>
        <v>-20669.480000000003</v>
      </c>
      <c r="Y41" s="263">
        <f>+Y39+Y22+Y15</f>
        <v>1123</v>
      </c>
      <c r="Z41" s="210">
        <f>+Z39+Z22+Z15</f>
        <v>-1720.5700000000002</v>
      </c>
      <c r="AB41" s="213">
        <f>+AB39+AB22+AB15</f>
        <v>0</v>
      </c>
      <c r="AC41" s="213">
        <f>+AC39+AC22+AC15</f>
        <v>0</v>
      </c>
      <c r="AD41" s="213"/>
      <c r="AE41" s="223"/>
    </row>
    <row r="42" spans="2:32" ht="14.1" customHeight="1" x14ac:dyDescent="0.25">
      <c r="H42" s="268"/>
      <c r="I42" s="134"/>
      <c r="J42" s="269"/>
      <c r="K42" s="219"/>
      <c r="L42" s="259"/>
      <c r="M42" s="269"/>
      <c r="N42" s="219"/>
      <c r="O42" s="134"/>
      <c r="P42" s="169"/>
      <c r="Q42" s="101"/>
      <c r="R42" s="169"/>
      <c r="S42" s="169"/>
      <c r="T42" s="101"/>
      <c r="U42" s="134"/>
      <c r="V42" s="263"/>
      <c r="W42" s="264"/>
      <c r="Y42" s="263"/>
      <c r="Z42" s="264"/>
    </row>
    <row r="43" spans="2:32" ht="14.1" customHeight="1" x14ac:dyDescent="0.25">
      <c r="C43" s="11" t="s">
        <v>169</v>
      </c>
      <c r="I43" s="134"/>
      <c r="J43" s="270" t="s">
        <v>95</v>
      </c>
      <c r="K43" s="271">
        <f>+K8+K9+K10+K11+K12+K13+K14+K18+K26+K27+K28+K31+K34+K35+K37+K38</f>
        <v>12311340.119999997</v>
      </c>
      <c r="L43" s="259" t="s">
        <v>138</v>
      </c>
      <c r="M43" s="269"/>
      <c r="N43" s="272">
        <f>+N8+N9+N10+N11+N12+N13+N14+N18+N26+N31+N34+N35+N37+N27+N28+N38</f>
        <v>3664139.3299999996</v>
      </c>
      <c r="O43" s="166" t="s">
        <v>138</v>
      </c>
      <c r="P43" s="169"/>
      <c r="Q43" s="273">
        <f>+Q8+Q9+Q10+Q11+Q12+Q13+Q14+Q18+Q26+Q27+Q28+Q31+Q34+Q35+Q37+Q38</f>
        <v>12332244.499999998</v>
      </c>
      <c r="R43" s="169"/>
      <c r="S43" s="270" t="s">
        <v>121</v>
      </c>
      <c r="T43" s="273">
        <f>+T8+T10+T9+T11+T12+T13+T14+T18+T26+T31+T34+T35+T37+T27+T28+T38</f>
        <v>3665887.2899999996</v>
      </c>
      <c r="U43" s="134"/>
      <c r="W43" s="273">
        <f>+W8+W9+W10+W11+W12+W13+W14+W18+W26+W27+W28+W31+W34+W35+W37+W38</f>
        <v>-20904.38</v>
      </c>
      <c r="Z43" s="273">
        <f>Z9+Z10+Z11+Z12+Z13+Z14+Z18+Z26+Z31+Z34+Z35+Z37+Z8+Z27+Z28+Z38</f>
        <v>-1747.96</v>
      </c>
      <c r="AB43" s="274">
        <f>+AB8+AB9+AB10+AB11+AB12+AB13+AB14+AB18+AB26+AB27+AB28+AB29+AB31+AB34+AB35+AB37</f>
        <v>0</v>
      </c>
      <c r="AC43" s="274">
        <f>+AC6+AC8+AC9+AC10+AC11+AC12+AC13+AC14+AC18+AC26+AC31+AC34+AC35+AC37</f>
        <v>0</v>
      </c>
    </row>
    <row r="44" spans="2:32" ht="14.1" customHeight="1" x14ac:dyDescent="0.25">
      <c r="C44" s="11" t="s">
        <v>170</v>
      </c>
      <c r="I44" s="134"/>
      <c r="J44" s="270" t="s">
        <v>95</v>
      </c>
      <c r="K44" s="271">
        <f>+K6+K7+K17+K24+K25+K30+K32+K33+K36+K19+K20+K21+K29</f>
        <v>4247839.26</v>
      </c>
      <c r="L44" s="259" t="s">
        <v>135</v>
      </c>
      <c r="M44" s="269"/>
      <c r="N44" s="272">
        <f>N6+N7+N17+N24+N25+N30+N32+N33+N36+N19+N20+N21+N29</f>
        <v>1400294.7000000002</v>
      </c>
      <c r="O44" s="166" t="s">
        <v>135</v>
      </c>
      <c r="P44" s="169"/>
      <c r="Q44" s="275">
        <f>Q6+Q7+Q17+Q24+Q25+Q30+Q32+Q33+Q36+Q19+Q20+Q21+Q29</f>
        <v>4247604.3599999994</v>
      </c>
      <c r="R44" s="169"/>
      <c r="S44" s="270" t="s">
        <v>121</v>
      </c>
      <c r="T44" s="275">
        <f>+T7+T6+T17+T24+T25+T30+T32+T33+T36+T19+T20+T21+T29</f>
        <v>1400267.31</v>
      </c>
      <c r="U44" s="134"/>
      <c r="W44" s="275">
        <f>W6+W7+W17+W24+W25+W30+W32+W33+W36+W19+W20+W21+W29</f>
        <v>234.89999999999998</v>
      </c>
      <c r="Z44" s="275">
        <f>+Z7+Z17+Z24+Z25+Z30+Z32+Z33+Z36+Z19+Z20+Z21+Z29+Z6</f>
        <v>27.39</v>
      </c>
      <c r="AB44" s="276">
        <f>AB6+AB7+AB17+AB24+AB25+AB30+AB32+AB33+AB36</f>
        <v>0</v>
      </c>
      <c r="AC44" s="276">
        <f>+AC7+AC17+AC24+AC25+AC27+AC28+AC29+AC30+AC32+AC33+AC36</f>
        <v>0</v>
      </c>
    </row>
    <row r="45" spans="2:32" ht="15" customHeight="1" x14ac:dyDescent="0.25">
      <c r="C45" s="11" t="s">
        <v>10</v>
      </c>
      <c r="I45" s="134"/>
      <c r="J45" s="269"/>
      <c r="K45" s="210">
        <f>SUM(K43:K44)</f>
        <v>16559179.379999997</v>
      </c>
      <c r="L45" s="277"/>
      <c r="M45" s="269"/>
      <c r="N45" s="210">
        <f>SUM(N43:N44)</f>
        <v>5064434.0299999993</v>
      </c>
      <c r="O45" s="134"/>
      <c r="P45" s="169"/>
      <c r="Q45" s="210">
        <f>SUM(Q43:Q44)</f>
        <v>16579848.859999998</v>
      </c>
      <c r="R45" s="169"/>
      <c r="S45" s="169"/>
      <c r="T45" s="210">
        <f>SUM(T43:T44)</f>
        <v>5066154.5999999996</v>
      </c>
      <c r="U45" s="134"/>
      <c r="W45" s="212">
        <f>SUM(W43:W44)</f>
        <v>-20669.48</v>
      </c>
      <c r="Z45" s="212">
        <f>SUM(Z43:Z44)</f>
        <v>-1720.57</v>
      </c>
      <c r="AB45" s="278">
        <f>SUM(AB43:AB44)</f>
        <v>0</v>
      </c>
      <c r="AC45" s="278">
        <f>SUM(AC43:AC44)</f>
        <v>0</v>
      </c>
      <c r="AD45" s="279"/>
      <c r="AE45" s="16">
        <f>+Z45+W45</f>
        <v>-22390.05</v>
      </c>
    </row>
    <row r="46" spans="2:32" ht="15" customHeight="1" x14ac:dyDescent="0.25">
      <c r="K46" s="280"/>
      <c r="M46" s="162" t="s">
        <v>171</v>
      </c>
      <c r="AE46" s="16">
        <f>+[2]Invoices!$N$68</f>
        <v>-22390.049999999981</v>
      </c>
      <c r="AF46" s="96" t="s">
        <v>172</v>
      </c>
    </row>
    <row r="47" spans="2:32" ht="15" x14ac:dyDescent="0.25">
      <c r="K47" s="280" t="s">
        <v>173</v>
      </c>
      <c r="M47" s="281">
        <f>K45+N45</f>
        <v>21623613.409999996</v>
      </c>
      <c r="P47" s="282" t="s">
        <v>174</v>
      </c>
      <c r="Q47" s="283">
        <f>Q45-Q11-Q12-Q13</f>
        <v>16435791.159999998</v>
      </c>
      <c r="R47" s="136"/>
      <c r="S47" s="282" t="s">
        <v>174</v>
      </c>
      <c r="T47" s="283">
        <f>T45-T11-T12-T13</f>
        <v>5006940.6099999994</v>
      </c>
      <c r="W47" s="223"/>
      <c r="AE47" s="284">
        <f>+AE45-AE46</f>
        <v>0</v>
      </c>
      <c r="AF47" s="96"/>
    </row>
    <row r="48" spans="2:32" ht="15" customHeight="1" x14ac:dyDescent="0.25">
      <c r="F48" s="285"/>
      <c r="K48" s="280" t="s">
        <v>175</v>
      </c>
      <c r="M48" s="286">
        <v>24280741.25</v>
      </c>
      <c r="P48" s="287" t="s">
        <v>176</v>
      </c>
      <c r="Q48" s="288">
        <f>W45</f>
        <v>-20669.48</v>
      </c>
      <c r="R48" s="195"/>
      <c r="S48" s="289" t="s">
        <v>176</v>
      </c>
      <c r="T48" s="288">
        <f>Z45</f>
        <v>-1720.57</v>
      </c>
      <c r="W48" s="290"/>
    </row>
    <row r="49" spans="2:26" ht="15" customHeight="1" x14ac:dyDescent="0.25">
      <c r="F49" s="285"/>
      <c r="G49" s="13" t="s">
        <v>177</v>
      </c>
      <c r="K49" s="280">
        <v>28051</v>
      </c>
      <c r="M49" s="15">
        <v>-354390.63</v>
      </c>
      <c r="P49" s="291">
        <v>6011</v>
      </c>
      <c r="Q49" s="292">
        <f>Q47+Q48</f>
        <v>16415121.679999998</v>
      </c>
      <c r="R49" s="293"/>
      <c r="S49" s="291">
        <v>6011</v>
      </c>
      <c r="T49" s="292">
        <f>T47+T48</f>
        <v>5005220.0399999991</v>
      </c>
      <c r="U49" s="290"/>
      <c r="V49" s="290"/>
      <c r="W49" s="294"/>
      <c r="Z49" s="133"/>
    </row>
    <row r="50" spans="2:26" ht="15" customHeight="1" x14ac:dyDescent="0.25">
      <c r="F50" s="285"/>
      <c r="K50" s="280">
        <v>28051</v>
      </c>
      <c r="M50" s="6">
        <v>-2302737.21</v>
      </c>
      <c r="Q50" s="295"/>
      <c r="R50" s="296"/>
      <c r="S50" s="296"/>
      <c r="T50" s="297"/>
      <c r="U50" s="290"/>
      <c r="V50" s="290"/>
      <c r="W50" s="294"/>
      <c r="Z50" s="133"/>
    </row>
    <row r="51" spans="2:26" ht="15" customHeight="1" x14ac:dyDescent="0.25">
      <c r="F51" s="285"/>
      <c r="K51" s="280" t="s">
        <v>178</v>
      </c>
      <c r="M51" s="281">
        <f>+M48+M49+M50</f>
        <v>21623613.41</v>
      </c>
      <c r="N51" s="13"/>
      <c r="Q51" s="295"/>
      <c r="T51" s="295"/>
      <c r="U51" s="290"/>
      <c r="V51" s="290"/>
      <c r="W51" s="294"/>
      <c r="Z51" s="133"/>
    </row>
    <row r="52" spans="2:26" ht="15" customHeight="1" x14ac:dyDescent="0.25">
      <c r="F52" s="285"/>
      <c r="K52" s="280"/>
      <c r="M52" s="264">
        <f>+M47-M51</f>
        <v>0</v>
      </c>
      <c r="T52" s="295"/>
      <c r="U52" s="290"/>
      <c r="V52" s="290"/>
      <c r="W52" s="294"/>
      <c r="Z52" s="133"/>
    </row>
    <row r="53" spans="2:26" ht="15" customHeight="1" x14ac:dyDescent="0.25">
      <c r="F53" s="285"/>
      <c r="Q53" s="295"/>
      <c r="T53" s="295"/>
      <c r="U53" s="290"/>
      <c r="V53" s="290"/>
      <c r="W53" s="294"/>
      <c r="Z53" s="133"/>
    </row>
    <row r="54" spans="2:26" ht="15" customHeight="1" x14ac:dyDescent="0.25">
      <c r="F54" s="285"/>
      <c r="L54" s="298"/>
      <c r="M54" s="299" t="s">
        <v>1</v>
      </c>
      <c r="N54" s="14" t="s">
        <v>179</v>
      </c>
      <c r="Q54" s="300"/>
      <c r="R54" s="293"/>
      <c r="S54" s="293"/>
      <c r="T54" s="300"/>
      <c r="Z54" s="133"/>
    </row>
    <row r="55" spans="2:26" ht="14.1" customHeight="1" x14ac:dyDescent="0.25">
      <c r="L55" s="140"/>
      <c r="M55" s="299" t="s">
        <v>180</v>
      </c>
      <c r="N55" s="14" t="s">
        <v>181</v>
      </c>
      <c r="P55" s="97"/>
      <c r="Q55" s="300"/>
      <c r="T55" s="300"/>
      <c r="Z55" s="133"/>
    </row>
    <row r="56" spans="2:26" ht="14.1" customHeight="1" x14ac:dyDescent="0.25">
      <c r="B56" s="13"/>
      <c r="L56" s="140"/>
      <c r="M56" s="299" t="s">
        <v>182</v>
      </c>
      <c r="N56" s="14" t="s">
        <v>183</v>
      </c>
    </row>
    <row r="57" spans="2:26" ht="14.1" customHeight="1" x14ac:dyDescent="0.25">
      <c r="B57" s="301"/>
      <c r="L57" s="140"/>
      <c r="M57" s="299" t="s">
        <v>184</v>
      </c>
      <c r="N57" s="14" t="s">
        <v>185</v>
      </c>
      <c r="W57" s="302"/>
    </row>
    <row r="58" spans="2:26" ht="14.1" customHeight="1" x14ac:dyDescent="0.25">
      <c r="L58" s="140"/>
      <c r="M58" s="299" t="s">
        <v>186</v>
      </c>
      <c r="N58" s="303" t="s">
        <v>187</v>
      </c>
    </row>
    <row r="59" spans="2:26" ht="14.1" customHeight="1" x14ac:dyDescent="0.25">
      <c r="L59" s="140"/>
      <c r="M59" s="299" t="s">
        <v>188</v>
      </c>
      <c r="N59" s="14" t="s">
        <v>189</v>
      </c>
    </row>
    <row r="60" spans="2:26" ht="14.1" customHeight="1" x14ac:dyDescent="0.25">
      <c r="L60" s="140"/>
      <c r="M60" s="299" t="s">
        <v>190</v>
      </c>
      <c r="N60" s="14" t="s">
        <v>191</v>
      </c>
    </row>
    <row r="61" spans="2:26" ht="14.1" customHeight="1" x14ac:dyDescent="0.25">
      <c r="L61" s="140"/>
      <c r="M61" s="299" t="s">
        <v>192</v>
      </c>
      <c r="N61" s="14" t="s">
        <v>193</v>
      </c>
    </row>
    <row r="62" spans="2:26" ht="14.1" customHeight="1" x14ac:dyDescent="0.25">
      <c r="L62" s="304"/>
      <c r="M62" s="305"/>
      <c r="N62" s="14" t="s">
        <v>194</v>
      </c>
    </row>
    <row r="63" spans="2:26" ht="14.1" customHeight="1" thickBot="1" x14ac:dyDescent="0.3">
      <c r="P63" s="306" t="s">
        <v>131</v>
      </c>
      <c r="Q63" s="307"/>
      <c r="R63" s="306"/>
      <c r="S63" s="306" t="s">
        <v>131</v>
      </c>
      <c r="T63" s="307"/>
    </row>
    <row r="64" spans="2:26" ht="14.1" customHeight="1" x14ac:dyDescent="0.25">
      <c r="B64" s="13"/>
      <c r="J64" s="94" t="s">
        <v>195</v>
      </c>
      <c r="K64" s="14" t="s">
        <v>196</v>
      </c>
      <c r="L64" s="96"/>
      <c r="M64" s="2">
        <v>6011</v>
      </c>
      <c r="N64" s="14" t="s">
        <v>197</v>
      </c>
      <c r="P64" s="97" t="e">
        <f ca="1">_xll.GXL(1, N$54,"CURRENCY="&amp;N$59&amp;";"&amp;"WEEKLY=FALSE",N$56,N$57,N$58,N$60,J64,$M64,$N64)</f>
        <v>#NAME?</v>
      </c>
      <c r="Q64" s="308" t="e">
        <f ca="1">_xll.GXL(1, N$55,"CURRENCY="&amp;N$59&amp;";"&amp;"WEEKLY=FALSE",N$56,N$57,N$58,N$60,J64,$M64,$N64)</f>
        <v>#NAME?</v>
      </c>
      <c r="R64" s="195">
        <v>-1</v>
      </c>
      <c r="S64" s="97" t="e">
        <f ca="1">_xll.GXL(1, N$54,"CURRENCY="&amp;N$59&amp;";"&amp;"WEEKLY=FALSE",N$56,N$57,N$58,N$60,K64,$M64,$N64)</f>
        <v>#NAME?</v>
      </c>
      <c r="T64" s="308" t="e">
        <f ca="1">_xll.GXL(1, N$55,"CURRENCY="&amp;N$59&amp;";"&amp;"WEEKLY=FALSE",N$56,N$57,N$58,N$60,K64,$M64,$N64)</f>
        <v>#NAME?</v>
      </c>
      <c r="U64" s="309">
        <v>-4</v>
      </c>
    </row>
    <row r="65" spans="2:22" ht="14.1" customHeight="1" x14ac:dyDescent="0.25">
      <c r="J65" s="94" t="s">
        <v>195</v>
      </c>
      <c r="K65" s="14" t="s">
        <v>196</v>
      </c>
      <c r="L65" s="96"/>
      <c r="M65" s="2">
        <v>6011</v>
      </c>
      <c r="N65" s="2">
        <v>28082</v>
      </c>
      <c r="P65" s="97" t="e">
        <f ca="1">_xll.GXL(1, N$54,"CURRENCY="&amp;N$59&amp;";"&amp;"WEEKLY=FALSE",N$56,N$57,N$58,N$60,J65,$M65,$N65)</f>
        <v>#NAME?</v>
      </c>
      <c r="Q65" s="310" t="e">
        <f ca="1">_xll.GXL(1, N$55,"CURRENCY="&amp;N$59&amp;";"&amp;"WEEKLY=FALSE",N$56,N$57,N$58,N$60,N$61,$M65,$N65)</f>
        <v>#NAME?</v>
      </c>
      <c r="R65" s="195">
        <v>-2</v>
      </c>
      <c r="S65" s="308"/>
      <c r="T65" s="310"/>
      <c r="U65" s="309"/>
    </row>
    <row r="66" spans="2:22" ht="15" x14ac:dyDescent="0.25">
      <c r="J66" s="94" t="s">
        <v>195</v>
      </c>
      <c r="K66" s="14" t="s">
        <v>196</v>
      </c>
      <c r="L66" s="96"/>
      <c r="M66" s="2">
        <v>6011</v>
      </c>
      <c r="N66" s="2">
        <v>28120</v>
      </c>
      <c r="P66" s="97" t="e">
        <f ca="1">_xll.GXL(1, N$54,"CURRENCY="&amp;N$59&amp;";"&amp;"WEEKLY=FALSE",N$56,N$57,N$58,N$60,J66,$M66,$N66)</f>
        <v>#NAME?</v>
      </c>
      <c r="Q66" s="308" t="e">
        <f ca="1">_xll.GXL(1, N$55,"CURRENCY="&amp;N$59&amp;";"&amp;"WEEKLY=FALSE",N$56,N$57,N$58,N$60,J66,$M66,$N66)</f>
        <v>#NAME?</v>
      </c>
      <c r="R66" s="195">
        <v>-3</v>
      </c>
      <c r="S66" s="97" t="e">
        <f ca="1">_xll.GXL(1, N$54,"CURRENCY="&amp;N$59&amp;";"&amp;"WEEKLY=FALSE",N$56,N$57,N$58,N$60,K66,$M66,$N66)</f>
        <v>#NAME?</v>
      </c>
      <c r="T66" s="308" t="e">
        <f ca="1">_xll.GXL(1, N$55,"CURRENCY="&amp;N$59&amp;";"&amp;"WEEKLY=FALSE",N$56,N$57,N$58,N$60,K66,$M66,$N66)</f>
        <v>#NAME?</v>
      </c>
      <c r="U66" s="309">
        <v>-5</v>
      </c>
    </row>
    <row r="67" spans="2:22" ht="14.1" customHeight="1" x14ac:dyDescent="0.25">
      <c r="B67" s="7"/>
      <c r="P67" s="97"/>
      <c r="Q67" s="311" t="e">
        <f ca="1">SUM(Q64:Q66)</f>
        <v>#NAME?</v>
      </c>
      <c r="R67" s="147"/>
      <c r="S67" s="147"/>
      <c r="T67" s="311" t="e">
        <f ca="1">SUM(T64:T66)</f>
        <v>#NAME?</v>
      </c>
      <c r="U67" s="96"/>
    </row>
    <row r="68" spans="2:22" ht="14.1" customHeight="1" x14ac:dyDescent="0.25">
      <c r="P68" s="312"/>
      <c r="Q68" s="313"/>
      <c r="R68" s="312"/>
      <c r="S68" s="312"/>
      <c r="T68" s="313"/>
      <c r="U68" s="96"/>
    </row>
    <row r="74" spans="2:22" ht="14.1" customHeight="1" x14ac:dyDescent="0.25">
      <c r="Q74" s="139">
        <v>9776852</v>
      </c>
      <c r="S74" s="139">
        <v>2278617.61</v>
      </c>
      <c r="T74" s="139">
        <v>2102518</v>
      </c>
      <c r="V74" s="13">
        <v>317389.78000000003</v>
      </c>
    </row>
    <row r="76" spans="2:22" ht="14.1" customHeight="1" x14ac:dyDescent="0.25">
      <c r="S76" s="314">
        <f>+S74/Q74</f>
        <v>0.23306250416800825</v>
      </c>
      <c r="V76" s="315">
        <f>+V74/T74</f>
        <v>0.15095698586171438</v>
      </c>
    </row>
  </sheetData>
  <mergeCells count="15">
    <mergeCell ref="V1:Z1"/>
    <mergeCell ref="B2:E2"/>
    <mergeCell ref="J2:N2"/>
    <mergeCell ref="P2:T2"/>
    <mergeCell ref="V2:Z2"/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3:Z3"/>
  </mergeCells>
  <printOptions gridLines="1"/>
  <pageMargins left="0.25" right="0" top="0.75" bottom="0" header="0.35" footer="0.24"/>
  <pageSetup scale="43" orientation="landscape" cellComments="asDisplayed" r:id="rId1"/>
  <headerFooter alignWithMargins="0">
    <oddHeader>&amp;C&amp;18&amp;A&amp;R&amp;18Page 6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7FA1C-36E1-42A1-ABEB-F25EAB6510EC}">
  <dimension ref="B1:H27"/>
  <sheetViews>
    <sheetView showGridLines="0" view="pageBreakPreview" zoomScaleNormal="100" zoomScaleSheetLayoutView="100" workbookViewId="0">
      <selection activeCell="C15" sqref="C15"/>
    </sheetView>
  </sheetViews>
  <sheetFormatPr defaultRowHeight="12.75" x14ac:dyDescent="0.2"/>
  <cols>
    <col min="1" max="1" width="1.7109375" style="129" customWidth="1"/>
    <col min="2" max="2" width="10" style="129" customWidth="1"/>
    <col min="3" max="3" width="26.42578125" style="129" customWidth="1"/>
    <col min="4" max="4" width="20.42578125" style="129" customWidth="1"/>
    <col min="5" max="5" width="20" style="129" customWidth="1"/>
    <col min="6" max="6" width="16.42578125" style="129" bestFit="1" customWidth="1"/>
    <col min="7" max="7" width="17.7109375" style="129" bestFit="1" customWidth="1"/>
    <col min="8" max="8" width="3.7109375" style="129" customWidth="1"/>
    <col min="9" max="16384" width="9.140625" style="129"/>
  </cols>
  <sheetData>
    <row r="1" spans="2:8" ht="18" customHeight="1" x14ac:dyDescent="0.2">
      <c r="B1" s="361" t="s">
        <v>7</v>
      </c>
      <c r="C1" s="361"/>
      <c r="D1" s="361"/>
      <c r="E1" s="361"/>
      <c r="F1" s="361"/>
      <c r="G1" s="363"/>
      <c r="H1" s="362"/>
    </row>
    <row r="2" spans="2:8" ht="15" x14ac:dyDescent="0.2">
      <c r="B2" s="361" t="s">
        <v>8</v>
      </c>
      <c r="C2" s="360">
        <f>'[3]Core Cost Incurred'!B2</f>
        <v>44525</v>
      </c>
      <c r="D2" s="359"/>
      <c r="E2" s="359"/>
      <c r="F2" s="359"/>
      <c r="G2" s="359"/>
    </row>
    <row r="4" spans="2:8" ht="15" customHeight="1" thickBot="1" x14ac:dyDescent="0.25">
      <c r="B4" s="381"/>
      <c r="C4" s="381"/>
      <c r="D4" s="381"/>
      <c r="E4" s="381"/>
      <c r="F4" s="358"/>
      <c r="G4" s="357"/>
    </row>
    <row r="5" spans="2:8" ht="14.25" x14ac:dyDescent="0.2">
      <c r="B5" s="356"/>
      <c r="C5" s="356"/>
      <c r="D5" s="354" t="s">
        <v>3</v>
      </c>
      <c r="E5" s="354" t="s">
        <v>5</v>
      </c>
      <c r="F5" s="355" t="s">
        <v>9</v>
      </c>
      <c r="G5" s="354" t="s">
        <v>10</v>
      </c>
    </row>
    <row r="6" spans="2:8" ht="15" x14ac:dyDescent="0.25">
      <c r="B6" s="340" t="s">
        <v>11</v>
      </c>
      <c r="C6" s="353"/>
      <c r="D6" s="351">
        <v>692010</v>
      </c>
      <c r="E6" s="351">
        <v>691010</v>
      </c>
      <c r="F6" s="352">
        <v>693010</v>
      </c>
      <c r="G6" s="351"/>
    </row>
    <row r="7" spans="2:8" ht="15.75" customHeight="1" x14ac:dyDescent="0.2">
      <c r="B7" s="326" t="s">
        <v>12</v>
      </c>
      <c r="C7" s="326"/>
      <c r="D7" s="331">
        <v>8369996.8800000008</v>
      </c>
      <c r="E7" s="331">
        <v>4752315.209999999</v>
      </c>
      <c r="F7" s="350">
        <v>3028482.2600000002</v>
      </c>
      <c r="G7" s="349">
        <v>16150794.35</v>
      </c>
    </row>
    <row r="8" spans="2:8" ht="15.75" customHeight="1" x14ac:dyDescent="0.2">
      <c r="B8" s="326" t="s">
        <v>14</v>
      </c>
      <c r="C8" s="326"/>
      <c r="D8" s="348">
        <f>'[3]Core Cost Incurred'!K43</f>
        <v>12311340.119999997</v>
      </c>
      <c r="E8" s="348">
        <f>'[3]Core Cost Incurred'!K44</f>
        <v>4247839.26</v>
      </c>
      <c r="F8" s="347">
        <v>0</v>
      </c>
      <c r="G8" s="346">
        <f>SUM(D8:E8)</f>
        <v>16559179.379999997</v>
      </c>
    </row>
    <row r="9" spans="2:8" ht="15.75" customHeight="1" x14ac:dyDescent="0.2">
      <c r="B9" s="326" t="s">
        <v>15</v>
      </c>
      <c r="C9" s="326"/>
      <c r="D9" s="339">
        <f>D7-D8</f>
        <v>-3941343.2399999965</v>
      </c>
      <c r="E9" s="345">
        <f>E7-E8</f>
        <v>504475.94999999925</v>
      </c>
      <c r="F9" s="345">
        <f>F7-F8</f>
        <v>3028482.2600000002</v>
      </c>
      <c r="G9" s="339">
        <f>G7-G8</f>
        <v>-408385.02999999747</v>
      </c>
    </row>
    <row r="10" spans="2:8" ht="15.75" customHeight="1" x14ac:dyDescent="0.2">
      <c r="B10" s="326" t="s">
        <v>16</v>
      </c>
      <c r="C10" s="326"/>
      <c r="D10" s="344">
        <v>735.04</v>
      </c>
      <c r="E10" s="343"/>
      <c r="F10" s="342"/>
      <c r="G10" s="341">
        <v>735.04</v>
      </c>
    </row>
    <row r="11" spans="2:8" ht="15.75" customHeight="1" x14ac:dyDescent="0.2">
      <c r="B11" s="340" t="s">
        <v>17</v>
      </c>
      <c r="C11" s="340"/>
      <c r="D11" s="339"/>
      <c r="E11" s="339">
        <v>331437.33</v>
      </c>
      <c r="F11" s="338"/>
      <c r="G11" s="324">
        <f>E11</f>
        <v>331437.33</v>
      </c>
    </row>
    <row r="12" spans="2:8" ht="15.75" customHeight="1" x14ac:dyDescent="0.25">
      <c r="B12" s="337" t="s">
        <v>18</v>
      </c>
      <c r="C12" s="336"/>
      <c r="D12" s="334">
        <f>+D7-D8+D10</f>
        <v>-3940608.1999999965</v>
      </c>
      <c r="E12" s="334">
        <f>+E9+E11</f>
        <v>835913.27999999933</v>
      </c>
      <c r="F12" s="335">
        <f>+F7-F8</f>
        <v>3028482.2600000002</v>
      </c>
      <c r="G12" s="334">
        <f>G9+G11+G10</f>
        <v>-76212.659999997457</v>
      </c>
    </row>
    <row r="13" spans="2:8" ht="14.25" customHeight="1" x14ac:dyDescent="0.2">
      <c r="D13" s="326"/>
      <c r="E13" s="326"/>
      <c r="F13" s="332"/>
      <c r="G13" s="326"/>
    </row>
    <row r="14" spans="2:8" ht="14.25" customHeight="1" x14ac:dyDescent="0.2">
      <c r="D14" s="326" t="s">
        <v>19</v>
      </c>
      <c r="E14" s="326"/>
      <c r="F14" s="332"/>
      <c r="G14" s="326"/>
    </row>
    <row r="15" spans="2:8" ht="14.25" customHeight="1" x14ac:dyDescent="0.2">
      <c r="D15" s="326"/>
      <c r="E15" s="333"/>
      <c r="F15" s="332"/>
      <c r="G15" s="326"/>
    </row>
    <row r="16" spans="2:8" ht="14.25" customHeight="1" x14ac:dyDescent="0.2">
      <c r="B16" s="323" t="s">
        <v>20</v>
      </c>
      <c r="C16" s="323"/>
      <c r="D16" s="331" t="s">
        <v>4</v>
      </c>
      <c r="E16" s="330" t="s">
        <v>4</v>
      </c>
      <c r="F16" s="329"/>
      <c r="G16" s="319"/>
    </row>
    <row r="17" spans="2:7" ht="14.25" customHeight="1" x14ac:dyDescent="0.2">
      <c r="D17" s="328"/>
      <c r="E17" s="328"/>
      <c r="F17" s="327"/>
      <c r="G17" s="326"/>
    </row>
    <row r="18" spans="2:7" ht="14.25" customHeight="1" x14ac:dyDescent="0.2">
      <c r="D18" s="324">
        <f>-D12</f>
        <v>3940608.1999999965</v>
      </c>
      <c r="E18" s="324">
        <f>-E9-E11</f>
        <v>-835913.27999999933</v>
      </c>
      <c r="F18" s="325">
        <f>-F12</f>
        <v>-3028482.2600000002</v>
      </c>
      <c r="G18" s="324">
        <f>SUM(D18:F18)</f>
        <v>76212.659999996889</v>
      </c>
    </row>
    <row r="19" spans="2:7" ht="14.25" customHeight="1" thickBot="1" x14ac:dyDescent="0.25">
      <c r="B19" s="323" t="s">
        <v>21</v>
      </c>
      <c r="C19" s="323"/>
      <c r="D19" s="322" t="s">
        <v>22</v>
      </c>
      <c r="E19" s="321" t="s">
        <v>23</v>
      </c>
      <c r="F19" s="320"/>
      <c r="G19" s="319"/>
    </row>
    <row r="21" spans="2:7" x14ac:dyDescent="0.2">
      <c r="E21" s="318"/>
      <c r="F21" s="317"/>
    </row>
    <row r="22" spans="2:7" x14ac:dyDescent="0.2">
      <c r="E22" s="318"/>
      <c r="F22" s="317"/>
    </row>
    <row r="23" spans="2:7" x14ac:dyDescent="0.2">
      <c r="E23" s="318"/>
      <c r="F23" s="317"/>
    </row>
    <row r="24" spans="2:7" x14ac:dyDescent="0.2">
      <c r="F24" s="317"/>
    </row>
    <row r="27" spans="2:7" x14ac:dyDescent="0.2">
      <c r="B27" s="316"/>
      <c r="C27" s="316"/>
    </row>
  </sheetData>
  <mergeCells count="1">
    <mergeCell ref="B4:E4"/>
  </mergeCells>
  <pageMargins left="0.75" right="0.75" top="0.7" bottom="1" header="0.7" footer="0.5"/>
  <pageSetup scale="79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CCFA99869AF04DA137CA5B2021C03A" ma:contentTypeVersion="44" ma:contentTypeDescription="" ma:contentTypeScope="" ma:versionID="fabfb9f3bb6d5cef6aefef9d5a0b567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2021-09-15T07:00:00+00:00</OpenedDate>
    <SignificantOrder xmlns="dc463f71-b30c-4ab2-9473-d307f9d35888">false</SignificantOrder>
    <Date1 xmlns="dc463f71-b30c-4ab2-9473-d307f9d35888">2021-12-22T08:00:00+00:00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210711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662A28-335D-4149-9E7D-B3802CB6531A}"/>
</file>

<file path=customXml/itemProps2.xml><?xml version="1.0" encoding="utf-8"?>
<ds:datastoreItem xmlns:ds="http://schemas.openxmlformats.org/officeDocument/2006/customXml" ds:itemID="{DDC7592D-65FB-4A41-8BA3-52833D041F79}"/>
</file>

<file path=customXml/itemProps3.xml><?xml version="1.0" encoding="utf-8"?>
<ds:datastoreItem xmlns:ds="http://schemas.openxmlformats.org/officeDocument/2006/customXml" ds:itemID="{96734AAC-45B8-4464-9275-EA5FCDDB4169}"/>
</file>

<file path=customXml/itemProps4.xml><?xml version="1.0" encoding="utf-8"?>
<ds:datastoreItem xmlns:ds="http://schemas.openxmlformats.org/officeDocument/2006/customXml" ds:itemID="{9B88F6A9-8A8C-4AFC-BC26-04027CA35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WA Rates - OLD</vt:lpstr>
      <vt:lpstr>WA Rates-NEW</vt:lpstr>
      <vt:lpstr>Core Cost Incurred</vt:lpstr>
      <vt:lpstr>DEFERRALS</vt:lpstr>
      <vt:lpstr>'Core Cost Incurred'!Print_Area</vt:lpstr>
      <vt:lpstr>DEFERRALS!Print_Area</vt:lpstr>
      <vt:lpstr>'WA Rates - OLD'!Print_Area</vt:lpstr>
      <vt:lpstr>'WA Rates-NEW'!Print_Area</vt:lpstr>
      <vt:lpstr>'Core Cost Incurred'!Print_Titles</vt:lpstr>
      <vt:lpstr>'WA Rates - OLD'!Print_Titles</vt:lpstr>
      <vt:lpstr>'WA Rates-NEW'!Print_Titles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2021-12-20T18:45:36Z</dcterms:created>
  <dcterms:modified xsi:type="dcterms:W3CDTF">2021-12-20T21:14:20Z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0x0101006E56B4D1795A2E4DB2F0B01679ED314A00D1CCFA99869AF04DA137CA5B2021C03A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