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0380" windowHeight="2712" activeTab="0"/>
  </bookViews>
  <sheets>
    <sheet name="Attachment 1" sheetId="1" r:id="rId1"/>
    <sheet name="Attachment 2 - adjustments" sheetId="2" r:id="rId2"/>
  </sheets>
  <definedNames>
    <definedName name="_xlnm.Print_Area" localSheetId="0">'Attachment 1'!$A$1:$L$74</definedName>
    <definedName name="_xlnm.Print_Area" localSheetId="1">'Attachment 2 - adjustments'!$A$1:$L$66</definedName>
  </definedNames>
  <calcPr fullCalcOnLoad="1"/>
</workbook>
</file>

<file path=xl/sharedStrings.xml><?xml version="1.0" encoding="utf-8"?>
<sst xmlns="http://schemas.openxmlformats.org/spreadsheetml/2006/main" count="110" uniqueCount="90">
  <si>
    <t>Expenses:</t>
  </si>
  <si>
    <t>Plant Specific</t>
  </si>
  <si>
    <t>Plant Non-Specific</t>
  </si>
  <si>
    <t>Customer Operations</t>
  </si>
  <si>
    <t>Corporate Operations</t>
  </si>
  <si>
    <t>Property Taxes</t>
  </si>
  <si>
    <t>Federal Income Taxes</t>
  </si>
  <si>
    <t>Return on Investment</t>
  </si>
  <si>
    <t>Revenue Requirement</t>
  </si>
  <si>
    <t>TOTAL</t>
  </si>
  <si>
    <t>Intrastate</t>
  </si>
  <si>
    <t>Rate Base:</t>
  </si>
  <si>
    <t>General Support</t>
  </si>
  <si>
    <t>Central Office</t>
  </si>
  <si>
    <t>Cable and Wire</t>
  </si>
  <si>
    <t>Accumulated Depreciation</t>
  </si>
  <si>
    <t>Accum. Def. Fed. Inc. Tax</t>
  </si>
  <si>
    <t>Adjustment(s)</t>
  </si>
  <si>
    <t>Net Rate Base</t>
  </si>
  <si>
    <t>Total Operating Expenses</t>
  </si>
  <si>
    <t>average rate of return</t>
  </si>
  <si>
    <t>Company Proposed</t>
  </si>
  <si>
    <t>REVENUE OBJECTIVE (R.O.)</t>
  </si>
  <si>
    <t>NOTES *</t>
  </si>
  <si>
    <t>Staff Review of Projected Revenue Requirements</t>
  </si>
  <si>
    <t>Company</t>
  </si>
  <si>
    <t>Proposed</t>
  </si>
  <si>
    <t>Local Revenue</t>
  </si>
  <si>
    <t>Total</t>
  </si>
  <si>
    <t>Adjustments</t>
  </si>
  <si>
    <t>Staff Adjusted</t>
  </si>
  <si>
    <t>Revenue Req</t>
  </si>
  <si>
    <t>UT-060762 - WeavTel</t>
  </si>
  <si>
    <t>For year ending 12/31/2007</t>
  </si>
  <si>
    <t>Adjustment</t>
  </si>
  <si>
    <t>Normalization</t>
  </si>
  <si>
    <t xml:space="preserve">   Environmental Assessment</t>
  </si>
  <si>
    <t>Annual</t>
  </si>
  <si>
    <t>Years to remove</t>
  </si>
  <si>
    <t xml:space="preserve">  Consulting Fees</t>
  </si>
  <si>
    <t>General Support - Vehicle</t>
  </si>
  <si>
    <t>Dep. Rate</t>
  </si>
  <si>
    <t>Dep. Expense</t>
  </si>
  <si>
    <t>Depreciation Expense</t>
  </si>
  <si>
    <t>Number of years</t>
  </si>
  <si>
    <t xml:space="preserve"> WCAP R.O.</t>
  </si>
  <si>
    <t>Total Estimated Start-up</t>
  </si>
  <si>
    <t xml:space="preserve">    Vehicle on the Books - </t>
  </si>
  <si>
    <t xml:space="preserve">  Legal Fees</t>
  </si>
  <si>
    <t>Annual Payment</t>
  </si>
  <si>
    <t>Difference</t>
  </si>
  <si>
    <t>Profit &amp; Loss '07</t>
  </si>
  <si>
    <t>Total Adjustment</t>
  </si>
  <si>
    <t>Amount to be normalized</t>
  </si>
  <si>
    <t>A</t>
  </si>
  <si>
    <t>B</t>
  </si>
  <si>
    <t>D</t>
  </si>
  <si>
    <t>E</t>
  </si>
  <si>
    <t>C</t>
  </si>
  <si>
    <t>One-time payment for CHR Consulting Group</t>
  </si>
  <si>
    <t>Expenses to get Holden Village on-line</t>
  </si>
  <si>
    <t>Adjustment A - Plant Specific</t>
  </si>
  <si>
    <t>Adjustment B - Plant Non-Specific</t>
  </si>
  <si>
    <t>Intrastate Allocation Factor</t>
  </si>
  <si>
    <t>Normalized start-up costs for Holden Village and related consulting fees.</t>
  </si>
  <si>
    <t>Decreased return on investment to equal the cost of debt multiplied by the intrastate rate base.</t>
  </si>
  <si>
    <r>
      <t>C</t>
    </r>
    <r>
      <rPr>
        <vertAlign val="superscript"/>
        <sz val="11.4"/>
        <rFont val="Times New Roman"/>
        <family val="1"/>
      </rPr>
      <t>2</t>
    </r>
  </si>
  <si>
    <r>
      <t>D</t>
    </r>
    <r>
      <rPr>
        <vertAlign val="superscript"/>
        <sz val="11.4"/>
        <rFont val="Times New Roman"/>
        <family val="1"/>
      </rPr>
      <t>1</t>
    </r>
  </si>
  <si>
    <r>
      <t>C</t>
    </r>
    <r>
      <rPr>
        <vertAlign val="superscript"/>
        <sz val="11.4"/>
        <rFont val="Times New Roman"/>
        <family val="1"/>
      </rPr>
      <t>1</t>
    </r>
  </si>
  <si>
    <r>
      <t>C</t>
    </r>
    <r>
      <rPr>
        <vertAlign val="superscript"/>
        <sz val="11.4"/>
        <rFont val="Times New Roman"/>
        <family val="1"/>
      </rPr>
      <t>3</t>
    </r>
  </si>
  <si>
    <r>
      <t>D</t>
    </r>
    <r>
      <rPr>
        <vertAlign val="superscript"/>
        <sz val="11.4"/>
        <rFont val="Times New Roman"/>
        <family val="1"/>
      </rPr>
      <t>2</t>
    </r>
  </si>
  <si>
    <t>Attachment 1</t>
  </si>
  <si>
    <r>
      <t>(adj. C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</si>
  <si>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(adj. 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</si>
  <si>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(adj. C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</si>
  <si>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Attachment 2</t>
  </si>
  <si>
    <t>(See Attachment 2)</t>
  </si>
  <si>
    <r>
      <t>Accumulated Depreciation - C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adjustment</t>
    </r>
  </si>
  <si>
    <r>
      <t>Corporate Operations Expense - 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adjustment</t>
    </r>
  </si>
  <si>
    <t>Adjustment C</t>
  </si>
  <si>
    <r>
      <t>General Support - C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adjustment</t>
    </r>
  </si>
  <si>
    <t xml:space="preserve">Per settlement narrative (1/30/07), the company is a limited liability company and does not pay federal income tax, the individual </t>
  </si>
  <si>
    <t>rate base.</t>
  </si>
  <si>
    <t xml:space="preserve">owners pay FIT on their share of net income, if any - removed FIT expense.  Also, added accumulated deferred FIT back into </t>
  </si>
  <si>
    <t>Normalized the environmental assessment fee.</t>
  </si>
  <si>
    <t>off the books ($23,200) and the corresponding depreciation expense and accumulated depreciation, multiplied by the intrastate</t>
  </si>
  <si>
    <t>allocation factor.  This adjustment was part of the settlement agreement in 2007 and the vehicle owner did not work for</t>
  </si>
  <si>
    <t>WeavTel in the test year.  Also, normalized start-up costs. (See Attachment 2)</t>
  </si>
  <si>
    <t>Company currently has 3 vehicles (2 in Manson, 1 in Stehekin).  Staff recommends taking the additional vehicle in Manson</t>
  </si>
  <si>
    <t>Instrastate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</si>
</sst>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[Red]\(#,##0.000000000\)"/>
    <numFmt numFmtId="165" formatCode="&quot;$&quot;#,##0.00"/>
    <numFmt numFmtId="166" formatCode="_(* #,##0_);_(* \(#,##0\);_(* &quot;-&quot;??_);_(@_)"/>
    <numFmt numFmtId="167" formatCode="[$-409]dddd\,\ mmmm\ dd\,\ yyyy"/>
    <numFmt numFmtId="168" formatCode="[$-409]mmmm\ d\,\ yyyy;@"/>
    <numFmt numFmtId="169" formatCode="[$-409]h:mm:ss\ AM/PM"/>
    <numFmt numFmtId="170" formatCode="[$-409]h:mm\ AM/PM;@"/>
    <numFmt numFmtId="171" formatCode="&quot;$&quot;#,##0"/>
    <numFmt numFmtId="172" formatCode="0.0%"/>
    <numFmt numFmtId="173" formatCode="#,##0.000"/>
    <numFmt numFmtId="174" formatCode="#,##0.0000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&quot;$&quot;#,##0.000_);[Red]\(&quot;$&quot;#,##0.0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0_);[Red]\(0.00\)"/>
    <numFmt numFmtId="189" formatCode="_(* #,##0.0_);_(* \(#,##0.0\);_(* &quot;-&quot;??_);_(@_)"/>
    <numFmt numFmtId="190" formatCode="#,##0.00;\-#,##0.00"/>
    <numFmt numFmtId="191" formatCode="#,##0.000;\-#,##0.000"/>
    <numFmt numFmtId="192" formatCode="#,##0.0;\-#,##0.0"/>
    <numFmt numFmtId="193" formatCode="#,##0;\-#,##0"/>
    <numFmt numFmtId="194" formatCode="0_);\(0\)"/>
    <numFmt numFmtId="195" formatCode="#,##0.000_);[Red]\(#,##0.000\)"/>
    <numFmt numFmtId="196" formatCode="#,##0.0_);[Red]\(#,##0.0\)"/>
  </numFmts>
  <fonts count="48">
    <font>
      <sz val="10"/>
      <name val="Arial"/>
      <family val="0"/>
    </font>
    <font>
      <sz val="8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.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3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8" fontId="3" fillId="0" borderId="16" xfId="0" applyNumberFormat="1" applyFont="1" applyBorder="1" applyAlignment="1">
      <alignment/>
    </xf>
    <xf numFmtId="9" fontId="5" fillId="0" borderId="16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8" fontId="4" fillId="0" borderId="17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38" fontId="3" fillId="33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9" fontId="4" fillId="0" borderId="0" xfId="0" applyNumberFormat="1" applyFont="1" applyAlignment="1">
      <alignment/>
    </xf>
    <xf numFmtId="38" fontId="4" fillId="33" borderId="0" xfId="0" applyNumberFormat="1" applyFont="1" applyFill="1" applyAlignment="1">
      <alignment/>
    </xf>
    <xf numFmtId="0" fontId="46" fillId="0" borderId="0" xfId="0" applyFont="1" applyAlignment="1">
      <alignment/>
    </xf>
    <xf numFmtId="10" fontId="46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6" fontId="3" fillId="0" borderId="16" xfId="0" applyNumberFormat="1" applyFont="1" applyBorder="1" applyAlignment="1">
      <alignment/>
    </xf>
    <xf numFmtId="38" fontId="3" fillId="0" borderId="16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6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40" fontId="3" fillId="0" borderId="0" xfId="0" applyNumberFormat="1" applyFont="1" applyAlignment="1">
      <alignment/>
    </xf>
    <xf numFmtId="6" fontId="3" fillId="0" borderId="19" xfId="0" applyNumberFormat="1" applyFont="1" applyBorder="1" applyAlignment="1">
      <alignment/>
    </xf>
    <xf numFmtId="0" fontId="3" fillId="34" borderId="0" xfId="0" applyFont="1" applyFill="1" applyAlignment="1">
      <alignment/>
    </xf>
    <xf numFmtId="166" fontId="3" fillId="0" borderId="0" xfId="42" applyNumberFormat="1" applyFont="1" applyAlignment="1">
      <alignment/>
    </xf>
    <xf numFmtId="9" fontId="3" fillId="0" borderId="16" xfId="0" applyNumberFormat="1" applyFont="1" applyBorder="1" applyAlignment="1">
      <alignment/>
    </xf>
    <xf numFmtId="38" fontId="3" fillId="0" borderId="19" xfId="0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40" fontId="3" fillId="0" borderId="16" xfId="0" applyNumberFormat="1" applyFont="1" applyBorder="1" applyAlignment="1">
      <alignment/>
    </xf>
    <xf numFmtId="38" fontId="3" fillId="0" borderId="20" xfId="0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38" fontId="3" fillId="36" borderId="0" xfId="0" applyNumberFormat="1" applyFont="1" applyFill="1" applyAlignment="1">
      <alignment/>
    </xf>
    <xf numFmtId="0" fontId="3" fillId="36" borderId="0" xfId="0" applyFont="1" applyFill="1" applyBorder="1" applyAlignment="1">
      <alignment/>
    </xf>
    <xf numFmtId="9" fontId="3" fillId="0" borderId="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95" zoomScaleNormal="95" zoomScaleSheetLayoutView="75" zoomScalePageLayoutView="0" workbookViewId="0" topLeftCell="A1">
      <selection activeCell="K8" sqref="K8"/>
    </sheetView>
  </sheetViews>
  <sheetFormatPr defaultColWidth="9.140625" defaultRowHeight="12.75"/>
  <cols>
    <col min="1" max="1" width="4.00390625" style="3" customWidth="1"/>
    <col min="2" max="2" width="3.28125" style="3" customWidth="1"/>
    <col min="3" max="3" width="27.140625" style="3" customWidth="1"/>
    <col min="4" max="4" width="12.7109375" style="3" hidden="1" customWidth="1"/>
    <col min="5" max="5" width="5.7109375" style="3" hidden="1" customWidth="1"/>
    <col min="6" max="6" width="14.00390625" style="3" customWidth="1"/>
    <col min="7" max="7" width="6.57421875" style="3" customWidth="1"/>
    <col min="8" max="8" width="14.57421875" style="3" customWidth="1"/>
    <col min="9" max="9" width="4.140625" style="2" customWidth="1"/>
    <col min="10" max="10" width="14.8515625" style="3" customWidth="1"/>
    <col min="11" max="11" width="17.421875" style="3" customWidth="1"/>
    <col min="12" max="12" width="15.57421875" style="3" customWidth="1"/>
    <col min="13" max="13" width="11.28125" style="3" bestFit="1" customWidth="1"/>
    <col min="14" max="16384" width="9.140625" style="3" customWidth="1"/>
  </cols>
  <sheetData>
    <row r="1" spans="1:12" ht="15">
      <c r="A1" s="3" t="s">
        <v>32</v>
      </c>
      <c r="G1" s="2"/>
      <c r="H1" s="2"/>
      <c r="J1" s="2"/>
      <c r="L1" s="2" t="s">
        <v>71</v>
      </c>
    </row>
    <row r="2" ht="15">
      <c r="A2" s="3" t="s">
        <v>33</v>
      </c>
    </row>
    <row r="3" spans="1:14" ht="15">
      <c r="A3" s="1"/>
      <c r="M3" s="51"/>
      <c r="N3" s="51"/>
    </row>
    <row r="4" spans="1:11" ht="15">
      <c r="A4" s="1" t="s">
        <v>24</v>
      </c>
      <c r="K4" s="27"/>
    </row>
    <row r="5" spans="1:11" ht="15">
      <c r="A5" s="1"/>
      <c r="K5" s="2"/>
    </row>
    <row r="6" spans="1:11" ht="15">
      <c r="A6" s="1"/>
      <c r="D6" s="2"/>
      <c r="F6" s="2" t="s">
        <v>25</v>
      </c>
      <c r="G6" s="2"/>
      <c r="H6" s="2"/>
      <c r="K6" s="2" t="s">
        <v>30</v>
      </c>
    </row>
    <row r="7" spans="1:11" ht="15">
      <c r="A7" s="1"/>
      <c r="D7" s="2"/>
      <c r="F7" s="2" t="s">
        <v>26</v>
      </c>
      <c r="G7" s="2"/>
      <c r="H7" s="2"/>
      <c r="K7" s="2" t="s">
        <v>31</v>
      </c>
    </row>
    <row r="8" spans="1:11" ht="15">
      <c r="A8" s="1"/>
      <c r="D8" s="2"/>
      <c r="F8" s="2" t="s">
        <v>28</v>
      </c>
      <c r="G8" s="2"/>
      <c r="H8" s="2" t="s">
        <v>10</v>
      </c>
      <c r="J8" s="2" t="s">
        <v>29</v>
      </c>
      <c r="K8" s="2" t="s">
        <v>89</v>
      </c>
    </row>
    <row r="9" ht="7.5" customHeight="1">
      <c r="A9" s="1"/>
    </row>
    <row r="10" ht="15" hidden="1">
      <c r="A10" s="1"/>
    </row>
    <row r="11" ht="15" hidden="1">
      <c r="A11" s="1"/>
    </row>
    <row r="12" ht="15" hidden="1">
      <c r="A12" s="1"/>
    </row>
    <row r="13" spans="4:11" ht="15" hidden="1">
      <c r="D13" s="74" t="s">
        <v>21</v>
      </c>
      <c r="E13" s="75"/>
      <c r="F13" s="76"/>
      <c r="G13" s="6"/>
      <c r="H13" s="6"/>
      <c r="K13" s="7"/>
    </row>
    <row r="14" spans="4:11" ht="15" hidden="1">
      <c r="D14" s="77" t="s">
        <v>8</v>
      </c>
      <c r="E14" s="78"/>
      <c r="F14" s="79"/>
      <c r="G14" s="6"/>
      <c r="H14" s="6"/>
      <c r="I14" s="8"/>
      <c r="J14" s="9"/>
      <c r="K14" s="10"/>
    </row>
    <row r="15" spans="4:11" ht="15.75" hidden="1" thickBot="1">
      <c r="D15" s="11" t="s">
        <v>9</v>
      </c>
      <c r="E15" s="12"/>
      <c r="F15" s="13" t="s">
        <v>10</v>
      </c>
      <c r="G15" s="6"/>
      <c r="H15" s="6"/>
      <c r="I15" s="14"/>
      <c r="J15" s="14"/>
      <c r="K15" s="15"/>
    </row>
    <row r="16" spans="2:8" ht="15">
      <c r="B16" s="4" t="s">
        <v>0</v>
      </c>
      <c r="D16" s="16"/>
      <c r="E16" s="16"/>
      <c r="F16" s="16"/>
      <c r="G16" s="16"/>
      <c r="H16" s="16"/>
    </row>
    <row r="17" spans="3:11" ht="15">
      <c r="C17" s="3" t="s">
        <v>1</v>
      </c>
      <c r="D17" s="17">
        <v>173300</v>
      </c>
      <c r="E17" s="18">
        <f>+F17/D17</f>
        <v>0.7803750721292556</v>
      </c>
      <c r="F17" s="17">
        <v>135239</v>
      </c>
      <c r="G17" s="28">
        <f>SUM(H17/F17)</f>
        <v>0.5814373072856203</v>
      </c>
      <c r="H17" s="17">
        <f>69333+9300</f>
        <v>78633</v>
      </c>
      <c r="I17" s="42" t="s">
        <v>54</v>
      </c>
      <c r="J17" s="16">
        <f>-(((10558.58/15)*14)*G17)</f>
        <v>-5729.875502362484</v>
      </c>
      <c r="K17" s="17">
        <f>SUM(H17:J17)</f>
        <v>72903.12449763752</v>
      </c>
    </row>
    <row r="18" spans="3:11" ht="15">
      <c r="C18" s="3" t="s">
        <v>2</v>
      </c>
      <c r="D18" s="16">
        <v>188995</v>
      </c>
      <c r="E18" s="18">
        <f>+F18/D18</f>
        <v>1.3979734913622053</v>
      </c>
      <c r="F18" s="16">
        <v>264210</v>
      </c>
      <c r="G18" s="28">
        <f>SUM(H18/F18)</f>
        <v>0.5860338367207902</v>
      </c>
      <c r="H18" s="16">
        <f>136315+18521</f>
        <v>154836</v>
      </c>
      <c r="I18" s="42" t="s">
        <v>55</v>
      </c>
      <c r="J18" s="16">
        <f>-'Attachment 2 - adjustments'!I30</f>
        <v>-8482.878855455887</v>
      </c>
      <c r="K18" s="17">
        <f>SUM(H18:J18)</f>
        <v>146353.1211445441</v>
      </c>
    </row>
    <row r="19" spans="3:11" ht="15">
      <c r="C19" s="3" t="s">
        <v>3</v>
      </c>
      <c r="D19" s="16">
        <v>26400</v>
      </c>
      <c r="E19" s="18">
        <f>+F19/D19</f>
        <v>0.10484848484848484</v>
      </c>
      <c r="F19" s="16">
        <v>2768</v>
      </c>
      <c r="G19" s="28">
        <f>SUM(H19/F19)</f>
        <v>0.3764450867052023</v>
      </c>
      <c r="H19" s="16">
        <v>1042</v>
      </c>
      <c r="I19" s="42"/>
      <c r="J19" s="16"/>
      <c r="K19" s="17">
        <f>SUM(H19:J19)</f>
        <v>1042</v>
      </c>
    </row>
    <row r="20" spans="3:11" ht="18">
      <c r="C20" s="3" t="s">
        <v>4</v>
      </c>
      <c r="D20" s="16">
        <v>209600</v>
      </c>
      <c r="E20" s="18">
        <f>+F20/D20</f>
        <v>0.3638788167938931</v>
      </c>
      <c r="F20" s="29">
        <v>76269</v>
      </c>
      <c r="G20" s="28">
        <f>SUM(H20/F20)</f>
        <v>0.5348699996066554</v>
      </c>
      <c r="H20" s="16">
        <f>35989+4805</f>
        <v>40794</v>
      </c>
      <c r="I20" s="42" t="s">
        <v>66</v>
      </c>
      <c r="J20" s="16">
        <f>(J33*0.16)-'Attachment 2 - adjustments'!I58</f>
        <v>-11563.463003679792</v>
      </c>
      <c r="K20" s="17">
        <f>SUM(H20:J20)</f>
        <v>29230.53699632021</v>
      </c>
    </row>
    <row r="21" spans="3:11" ht="15">
      <c r="C21" s="3" t="s">
        <v>5</v>
      </c>
      <c r="D21" s="16">
        <v>9350</v>
      </c>
      <c r="E21" s="18">
        <f>+F21/D21</f>
        <v>0.20994652406417114</v>
      </c>
      <c r="F21" s="16">
        <v>1963</v>
      </c>
      <c r="G21" s="28">
        <f>SUM(H21/F21)</f>
        <v>0.5303107488537953</v>
      </c>
      <c r="H21" s="16">
        <f>915+126</f>
        <v>1041</v>
      </c>
      <c r="I21" s="42"/>
      <c r="J21" s="16"/>
      <c r="K21" s="17">
        <f>SUM(H21:J21)</f>
        <v>1041</v>
      </c>
    </row>
    <row r="22" spans="3:11" ht="15">
      <c r="C22" s="3" t="s">
        <v>17</v>
      </c>
      <c r="D22" s="19">
        <v>0</v>
      </c>
      <c r="E22" s="20">
        <f>+F23/D23</f>
        <v>0.7906738309374717</v>
      </c>
      <c r="F22" s="19">
        <v>0</v>
      </c>
      <c r="G22" s="19"/>
      <c r="H22" s="19"/>
      <c r="I22" s="44"/>
      <c r="J22" s="19"/>
      <c r="K22" s="19"/>
    </row>
    <row r="23" spans="2:11" ht="15">
      <c r="B23" s="4" t="s">
        <v>19</v>
      </c>
      <c r="D23" s="21">
        <f>SUM(D17:D22)</f>
        <v>607645</v>
      </c>
      <c r="E23" s="21"/>
      <c r="F23" s="21">
        <f>SUM(F17:F22)</f>
        <v>480449</v>
      </c>
      <c r="G23" s="28">
        <f>SUM(H23/F23)</f>
        <v>0.5751827977579306</v>
      </c>
      <c r="H23" s="21">
        <f>SUM(H17:H22)</f>
        <v>276346</v>
      </c>
      <c r="I23" s="42"/>
      <c r="J23" s="16">
        <f>SUM(J17:J22)</f>
        <v>-25776.217361498166</v>
      </c>
      <c r="K23" s="21">
        <f>SUM(K17:K21)</f>
        <v>250569.7826385018</v>
      </c>
    </row>
    <row r="24" spans="4:11" ht="15">
      <c r="D24" s="16"/>
      <c r="E24" s="16"/>
      <c r="F24" s="16"/>
      <c r="G24" s="16"/>
      <c r="H24" s="16"/>
      <c r="I24" s="42"/>
      <c r="J24" s="16"/>
      <c r="K24" s="16"/>
    </row>
    <row r="25" spans="2:13" ht="18">
      <c r="B25" s="4" t="s">
        <v>6</v>
      </c>
      <c r="D25" s="21">
        <v>114207</v>
      </c>
      <c r="E25" s="18">
        <f>+F25/D25</f>
        <v>0.1866260386841437</v>
      </c>
      <c r="F25" s="21">
        <v>21314</v>
      </c>
      <c r="G25" s="28">
        <f>SUM(H25/F25)</f>
        <v>0.5477151168246223</v>
      </c>
      <c r="H25" s="21">
        <f>10252+1422</f>
        <v>11674</v>
      </c>
      <c r="I25" s="42" t="s">
        <v>67</v>
      </c>
      <c r="J25" s="16">
        <v>-11674</v>
      </c>
      <c r="K25" s="38">
        <f>H25+J25</f>
        <v>0</v>
      </c>
      <c r="M25" s="28"/>
    </row>
    <row r="26" spans="2:11" ht="15">
      <c r="B26" s="4"/>
      <c r="C26" s="5"/>
      <c r="D26" s="22"/>
      <c r="E26" s="22"/>
      <c r="F26" s="22"/>
      <c r="G26" s="22"/>
      <c r="H26" s="22"/>
      <c r="I26" s="45"/>
      <c r="J26" s="22"/>
      <c r="K26" s="22"/>
    </row>
    <row r="27" spans="2:13" ht="15">
      <c r="B27" s="4" t="s">
        <v>7</v>
      </c>
      <c r="D27" s="21">
        <v>260294</v>
      </c>
      <c r="E27" s="18">
        <f>+F27/D27</f>
        <v>0.8061538106909879</v>
      </c>
      <c r="F27" s="21">
        <v>209837</v>
      </c>
      <c r="G27" s="28">
        <f>SUM(H27/F27)</f>
        <v>0.5637947549764818</v>
      </c>
      <c r="H27" s="21">
        <f>103898+14407</f>
        <v>118305</v>
      </c>
      <c r="I27" s="42" t="s">
        <v>57</v>
      </c>
      <c r="J27" s="16">
        <f>K27-H27</f>
        <v>-57489.20682215963</v>
      </c>
      <c r="K27" s="21">
        <f>K39*K28</f>
        <v>60815.79317784037</v>
      </c>
      <c r="L27" s="16"/>
      <c r="M27" s="16"/>
    </row>
    <row r="28" spans="3:13" ht="15">
      <c r="C28" s="5" t="s">
        <v>20</v>
      </c>
      <c r="D28" s="22">
        <f>+D27/D39</f>
        <v>0.10755279319348256</v>
      </c>
      <c r="E28" s="22"/>
      <c r="F28" s="22">
        <f>+F27/F39</f>
        <v>0.10906402353454818</v>
      </c>
      <c r="G28" s="22"/>
      <c r="H28" s="22">
        <f>+H27/H39</f>
        <v>0.10500058577732652</v>
      </c>
      <c r="I28" s="45"/>
      <c r="J28" s="22"/>
      <c r="K28" s="22">
        <v>0.0532</v>
      </c>
      <c r="M28" s="52"/>
    </row>
    <row r="29" spans="3:13" ht="16.5" thickBot="1">
      <c r="C29" s="39"/>
      <c r="D29" s="40"/>
      <c r="E29" s="40"/>
      <c r="F29" s="41"/>
      <c r="G29" s="41"/>
      <c r="H29" s="41"/>
      <c r="I29" s="46"/>
      <c r="J29" s="23"/>
      <c r="K29" s="23"/>
      <c r="M29" s="16"/>
    </row>
    <row r="30" spans="2:13" ht="15.75" thickBot="1">
      <c r="B30" s="4" t="s">
        <v>8</v>
      </c>
      <c r="D30" s="24">
        <f>+D23+D25+D27</f>
        <v>982146</v>
      </c>
      <c r="E30" s="25">
        <f>+F30/D30</f>
        <v>0.7245358633034192</v>
      </c>
      <c r="F30" s="26">
        <f>+F23+F25+F27</f>
        <v>711600</v>
      </c>
      <c r="G30" s="28">
        <f>SUM(H30/F30)</f>
        <v>0.5710019673974143</v>
      </c>
      <c r="H30" s="26">
        <f>+H23+H25+H27</f>
        <v>406325</v>
      </c>
      <c r="I30" s="47"/>
      <c r="J30" s="16">
        <f>SUM(J23:J27)</f>
        <v>-94939.4241836578</v>
      </c>
      <c r="K30" s="26">
        <f>SUM(J30+H30)</f>
        <v>311385.5758163422</v>
      </c>
      <c r="M30" s="16"/>
    </row>
    <row r="31" spans="4:11" ht="15">
      <c r="D31" s="16"/>
      <c r="E31" s="16"/>
      <c r="F31" s="16"/>
      <c r="G31" s="16"/>
      <c r="H31" s="16"/>
      <c r="I31" s="42"/>
      <c r="J31" s="16"/>
      <c r="K31" s="16"/>
    </row>
    <row r="32" spans="2:11" ht="15">
      <c r="B32" s="4" t="s">
        <v>11</v>
      </c>
      <c r="D32" s="16"/>
      <c r="E32" s="16"/>
      <c r="F32" s="16"/>
      <c r="G32" s="16"/>
      <c r="H32" s="16"/>
      <c r="I32" s="42"/>
      <c r="J32" s="16"/>
      <c r="K32" s="16"/>
    </row>
    <row r="33" spans="3:11" ht="18">
      <c r="C33" s="3" t="s">
        <v>12</v>
      </c>
      <c r="D33" s="17">
        <v>96688</v>
      </c>
      <c r="E33" s="18">
        <f aca="true" t="shared" si="0" ref="E33:E39">+F33/D33</f>
        <v>5.830754592090021</v>
      </c>
      <c r="F33" s="17">
        <v>563764</v>
      </c>
      <c r="G33" s="28">
        <f>SUM(H33/F33)</f>
        <v>0.5855091846943047</v>
      </c>
      <c r="H33" s="17">
        <f>290034+40055</f>
        <v>330089</v>
      </c>
      <c r="I33" s="42" t="s">
        <v>68</v>
      </c>
      <c r="J33" s="16">
        <f>-23200*G33</f>
        <v>-13583.813084907868</v>
      </c>
      <c r="K33" s="17">
        <f aca="true" t="shared" si="1" ref="K33:K38">H33+J33</f>
        <v>316505.1869150921</v>
      </c>
    </row>
    <row r="34" spans="3:11" ht="15">
      <c r="C34" s="3" t="s">
        <v>13</v>
      </c>
      <c r="D34" s="16">
        <v>523833</v>
      </c>
      <c r="E34" s="18">
        <f t="shared" si="0"/>
        <v>2.7103523451176232</v>
      </c>
      <c r="F34" s="16">
        <f>567643+852129</f>
        <v>1419772</v>
      </c>
      <c r="G34" s="28">
        <f>SUM(H34/F34)</f>
        <v>0.569654845989356</v>
      </c>
      <c r="H34" s="16">
        <f>183564+536955+88261</f>
        <v>808780</v>
      </c>
      <c r="I34" s="42"/>
      <c r="J34" s="16"/>
      <c r="K34" s="17">
        <f t="shared" si="1"/>
        <v>808780</v>
      </c>
    </row>
    <row r="35" spans="3:11" ht="15">
      <c r="C35" s="3" t="s">
        <v>14</v>
      </c>
      <c r="D35" s="16">
        <v>1827081</v>
      </c>
      <c r="E35" s="18">
        <f t="shared" si="0"/>
        <v>0.1108369032352698</v>
      </c>
      <c r="F35" s="16">
        <v>202508</v>
      </c>
      <c r="G35" s="28">
        <f>SUM(H35/F35)</f>
        <v>0.6966687735793153</v>
      </c>
      <c r="H35" s="16">
        <f>114080+27001</f>
        <v>141081</v>
      </c>
      <c r="I35" s="42"/>
      <c r="J35" s="16"/>
      <c r="K35" s="17">
        <f t="shared" si="1"/>
        <v>141081</v>
      </c>
    </row>
    <row r="36" spans="3:11" ht="18">
      <c r="C36" s="3" t="s">
        <v>15</v>
      </c>
      <c r="D36" s="16">
        <v>-42251</v>
      </c>
      <c r="E36" s="18">
        <f t="shared" si="0"/>
        <v>5.101962083737663</v>
      </c>
      <c r="F36" s="16">
        <v>-215563</v>
      </c>
      <c r="G36" s="28">
        <f>SUM(H36/F36)</f>
        <v>0.5917481200391533</v>
      </c>
      <c r="H36" s="16">
        <f>-112158-15401</f>
        <v>-127559</v>
      </c>
      <c r="I36" s="42" t="s">
        <v>69</v>
      </c>
      <c r="J36" s="16">
        <f>(-J33*0.16)*2</f>
        <v>4346.820187170518</v>
      </c>
      <c r="K36" s="17">
        <f t="shared" si="1"/>
        <v>-123212.17981282948</v>
      </c>
    </row>
    <row r="37" spans="3:11" ht="18">
      <c r="C37" s="3" t="s">
        <v>16</v>
      </c>
      <c r="D37" s="16">
        <v>0</v>
      </c>
      <c r="E37" s="18">
        <f>+E36</f>
        <v>5.101962083737663</v>
      </c>
      <c r="F37" s="16">
        <v>-46501</v>
      </c>
      <c r="G37" s="28">
        <f>SUM(H37/F37)</f>
        <v>0.5523107029956345</v>
      </c>
      <c r="H37" s="16">
        <f>-22976-2707</f>
        <v>-25683</v>
      </c>
      <c r="I37" s="42" t="s">
        <v>70</v>
      </c>
      <c r="J37" s="16">
        <f>-H37</f>
        <v>25683</v>
      </c>
      <c r="K37" s="17">
        <f t="shared" si="1"/>
        <v>0</v>
      </c>
    </row>
    <row r="38" spans="3:11" ht="15">
      <c r="C38" s="3" t="s">
        <v>17</v>
      </c>
      <c r="D38" s="19">
        <f>-200+14800+200</f>
        <v>14800</v>
      </c>
      <c r="E38" s="20">
        <f t="shared" si="0"/>
        <v>0</v>
      </c>
      <c r="F38" s="19"/>
      <c r="G38" s="28"/>
      <c r="H38" s="19">
        <v>0</v>
      </c>
      <c r="I38" s="44"/>
      <c r="J38" s="19"/>
      <c r="K38" s="43">
        <f t="shared" si="1"/>
        <v>0</v>
      </c>
    </row>
    <row r="39" spans="3:11" ht="15">
      <c r="C39" s="3" t="s">
        <v>18</v>
      </c>
      <c r="D39" s="17">
        <f>SUM(D33:D38)</f>
        <v>2420151</v>
      </c>
      <c r="E39" s="18">
        <f t="shared" si="0"/>
        <v>0.794983453511785</v>
      </c>
      <c r="F39" s="17">
        <f>SUM(F33:F38)</f>
        <v>1923980</v>
      </c>
      <c r="G39" s="28">
        <f>SUM(H39/F39)</f>
        <v>0.5856131560619133</v>
      </c>
      <c r="H39" s="17">
        <f>SUM(H33:H38)</f>
        <v>1126708</v>
      </c>
      <c r="I39" s="35"/>
      <c r="J39" s="16"/>
      <c r="K39" s="17">
        <f>SUM(K33:K38)</f>
        <v>1143154.0071022627</v>
      </c>
    </row>
    <row r="40" spans="4:11" ht="15">
      <c r="D40" s="16"/>
      <c r="E40" s="16"/>
      <c r="F40" s="16"/>
      <c r="G40" s="16"/>
      <c r="H40" s="16"/>
      <c r="I40" s="42"/>
      <c r="J40" s="16"/>
      <c r="K40" s="16"/>
    </row>
    <row r="41" spans="3:11" ht="15">
      <c r="C41" s="4" t="s">
        <v>22</v>
      </c>
      <c r="I41" s="48"/>
      <c r="J41" s="32"/>
      <c r="K41" s="32"/>
    </row>
    <row r="42" spans="3:11" ht="15">
      <c r="C42" s="3" t="s">
        <v>45</v>
      </c>
      <c r="H42" s="53">
        <v>133562</v>
      </c>
      <c r="I42" s="48"/>
      <c r="J42" s="33">
        <f>SUM(J30)</f>
        <v>-94939.4241836578</v>
      </c>
      <c r="K42" s="34">
        <f>SUM(H42:J42)</f>
        <v>38622.5758163422</v>
      </c>
    </row>
    <row r="43" spans="4:11" ht="15" hidden="1">
      <c r="D43" s="23">
        <f>+F53/$D$30</f>
        <v>0</v>
      </c>
      <c r="E43" s="23"/>
      <c r="F43" s="23">
        <f>+F53/$F$30</f>
        <v>0</v>
      </c>
      <c r="G43" s="23"/>
      <c r="H43" s="23"/>
      <c r="I43" s="48"/>
      <c r="J43" s="32"/>
      <c r="K43" s="32"/>
    </row>
    <row r="44" spans="3:9" ht="15">
      <c r="C44" s="27" t="s">
        <v>27</v>
      </c>
      <c r="F44" s="17"/>
      <c r="G44" s="17"/>
      <c r="H44" s="17">
        <v>4260</v>
      </c>
      <c r="I44" s="49"/>
    </row>
    <row r="45" spans="9:11" ht="15" hidden="1">
      <c r="I45" s="48"/>
      <c r="J45" s="32"/>
      <c r="K45" s="32"/>
    </row>
    <row r="46" spans="9:11" ht="15" hidden="1">
      <c r="I46" s="48"/>
      <c r="J46" s="32"/>
      <c r="K46" s="32"/>
    </row>
    <row r="47" spans="9:11" ht="15" hidden="1">
      <c r="I47" s="48"/>
      <c r="J47" s="32"/>
      <c r="K47" s="32"/>
    </row>
    <row r="48" spans="9:11" ht="15" hidden="1">
      <c r="I48" s="48"/>
      <c r="J48" s="32"/>
      <c r="K48" s="32"/>
    </row>
    <row r="49" spans="9:11" ht="15" hidden="1">
      <c r="I49" s="48"/>
      <c r="J49" s="32"/>
      <c r="K49" s="32"/>
    </row>
    <row r="50" spans="9:11" ht="15" hidden="1">
      <c r="I50" s="48"/>
      <c r="J50" s="32"/>
      <c r="K50" s="32"/>
    </row>
    <row r="51" spans="9:11" ht="15" hidden="1">
      <c r="I51" s="48"/>
      <c r="J51" s="32"/>
      <c r="K51" s="32"/>
    </row>
    <row r="52" spans="3:11" ht="15" hidden="1">
      <c r="C52" s="27"/>
      <c r="F52" s="16"/>
      <c r="G52" s="16"/>
      <c r="H52" s="16"/>
      <c r="I52" s="48"/>
      <c r="J52" s="32"/>
      <c r="K52" s="32"/>
    </row>
    <row r="53" spans="6:11" ht="10.5" customHeight="1">
      <c r="F53" s="37"/>
      <c r="H53" s="37"/>
      <c r="K53" s="37"/>
    </row>
    <row r="54" ht="15">
      <c r="B54" s="4" t="s">
        <v>23</v>
      </c>
    </row>
    <row r="55" ht="9.75" customHeight="1">
      <c r="B55" s="4"/>
    </row>
    <row r="56" spans="2:12" ht="15">
      <c r="B56" s="3" t="s">
        <v>54</v>
      </c>
      <c r="C56" s="31" t="s">
        <v>84</v>
      </c>
      <c r="D56" s="31"/>
      <c r="E56" s="31"/>
      <c r="F56" s="31"/>
      <c r="G56" s="31"/>
      <c r="H56" s="50"/>
      <c r="J56" s="35"/>
      <c r="K56" s="31"/>
      <c r="L56" s="31"/>
    </row>
    <row r="57" spans="3:12" ht="15">
      <c r="C57" s="31" t="s">
        <v>76</v>
      </c>
      <c r="D57" s="31"/>
      <c r="E57" s="31"/>
      <c r="F57" s="31"/>
      <c r="G57" s="31"/>
      <c r="H57" s="50"/>
      <c r="J57" s="35"/>
      <c r="K57" s="31"/>
      <c r="L57" s="31"/>
    </row>
    <row r="58" ht="9.75" customHeight="1"/>
    <row r="59" spans="2:12" ht="15">
      <c r="B59" s="3" t="s">
        <v>55</v>
      </c>
      <c r="C59" s="73" t="s">
        <v>64</v>
      </c>
      <c r="D59" s="73"/>
      <c r="E59" s="73"/>
      <c r="F59" s="73"/>
      <c r="G59" s="73"/>
      <c r="H59" s="73"/>
      <c r="I59" s="73"/>
      <c r="J59" s="73"/>
      <c r="K59" s="73"/>
      <c r="L59" s="73"/>
    </row>
    <row r="60" spans="3:12" ht="15">
      <c r="C60" s="30" t="s">
        <v>76</v>
      </c>
      <c r="D60" s="30"/>
      <c r="E60" s="30"/>
      <c r="F60" s="30"/>
      <c r="G60" s="30"/>
      <c r="H60" s="30"/>
      <c r="I60" s="30"/>
      <c r="J60" s="30"/>
      <c r="K60" s="30"/>
      <c r="L60" s="30"/>
    </row>
    <row r="61" spans="3:12" ht="9" customHeight="1"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 ht="15">
      <c r="B62" s="3" t="s">
        <v>58</v>
      </c>
      <c r="C62" s="31" t="s">
        <v>88</v>
      </c>
      <c r="D62" s="31"/>
      <c r="E62" s="31"/>
      <c r="F62" s="31"/>
      <c r="G62" s="31"/>
      <c r="H62" s="31"/>
      <c r="J62" s="35"/>
      <c r="K62" s="31"/>
      <c r="L62" s="31"/>
    </row>
    <row r="63" spans="3:12" ht="15">
      <c r="C63" s="31" t="s">
        <v>85</v>
      </c>
      <c r="D63" s="30"/>
      <c r="E63" s="30"/>
      <c r="F63" s="30"/>
      <c r="G63" s="30"/>
      <c r="H63" s="30"/>
      <c r="I63" s="36"/>
      <c r="J63" s="36"/>
      <c r="K63" s="30"/>
      <c r="L63" s="30"/>
    </row>
    <row r="64" spans="3:12" ht="15">
      <c r="C64" s="31" t="s">
        <v>86</v>
      </c>
      <c r="D64" s="30"/>
      <c r="E64" s="30"/>
      <c r="F64" s="31"/>
      <c r="G64" s="30"/>
      <c r="H64" s="30"/>
      <c r="I64" s="36"/>
      <c r="J64" s="36"/>
      <c r="K64" s="30"/>
      <c r="L64" s="30"/>
    </row>
    <row r="65" spans="3:12" ht="15">
      <c r="C65" s="31" t="s">
        <v>87</v>
      </c>
      <c r="D65" s="30"/>
      <c r="E65" s="30"/>
      <c r="F65" s="31"/>
      <c r="G65" s="30"/>
      <c r="H65" s="30"/>
      <c r="I65" s="36"/>
      <c r="J65" s="36"/>
      <c r="K65" s="30"/>
      <c r="L65" s="30"/>
    </row>
    <row r="66" ht="9" customHeight="1"/>
    <row r="67" spans="2:12" ht="15">
      <c r="B67" s="3" t="s">
        <v>56</v>
      </c>
      <c r="C67" s="73" t="s">
        <v>81</v>
      </c>
      <c r="D67" s="73"/>
      <c r="E67" s="73"/>
      <c r="F67" s="73"/>
      <c r="G67" s="73"/>
      <c r="H67" s="73"/>
      <c r="I67" s="73"/>
      <c r="J67" s="73"/>
      <c r="K67" s="73"/>
      <c r="L67" s="73"/>
    </row>
    <row r="68" spans="3:12" ht="15">
      <c r="C68" s="73" t="s">
        <v>83</v>
      </c>
      <c r="D68" s="73"/>
      <c r="E68" s="73"/>
      <c r="F68" s="73"/>
      <c r="G68" s="73"/>
      <c r="H68" s="73"/>
      <c r="I68" s="73"/>
      <c r="J68" s="73"/>
      <c r="K68" s="73"/>
      <c r="L68" s="73"/>
    </row>
    <row r="69" spans="3:9" ht="15.75" customHeight="1">
      <c r="C69" s="3" t="s">
        <v>82</v>
      </c>
      <c r="I69" s="3"/>
    </row>
    <row r="70" ht="9.75" customHeight="1"/>
    <row r="71" spans="2:3" ht="15">
      <c r="B71" s="3" t="s">
        <v>57</v>
      </c>
      <c r="C71" s="3" t="s">
        <v>65</v>
      </c>
    </row>
    <row r="81" ht="15">
      <c r="C81" s="4"/>
    </row>
  </sheetData>
  <sheetProtection/>
  <mergeCells count="6">
    <mergeCell ref="C59:L59"/>
    <mergeCell ref="C61:L61"/>
    <mergeCell ref="D13:F13"/>
    <mergeCell ref="D14:F14"/>
    <mergeCell ref="C67:L67"/>
    <mergeCell ref="C68:L68"/>
  </mergeCells>
  <printOptions/>
  <pageMargins left="0.5" right="0.5" top="0.51" bottom="0.75" header="0.5" footer="0.5"/>
  <pageSetup horizontalDpi="600" verticalDpi="600" orientation="portrait" scale="80" r:id="rId1"/>
  <ignoredErrors>
    <ignoredError sqref="E30 E37 E39 G30 G23 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4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3" customWidth="1"/>
    <col min="2" max="2" width="9.8515625" style="3" customWidth="1"/>
    <col min="3" max="3" width="10.00390625" style="3" customWidth="1"/>
    <col min="4" max="4" width="10.7109375" style="3" customWidth="1"/>
    <col min="5" max="5" width="2.421875" style="3" customWidth="1"/>
    <col min="6" max="6" width="13.421875" style="3" customWidth="1"/>
    <col min="7" max="8" width="9.140625" style="3" customWidth="1"/>
    <col min="9" max="9" width="12.28125" style="3" customWidth="1"/>
    <col min="10" max="16384" width="9.140625" style="3" customWidth="1"/>
  </cols>
  <sheetData>
    <row r="1" spans="1:11" ht="15">
      <c r="A1" s="3" t="s">
        <v>32</v>
      </c>
      <c r="K1" s="3" t="s">
        <v>75</v>
      </c>
    </row>
    <row r="2" ht="1.5" customHeight="1"/>
    <row r="3" spans="1:10" ht="15">
      <c r="A3" s="31" t="s">
        <v>61</v>
      </c>
      <c r="B3" s="31"/>
      <c r="C3" s="31"/>
      <c r="D3" s="31"/>
      <c r="E3" s="31"/>
      <c r="G3" s="50"/>
      <c r="H3" s="2"/>
      <c r="I3" s="35"/>
      <c r="J3" s="31"/>
    </row>
    <row r="4" ht="7.5" customHeight="1"/>
    <row r="5" ht="46.5">
      <c r="F5" s="36" t="s">
        <v>63</v>
      </c>
    </row>
    <row r="6" spans="1:9" ht="15">
      <c r="A6" s="31"/>
      <c r="I6" s="2" t="s">
        <v>34</v>
      </c>
    </row>
    <row r="7" spans="4:9" ht="15">
      <c r="D7" s="16"/>
      <c r="E7" s="16"/>
      <c r="F7" s="28"/>
      <c r="I7" s="16"/>
    </row>
    <row r="8" ht="15">
      <c r="A8" s="3" t="s">
        <v>36</v>
      </c>
    </row>
    <row r="9" spans="4:5" ht="15">
      <c r="D9" s="56">
        <v>10558.58</v>
      </c>
      <c r="E9" s="56"/>
    </row>
    <row r="10" spans="2:7" ht="15">
      <c r="B10" s="3" t="s">
        <v>35</v>
      </c>
      <c r="D10" s="55">
        <v>15</v>
      </c>
      <c r="E10" s="32"/>
      <c r="G10" s="54"/>
    </row>
    <row r="11" spans="2:5" ht="15">
      <c r="B11" s="3" t="s">
        <v>37</v>
      </c>
      <c r="D11" s="54">
        <f>D9/D10</f>
        <v>703.9053333333334</v>
      </c>
      <c r="E11" s="54"/>
    </row>
    <row r="12" spans="2:4" ht="15">
      <c r="B12" s="3" t="s">
        <v>38</v>
      </c>
      <c r="D12" s="55">
        <v>14</v>
      </c>
    </row>
    <row r="13" spans="4:9" ht="15">
      <c r="D13" s="56">
        <f>D11*D12</f>
        <v>9854.674666666668</v>
      </c>
      <c r="E13" s="56"/>
      <c r="F13" s="28">
        <f>'Attachment 1'!G17</f>
        <v>0.5814373072856203</v>
      </c>
      <c r="I13" s="19">
        <f>F13*D13</f>
        <v>5729.875502362484</v>
      </c>
    </row>
    <row r="14" ht="5.25" customHeight="1"/>
    <row r="15" spans="7:9" ht="15.75" thickBot="1">
      <c r="G15" s="3" t="s">
        <v>52</v>
      </c>
      <c r="I15" s="57">
        <f>I13+I7</f>
        <v>5729.875502362484</v>
      </c>
    </row>
    <row r="16" ht="15.75" thickTop="1"/>
    <row r="17" s="58" customFormat="1" ht="3.75" customHeight="1"/>
    <row r="18" spans="4:10" ht="10.5" customHeight="1">
      <c r="D18" s="31"/>
      <c r="E18" s="31"/>
      <c r="G18" s="50"/>
      <c r="H18" s="2"/>
      <c r="I18" s="35"/>
      <c r="J18" s="31"/>
    </row>
    <row r="19" spans="1:10" ht="15">
      <c r="A19" s="31" t="s">
        <v>62</v>
      </c>
      <c r="B19" s="31"/>
      <c r="C19" s="31"/>
      <c r="D19" s="31"/>
      <c r="E19" s="31"/>
      <c r="G19" s="50"/>
      <c r="H19" s="2"/>
      <c r="I19" s="35"/>
      <c r="J19" s="31"/>
    </row>
    <row r="20" ht="6.75" customHeight="1"/>
    <row r="21" spans="1:9" ht="15">
      <c r="A21" s="31" t="s">
        <v>60</v>
      </c>
      <c r="I21" s="2" t="s">
        <v>34</v>
      </c>
    </row>
    <row r="22" spans="4:9" ht="15">
      <c r="D22" s="16">
        <v>11538</v>
      </c>
      <c r="E22" s="16"/>
      <c r="F22" s="28"/>
      <c r="I22" s="16"/>
    </row>
    <row r="23" spans="1:3" ht="15">
      <c r="A23" s="80" t="s">
        <v>59</v>
      </c>
      <c r="B23" s="80"/>
      <c r="C23" s="81"/>
    </row>
    <row r="24" spans="4:5" ht="15">
      <c r="D24" s="19">
        <v>3971</v>
      </c>
      <c r="E24" s="33"/>
    </row>
    <row r="25" spans="1:5" ht="15">
      <c r="A25" s="3" t="s">
        <v>46</v>
      </c>
      <c r="D25" s="16">
        <f>D24+D22</f>
        <v>15509</v>
      </c>
      <c r="E25" s="16"/>
    </row>
    <row r="26" ht="6.75" customHeight="1"/>
    <row r="27" spans="2:7" ht="15">
      <c r="B27" s="3" t="s">
        <v>35</v>
      </c>
      <c r="D27" s="55">
        <v>15</v>
      </c>
      <c r="E27" s="32"/>
      <c r="G27" s="54"/>
    </row>
    <row r="28" spans="2:5" ht="15">
      <c r="B28" s="3" t="s">
        <v>37</v>
      </c>
      <c r="D28" s="54">
        <f>D25/D27</f>
        <v>1033.9333333333334</v>
      </c>
      <c r="E28" s="54"/>
    </row>
    <row r="29" spans="2:4" ht="15">
      <c r="B29" s="3" t="s">
        <v>38</v>
      </c>
      <c r="D29" s="55">
        <v>14</v>
      </c>
    </row>
    <row r="30" spans="4:9" ht="15.75" thickBot="1">
      <c r="D30" s="56">
        <f>D28*D29</f>
        <v>14475.066666666668</v>
      </c>
      <c r="E30" s="56"/>
      <c r="F30" s="28">
        <f>'Attachment 1'!G18</f>
        <v>0.5860338367207902</v>
      </c>
      <c r="I30" s="61">
        <f>F30*D30</f>
        <v>8482.878855455887</v>
      </c>
    </row>
    <row r="31" ht="6" customHeight="1" thickTop="1"/>
    <row r="32" s="66" customFormat="1" ht="8.25" customHeight="1"/>
    <row r="33" s="67" customFormat="1" ht="3.75" customHeight="1"/>
    <row r="34" ht="5.25" customHeight="1"/>
    <row r="35" spans="1:9" ht="15">
      <c r="A35" s="3" t="s">
        <v>79</v>
      </c>
      <c r="I35" s="2" t="s">
        <v>34</v>
      </c>
    </row>
    <row r="36" ht="5.25" customHeight="1"/>
    <row r="37" ht="18">
      <c r="A37" s="3" t="s">
        <v>80</v>
      </c>
    </row>
    <row r="39" spans="1:10" ht="18">
      <c r="A39" s="3" t="s">
        <v>47</v>
      </c>
      <c r="D39" s="16">
        <v>23200</v>
      </c>
      <c r="E39" s="16"/>
      <c r="F39" s="28">
        <f>'Attachment 1'!G33</f>
        <v>0.5855091846943047</v>
      </c>
      <c r="G39" s="16"/>
      <c r="I39" s="16">
        <f>D39*F39</f>
        <v>13583.813084907868</v>
      </c>
      <c r="J39" s="16" t="s">
        <v>74</v>
      </c>
    </row>
    <row r="40" spans="7:10" ht="5.25" customHeight="1">
      <c r="G40" s="16"/>
      <c r="H40" s="16"/>
      <c r="I40" s="16"/>
      <c r="J40" s="16"/>
    </row>
    <row r="41" spans="7:10" s="68" customFormat="1" ht="3.75" customHeight="1">
      <c r="G41" s="69"/>
      <c r="H41" s="69"/>
      <c r="I41" s="69"/>
      <c r="J41" s="69"/>
    </row>
    <row r="42" spans="1:10" ht="22.5" customHeight="1">
      <c r="A42" s="3" t="s">
        <v>78</v>
      </c>
      <c r="G42" s="16"/>
      <c r="H42" s="16"/>
      <c r="I42" s="2" t="s">
        <v>34</v>
      </c>
      <c r="J42" s="16"/>
    </row>
    <row r="43" spans="7:10" ht="6.75" customHeight="1">
      <c r="G43" s="16"/>
      <c r="H43" s="16"/>
      <c r="I43" s="16"/>
      <c r="J43" s="16"/>
    </row>
    <row r="44" spans="1:10" ht="15">
      <c r="A44" s="3" t="s">
        <v>40</v>
      </c>
      <c r="D44" s="59">
        <v>13584</v>
      </c>
      <c r="E44" s="59"/>
      <c r="G44" s="16"/>
      <c r="H44" s="16"/>
      <c r="I44" s="16"/>
      <c r="J44" s="16"/>
    </row>
    <row r="45" spans="2:10" ht="15">
      <c r="B45" s="3" t="s">
        <v>41</v>
      </c>
      <c r="D45" s="60">
        <v>0.16</v>
      </c>
      <c r="E45" s="71"/>
      <c r="F45" s="16"/>
      <c r="G45" s="16"/>
      <c r="H45" s="16"/>
      <c r="I45" s="16"/>
      <c r="J45" s="16"/>
    </row>
    <row r="46" spans="2:10" ht="15">
      <c r="B46" s="3" t="s">
        <v>42</v>
      </c>
      <c r="F46" s="16"/>
      <c r="G46" s="16"/>
      <c r="H46" s="16"/>
      <c r="I46" s="16">
        <f>D44*D45</f>
        <v>2173.44</v>
      </c>
      <c r="J46" s="16"/>
    </row>
    <row r="47" spans="4:10" ht="4.5" customHeight="1">
      <c r="D47" s="16"/>
      <c r="E47" s="16"/>
      <c r="F47" s="16"/>
      <c r="G47" s="16"/>
      <c r="H47" s="16"/>
      <c r="I47" s="16"/>
      <c r="J47" s="16"/>
    </row>
    <row r="48" spans="1:62" s="58" customFormat="1" ht="15">
      <c r="A48" s="3" t="s">
        <v>48</v>
      </c>
      <c r="B48" s="3"/>
      <c r="C48" s="3"/>
      <c r="D48" s="3"/>
      <c r="E48" s="3"/>
      <c r="F48" s="16"/>
      <c r="G48" s="16"/>
      <c r="H48" s="16"/>
      <c r="I48" s="16"/>
      <c r="J48" s="1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</row>
    <row r="49" spans="2:10" ht="15">
      <c r="B49" s="3" t="s">
        <v>49</v>
      </c>
      <c r="D49" s="59">
        <v>4800</v>
      </c>
      <c r="E49" s="59"/>
      <c r="F49" s="16"/>
      <c r="G49" s="16"/>
      <c r="H49" s="16"/>
      <c r="I49" s="16"/>
      <c r="J49" s="16"/>
    </row>
    <row r="50" spans="2:10" ht="15">
      <c r="B50" s="3" t="s">
        <v>51</v>
      </c>
      <c r="D50" s="62">
        <v>17455</v>
      </c>
      <c r="E50" s="65"/>
      <c r="F50" s="16"/>
      <c r="G50" s="16"/>
      <c r="H50" s="16"/>
      <c r="I50" s="16"/>
      <c r="J50" s="16"/>
    </row>
    <row r="51" spans="2:10" ht="15">
      <c r="B51" s="3" t="s">
        <v>50</v>
      </c>
      <c r="D51" s="16">
        <f>D50-D49</f>
        <v>12655</v>
      </c>
      <c r="E51" s="16"/>
      <c r="F51" s="16" t="s">
        <v>53</v>
      </c>
      <c r="G51" s="16"/>
      <c r="H51" s="16"/>
      <c r="I51" s="16"/>
      <c r="J51" s="16"/>
    </row>
    <row r="52" ht="6.75" customHeight="1">
      <c r="J52" s="16"/>
    </row>
    <row r="53" spans="1:10" ht="15">
      <c r="A53" s="3" t="s">
        <v>39</v>
      </c>
      <c r="D53" s="63">
        <v>6154.75</v>
      </c>
      <c r="E53" s="72"/>
      <c r="J53" s="16"/>
    </row>
    <row r="54" spans="2:10" ht="15">
      <c r="B54" s="3" t="s">
        <v>28</v>
      </c>
      <c r="D54" s="56">
        <f>D53+D51</f>
        <v>18809.75</v>
      </c>
      <c r="E54" s="56"/>
      <c r="J54" s="16"/>
    </row>
    <row r="55" spans="2:10" ht="20.25" customHeight="1">
      <c r="B55" s="3" t="s">
        <v>35</v>
      </c>
      <c r="D55" s="55">
        <v>15</v>
      </c>
      <c r="E55" s="32"/>
      <c r="G55" s="54"/>
      <c r="J55" s="16"/>
    </row>
    <row r="56" spans="2:9" ht="15">
      <c r="B56" s="3" t="s">
        <v>37</v>
      </c>
      <c r="D56" s="54">
        <f>D54/D55</f>
        <v>1253.9833333333333</v>
      </c>
      <c r="E56" s="54"/>
      <c r="I56" s="32"/>
    </row>
    <row r="57" spans="2:9" ht="15">
      <c r="B57" s="3" t="s">
        <v>38</v>
      </c>
      <c r="D57" s="55">
        <v>14</v>
      </c>
      <c r="I57" s="32"/>
    </row>
    <row r="58" spans="4:9" ht="15">
      <c r="D58" s="56">
        <f>D56*D57</f>
        <v>17555.766666666666</v>
      </c>
      <c r="E58" s="56"/>
      <c r="F58" s="28">
        <f>'Attachment 1'!G20</f>
        <v>0.5348699996066554</v>
      </c>
      <c r="I58" s="19">
        <f>F58*D58</f>
        <v>9390.052910094533</v>
      </c>
    </row>
    <row r="59" spans="7:10" ht="18.75" thickBot="1">
      <c r="G59" s="3" t="s">
        <v>52</v>
      </c>
      <c r="I59" s="64">
        <f>I58+I46</f>
        <v>11563.492910094534</v>
      </c>
      <c r="J59" s="16" t="s">
        <v>73</v>
      </c>
    </row>
    <row r="60" ht="6.75" customHeight="1" thickTop="1">
      <c r="I60" s="32"/>
    </row>
    <row r="61" s="68" customFormat="1" ht="3.75" customHeight="1">
      <c r="I61" s="70"/>
    </row>
    <row r="62" spans="1:9" ht="21" customHeight="1">
      <c r="A62" s="3" t="s">
        <v>77</v>
      </c>
      <c r="I62" s="2" t="s">
        <v>34</v>
      </c>
    </row>
    <row r="63" ht="15">
      <c r="B63" s="3" t="s">
        <v>43</v>
      </c>
    </row>
    <row r="64" spans="4:5" ht="15">
      <c r="D64" s="16">
        <f>I46</f>
        <v>2173.44</v>
      </c>
      <c r="E64" s="16"/>
    </row>
    <row r="65" spans="2:10" ht="18">
      <c r="B65" s="3" t="s">
        <v>44</v>
      </c>
      <c r="D65" s="55">
        <v>2</v>
      </c>
      <c r="E65" s="32"/>
      <c r="I65" s="59">
        <f>D64*D65</f>
        <v>4346.88</v>
      </c>
      <c r="J65" s="3" t="s">
        <v>72</v>
      </c>
    </row>
    <row r="66" ht="8.25" customHeight="1"/>
    <row r="68" spans="2:9" ht="15">
      <c r="B68" s="32"/>
      <c r="C68" s="32"/>
      <c r="D68" s="32"/>
      <c r="E68" s="32"/>
      <c r="F68" s="32"/>
      <c r="G68" s="32"/>
      <c r="H68" s="32"/>
      <c r="I68" s="32"/>
    </row>
    <row r="69" spans="2:9" ht="15">
      <c r="B69" s="32"/>
      <c r="C69" s="32"/>
      <c r="D69" s="33"/>
      <c r="E69" s="33"/>
      <c r="F69" s="32"/>
      <c r="G69" s="32"/>
      <c r="H69" s="32"/>
      <c r="I69" s="32"/>
    </row>
    <row r="70" spans="2:9" ht="15">
      <c r="B70" s="32"/>
      <c r="C70" s="32"/>
      <c r="D70" s="32"/>
      <c r="E70" s="32"/>
      <c r="F70" s="32"/>
      <c r="G70" s="32"/>
      <c r="H70" s="32"/>
      <c r="I70" s="65"/>
    </row>
    <row r="71" spans="2:9" ht="15">
      <c r="B71" s="32"/>
      <c r="C71" s="32"/>
      <c r="D71" s="32"/>
      <c r="E71" s="32"/>
      <c r="F71" s="32"/>
      <c r="G71" s="32"/>
      <c r="H71" s="32"/>
      <c r="I71" s="32"/>
    </row>
    <row r="72" spans="2:9" ht="15">
      <c r="B72" s="32"/>
      <c r="C72" s="32"/>
      <c r="D72" s="32"/>
      <c r="E72" s="32"/>
      <c r="F72" s="32"/>
      <c r="G72" s="32"/>
      <c r="H72" s="32"/>
      <c r="I72" s="32"/>
    </row>
    <row r="73" spans="2:9" ht="15">
      <c r="B73" s="32"/>
      <c r="C73" s="32"/>
      <c r="D73" s="32"/>
      <c r="E73" s="32"/>
      <c r="F73" s="32"/>
      <c r="G73" s="32"/>
      <c r="H73" s="32"/>
      <c r="I73" s="32"/>
    </row>
    <row r="74" spans="2:9" ht="15">
      <c r="B74" s="32"/>
      <c r="C74" s="32"/>
      <c r="D74" s="32"/>
      <c r="E74" s="32"/>
      <c r="F74" s="32"/>
      <c r="G74" s="32"/>
      <c r="H74" s="32"/>
      <c r="I74" s="32"/>
    </row>
  </sheetData>
  <sheetProtection/>
  <mergeCells count="1">
    <mergeCell ref="A23:C23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Lisa Wyse, Records Manager</cp:lastModifiedBy>
  <cp:lastPrinted>2008-12-02T16:24:24Z</cp:lastPrinted>
  <dcterms:created xsi:type="dcterms:W3CDTF">2006-06-01T17:26:01Z</dcterms:created>
  <dcterms:modified xsi:type="dcterms:W3CDTF">2009-09-02T22:49:38Z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 ID">
    <vt:lpwstr>6</vt:lpwstr>
  </property>
  <property fmtid="{D5CDD505-2E9C-101B-9397-08002B2CF9AE}" pid="3" name="ContentType">
    <vt:lpwstr>Document</vt:lpwstr>
  </property>
  <property fmtid="{D5CDD505-2E9C-101B-9397-08002B2CF9AE}" pid="4" name="Document Type">
    <vt:lpwstr>Memo Attachment</vt:lpwstr>
  </property>
  <property fmtid="{D5CDD505-2E9C-101B-9397-08002B2CF9AE}" pid="5" name="Status">
    <vt:lpwstr>Final</vt:lpwstr>
  </property>
  <property fmtid="{D5CDD505-2E9C-101B-9397-08002B2CF9AE}" pid="6" name="Move Item">
    <vt:lpwstr>0</vt:lpwstr>
  </property>
  <property fmtid="{D5CDD505-2E9C-101B-9397-08002B2CF9AE}" pid="7" name="Move To">
    <vt:lpwstr/>
  </property>
  <property fmtid="{D5CDD505-2E9C-101B-9397-08002B2CF9AE}" pid="8" name="DocumentSetType">
    <vt:lpwstr>Open Meeting Memo</vt:lpwstr>
  </property>
  <property fmtid="{D5CDD505-2E9C-101B-9397-08002B2CF9AE}" pid="9" name="IsHighlyConfidential">
    <vt:lpwstr>0</vt:lpwstr>
  </property>
  <property fmtid="{D5CDD505-2E9C-101B-9397-08002B2CF9AE}" pid="10" name="DocketNumber">
    <vt:lpwstr>060762</vt:lpwstr>
  </property>
  <property fmtid="{D5CDD505-2E9C-101B-9397-08002B2CF9AE}" pid="11" name="IsConfidential">
    <vt:lpwstr>0</vt:lpwstr>
  </property>
  <property fmtid="{D5CDD505-2E9C-101B-9397-08002B2CF9AE}" pid="12" name="Date1">
    <vt:lpwstr>2008-12-23T00:00:00Z</vt:lpwstr>
  </property>
  <property fmtid="{D5CDD505-2E9C-101B-9397-08002B2CF9AE}" pid="13" name="CaseType">
    <vt:lpwstr>Petition</vt:lpwstr>
  </property>
  <property fmtid="{D5CDD505-2E9C-101B-9397-08002B2CF9AE}" pid="14" name="OpenedDate">
    <vt:lpwstr>2006-05-10T00:00:00Z</vt:lpwstr>
  </property>
  <property fmtid="{D5CDD505-2E9C-101B-9397-08002B2CF9AE}" pid="15" name="Prefix">
    <vt:lpwstr>UT</vt:lpwstr>
  </property>
  <property fmtid="{D5CDD505-2E9C-101B-9397-08002B2CF9AE}" pid="16" name="CaseCompanyNames">
    <vt:lpwstr>Westgate Communications LLC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